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mc:AlternateContent xmlns:mc="http://schemas.openxmlformats.org/markup-compatibility/2006">
    <mc:Choice Requires="x15">
      <x15ac:absPath xmlns:x15ac="http://schemas.microsoft.com/office/spreadsheetml/2010/11/ac" url="C:\Users\zhaol\Downloads\"/>
    </mc:Choice>
  </mc:AlternateContent>
  <xr:revisionPtr revIDLastSave="0" documentId="13_ncr:1_{7958D5CA-5FD0-4088-ACC0-445F844941C0}" xr6:coauthVersionLast="47" xr6:coauthVersionMax="47" xr10:uidLastSave="{00000000-0000-0000-0000-000000000000}"/>
  <bookViews>
    <workbookView xWindow="-103" yWindow="-103" windowWidth="33120" windowHeight="18000" tabRatio="868" xr2:uid="{00000000-000D-0000-FFFF-FFFF00000000}"/>
  </bookViews>
  <sheets>
    <sheet name="1.序幕" sheetId="1" r:id="rId1"/>
    <sheet name="2.1家乡主力军" sheetId="2" r:id="rId2"/>
    <sheet name="2.2家乡支援军" sheetId="3" r:id="rId3"/>
    <sheet name="2.3家乡建筑" sheetId="4" r:id="rId4"/>
    <sheet name="3.1夜本军队" sheetId="5" r:id="rId5"/>
    <sheet name="3.2夜本建筑" sheetId="6" r:id="rId6"/>
    <sheet name="4.1都城军队" sheetId="14" r:id="rId7"/>
    <sheet name="4.2都城建筑" sheetId="15" r:id="rId8"/>
    <sheet name="5.1联赛&amp;等级" sheetId="7" r:id="rId9"/>
    <sheet name="5.2研究笔记" sheetId="12" r:id="rId10"/>
    <sheet name="5.3小工具" sheetId="9" r:id="rId11"/>
    <sheet name="5.4纪念碑谷" sheetId="10" r:id="rId12"/>
    <sheet name="小羊的家备份" sheetId="13" r:id="rId13"/>
  </sheets>
  <definedNames>
    <definedName name="_5.4_纪念碑谷">'5.4纪念碑谷'!$A$1:$C$13</definedName>
    <definedName name="_xlnm._FilterDatabase" localSheetId="6" hidden="1">'4.1都城军队'!$F$42:$F$51</definedName>
    <definedName name="_xlnm._FilterDatabase" localSheetId="7" hidden="1">'4.2都城建筑'!$Z$50:$Z$60</definedName>
    <definedName name="_xlnm._FilterDatabase" localSheetId="9" hidden="1">'5.2研究笔记'!$AJ$389:$AK$417</definedName>
    <definedName name="_xlnm._FilterDatabase" localSheetId="11" hidden="1">'5.4纪念碑谷'!$BI$199:$BI$208</definedName>
    <definedName name="_xlnm._FilterDatabase" localSheetId="12" hidden="1">小羊的家备份!$D$5:$U$282</definedName>
    <definedName name="纪念碑谷">'5.4纪念碑谷'!$A$1:$C$13</definedName>
    <definedName name="颜色主题">'1.序幕'!$D$27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443" i="13" l="1"/>
  <c r="AN443" i="13"/>
  <c r="AM443" i="13"/>
  <c r="AL443" i="13"/>
  <c r="AK443" i="13"/>
  <c r="AJ443" i="13"/>
  <c r="AI443" i="13"/>
  <c r="AH443" i="13"/>
  <c r="AG443" i="13"/>
  <c r="AF443" i="13"/>
  <c r="AE443" i="13"/>
  <c r="AD443" i="13"/>
  <c r="AC443" i="13"/>
  <c r="AB443" i="13"/>
  <c r="AA443" i="13"/>
  <c r="AO442" i="13"/>
  <c r="AN442" i="13"/>
  <c r="AM442" i="13"/>
  <c r="AL442" i="13"/>
  <c r="AK442" i="13"/>
  <c r="AJ442" i="13"/>
  <c r="AI442" i="13"/>
  <c r="AH442" i="13"/>
  <c r="AG442" i="13"/>
  <c r="AF442" i="13"/>
  <c r="AE442" i="13"/>
  <c r="AD442" i="13"/>
  <c r="AC442" i="13"/>
  <c r="AB442" i="13"/>
  <c r="AA442" i="13"/>
  <c r="AO441" i="13"/>
  <c r="AN441" i="13"/>
  <c r="AM441" i="13"/>
  <c r="AL441" i="13"/>
  <c r="AK441" i="13"/>
  <c r="AJ441" i="13"/>
  <c r="AI441" i="13"/>
  <c r="AH441" i="13"/>
  <c r="AG441" i="13"/>
  <c r="AF441" i="13"/>
  <c r="AE441" i="13"/>
  <c r="AD441" i="13"/>
  <c r="AC441" i="13"/>
  <c r="AB441" i="13"/>
  <c r="AA441" i="13"/>
  <c r="AO440" i="13"/>
  <c r="AN440" i="13"/>
  <c r="AM440" i="13"/>
  <c r="AL440" i="13"/>
  <c r="AK440" i="13"/>
  <c r="AJ440" i="13"/>
  <c r="AI440" i="13"/>
  <c r="AH440" i="13"/>
  <c r="AG440" i="13"/>
  <c r="AF440" i="13"/>
  <c r="AE440" i="13"/>
  <c r="AD440" i="13"/>
  <c r="AC440" i="13"/>
  <c r="AB440" i="13"/>
  <c r="AA440" i="13"/>
  <c r="AO439" i="13"/>
  <c r="AN439" i="13"/>
  <c r="AM439" i="13"/>
  <c r="AL439" i="13"/>
  <c r="AK439" i="13"/>
  <c r="AJ439" i="13"/>
  <c r="AI439" i="13"/>
  <c r="AH439" i="13"/>
  <c r="AG439" i="13"/>
  <c r="AF439" i="13"/>
  <c r="AE439" i="13"/>
  <c r="AD439" i="13"/>
  <c r="AC439" i="13"/>
  <c r="AB439" i="13"/>
  <c r="AA439" i="13"/>
  <c r="AO438" i="13"/>
  <c r="AN438" i="13"/>
  <c r="AM438" i="13"/>
  <c r="AL438" i="13"/>
  <c r="AK438" i="13"/>
  <c r="AJ438" i="13"/>
  <c r="AI438" i="13"/>
  <c r="AH438" i="13"/>
  <c r="AG438" i="13"/>
  <c r="AF438" i="13"/>
  <c r="AE438" i="13"/>
  <c r="AD438" i="13"/>
  <c r="AC438" i="13"/>
  <c r="AB438" i="13"/>
  <c r="AA438" i="13"/>
  <c r="AO437" i="13"/>
  <c r="AN437" i="13"/>
  <c r="AM437" i="13"/>
  <c r="AL437" i="13"/>
  <c r="AK437" i="13"/>
  <c r="AJ437" i="13"/>
  <c r="AI437" i="13"/>
  <c r="AH437" i="13"/>
  <c r="AG437" i="13"/>
  <c r="AF437" i="13"/>
  <c r="AE437" i="13"/>
  <c r="AD437" i="13"/>
  <c r="AC437" i="13"/>
  <c r="AB437" i="13"/>
  <c r="AA437" i="13"/>
  <c r="AO435" i="13"/>
  <c r="AN435" i="13"/>
  <c r="AM435" i="13"/>
  <c r="AL435" i="13"/>
  <c r="AK435" i="13"/>
  <c r="AJ435" i="13"/>
  <c r="AI435" i="13"/>
  <c r="AH435" i="13"/>
  <c r="AG435" i="13"/>
  <c r="AF435" i="13"/>
  <c r="AE435" i="13"/>
  <c r="AD435" i="13"/>
  <c r="AC435" i="13"/>
  <c r="AB435" i="13"/>
  <c r="AA435" i="13"/>
  <c r="AO434" i="13"/>
  <c r="AN434" i="13"/>
  <c r="AM434" i="13"/>
  <c r="AL434" i="13"/>
  <c r="AK434" i="13"/>
  <c r="AJ434" i="13"/>
  <c r="AI434" i="13"/>
  <c r="AH434" i="13"/>
  <c r="AG434" i="13"/>
  <c r="AF434" i="13"/>
  <c r="AE434" i="13"/>
  <c r="AD434" i="13"/>
  <c r="AC434" i="13"/>
  <c r="AB434" i="13"/>
  <c r="AA434" i="13"/>
  <c r="AO433" i="13"/>
  <c r="AN433" i="13"/>
  <c r="AM433" i="13"/>
  <c r="AL433" i="13"/>
  <c r="AK433" i="13"/>
  <c r="AJ433" i="13"/>
  <c r="AI433" i="13"/>
  <c r="AH433" i="13"/>
  <c r="AH163" i="13" s="1"/>
  <c r="AG433" i="13"/>
  <c r="AG163" i="13" s="1"/>
  <c r="AF433" i="13"/>
  <c r="AE433" i="13"/>
  <c r="AD433" i="13"/>
  <c r="AC433" i="13"/>
  <c r="AB433" i="13"/>
  <c r="AA433" i="13"/>
  <c r="AO432" i="13"/>
  <c r="AN432" i="13"/>
  <c r="AM432" i="13"/>
  <c r="AL432" i="13"/>
  <c r="AK432" i="13"/>
  <c r="AJ432" i="13"/>
  <c r="AI432" i="13"/>
  <c r="AH432" i="13"/>
  <c r="AG432" i="13"/>
  <c r="AF432" i="13"/>
  <c r="AE432" i="13"/>
  <c r="AD432" i="13"/>
  <c r="AC432" i="13"/>
  <c r="AB432" i="13"/>
  <c r="AA432" i="13"/>
  <c r="AO431" i="13"/>
  <c r="AN431" i="13"/>
  <c r="AM431" i="13"/>
  <c r="AL431" i="13"/>
  <c r="AK431" i="13"/>
  <c r="AJ431" i="13"/>
  <c r="AI431" i="13"/>
  <c r="AH431" i="13"/>
  <c r="AG431" i="13"/>
  <c r="AF431" i="13"/>
  <c r="AE431" i="13"/>
  <c r="AD431" i="13"/>
  <c r="AC431" i="13"/>
  <c r="AB431" i="13"/>
  <c r="AA431" i="13"/>
  <c r="AO430" i="13"/>
  <c r="AN430" i="13"/>
  <c r="AM430" i="13"/>
  <c r="AL430" i="13"/>
  <c r="AK430" i="13"/>
  <c r="AJ430" i="13"/>
  <c r="AI430" i="13"/>
  <c r="AH430" i="13"/>
  <c r="AG430" i="13"/>
  <c r="AF430" i="13"/>
  <c r="AE430" i="13"/>
  <c r="AE163" i="13" s="1"/>
  <c r="AD430" i="13"/>
  <c r="AC430" i="13"/>
  <c r="AB430" i="13"/>
  <c r="AA430" i="13"/>
  <c r="AO429" i="13"/>
  <c r="AN429" i="13"/>
  <c r="AM429" i="13"/>
  <c r="AL429" i="13"/>
  <c r="AK429" i="13"/>
  <c r="AJ429" i="13"/>
  <c r="AI429" i="13"/>
  <c r="AH429" i="13"/>
  <c r="AG429" i="13"/>
  <c r="AF429" i="13"/>
  <c r="AE429" i="13"/>
  <c r="AD429" i="13"/>
  <c r="AC429" i="13"/>
  <c r="AB429" i="13"/>
  <c r="AA429" i="13"/>
  <c r="AO428" i="13"/>
  <c r="AN428" i="13"/>
  <c r="AM428" i="13"/>
  <c r="AL428" i="13"/>
  <c r="AK428" i="13"/>
  <c r="AK163" i="13" s="1"/>
  <c r="AJ428" i="13"/>
  <c r="AJ163" i="13" s="1"/>
  <c r="AI428" i="13"/>
  <c r="AH428" i="13"/>
  <c r="AG428" i="13"/>
  <c r="AF428" i="13"/>
  <c r="AE428" i="13"/>
  <c r="AD428" i="13"/>
  <c r="AC428" i="13"/>
  <c r="AB428" i="13"/>
  <c r="AA428" i="13"/>
  <c r="AO426" i="13"/>
  <c r="AN426" i="13"/>
  <c r="AM426" i="13"/>
  <c r="AL426" i="13"/>
  <c r="AK426" i="13"/>
  <c r="AJ426" i="13"/>
  <c r="AI426" i="13"/>
  <c r="AH426" i="13"/>
  <c r="AG426" i="13"/>
  <c r="AF426" i="13"/>
  <c r="AE426" i="13"/>
  <c r="AD426" i="13"/>
  <c r="AC426" i="13"/>
  <c r="AB426" i="13"/>
  <c r="AA426" i="13"/>
  <c r="AO425" i="13"/>
  <c r="AN425" i="13"/>
  <c r="AM425" i="13"/>
  <c r="AL425" i="13"/>
  <c r="AK425" i="13"/>
  <c r="AJ425" i="13"/>
  <c r="AI425" i="13"/>
  <c r="AH425" i="13"/>
  <c r="AG425" i="13"/>
  <c r="AF425" i="13"/>
  <c r="AE425" i="13"/>
  <c r="AD425" i="13"/>
  <c r="AC425" i="13"/>
  <c r="AB425" i="13"/>
  <c r="AA425" i="13"/>
  <c r="AO424" i="13"/>
  <c r="AN424" i="13"/>
  <c r="AM424" i="13"/>
  <c r="AL424" i="13"/>
  <c r="AK424" i="13"/>
  <c r="AJ424" i="13"/>
  <c r="AI424" i="13"/>
  <c r="AH424" i="13"/>
  <c r="AG424" i="13"/>
  <c r="AF424" i="13"/>
  <c r="AE424" i="13"/>
  <c r="AD424" i="13"/>
  <c r="AC424" i="13"/>
  <c r="AB424" i="13"/>
  <c r="AA424" i="13"/>
  <c r="AO423" i="13"/>
  <c r="AN423" i="13"/>
  <c r="AM423" i="13"/>
  <c r="AL423" i="13"/>
  <c r="AK423" i="13"/>
  <c r="AJ423" i="13"/>
  <c r="AI423" i="13"/>
  <c r="AH423" i="13"/>
  <c r="AG423" i="13"/>
  <c r="AF423" i="13"/>
  <c r="AE423" i="13"/>
  <c r="AD423" i="13"/>
  <c r="AC423" i="13"/>
  <c r="AB423" i="13"/>
  <c r="AA423" i="13"/>
  <c r="AO420" i="13"/>
  <c r="AN420" i="13"/>
  <c r="AM420" i="13"/>
  <c r="AL420" i="13"/>
  <c r="AK420" i="13"/>
  <c r="AJ420" i="13"/>
  <c r="AI420" i="13"/>
  <c r="AH420" i="13"/>
  <c r="AG420" i="13"/>
  <c r="AF420" i="13"/>
  <c r="AE420" i="13"/>
  <c r="AD420" i="13"/>
  <c r="AC420" i="13"/>
  <c r="AB420" i="13"/>
  <c r="AA420" i="13"/>
  <c r="AO419" i="13"/>
  <c r="AN419" i="13"/>
  <c r="AM419" i="13"/>
  <c r="AL419" i="13"/>
  <c r="AK419" i="13"/>
  <c r="AJ419" i="13"/>
  <c r="AI419" i="13"/>
  <c r="AH419" i="13"/>
  <c r="AG419" i="13"/>
  <c r="AF419" i="13"/>
  <c r="AE419" i="13"/>
  <c r="AD419" i="13"/>
  <c r="AC419" i="13"/>
  <c r="AB419" i="13"/>
  <c r="AA419" i="13"/>
  <c r="AO418" i="13"/>
  <c r="AN418" i="13"/>
  <c r="AM418" i="13"/>
  <c r="AL418" i="13"/>
  <c r="AK418" i="13"/>
  <c r="AJ418" i="13"/>
  <c r="AI418" i="13"/>
  <c r="AH418" i="13"/>
  <c r="AG418" i="13"/>
  <c r="AF418" i="13"/>
  <c r="AE418" i="13"/>
  <c r="AD418" i="13"/>
  <c r="AC418" i="13"/>
  <c r="AB418" i="13"/>
  <c r="AA418" i="13"/>
  <c r="AO417" i="13"/>
  <c r="AN417" i="13"/>
  <c r="AM417" i="13"/>
  <c r="AL417" i="13"/>
  <c r="AK417" i="13"/>
  <c r="AJ417" i="13"/>
  <c r="AI417" i="13"/>
  <c r="AH417" i="13"/>
  <c r="AG417" i="13"/>
  <c r="AF417" i="13"/>
  <c r="AE417" i="13"/>
  <c r="AD417" i="13"/>
  <c r="AC417" i="13"/>
  <c r="AB417" i="13"/>
  <c r="AA417" i="13"/>
  <c r="AO416" i="13"/>
  <c r="AN416" i="13"/>
  <c r="AM416" i="13"/>
  <c r="AL416" i="13"/>
  <c r="AK416" i="13"/>
  <c r="AJ416" i="13"/>
  <c r="AI416" i="13"/>
  <c r="AH416" i="13"/>
  <c r="AG416" i="13"/>
  <c r="AF416" i="13"/>
  <c r="AE416" i="13"/>
  <c r="AD416" i="13"/>
  <c r="AC416" i="13"/>
  <c r="AB416" i="13"/>
  <c r="AA416" i="13"/>
  <c r="AO413" i="13"/>
  <c r="AN413" i="13"/>
  <c r="AM413" i="13"/>
  <c r="AL413" i="13"/>
  <c r="AK413" i="13"/>
  <c r="AJ413" i="13"/>
  <c r="AI413" i="13"/>
  <c r="AH413" i="13"/>
  <c r="AG413" i="13"/>
  <c r="AF413" i="13"/>
  <c r="AE413" i="13"/>
  <c r="AD413" i="13"/>
  <c r="AC413" i="13"/>
  <c r="AB413" i="13"/>
  <c r="AA413" i="13"/>
  <c r="AO412" i="13"/>
  <c r="AN412" i="13"/>
  <c r="AM412" i="13"/>
  <c r="AL412" i="13"/>
  <c r="AK412" i="13"/>
  <c r="AJ412" i="13"/>
  <c r="AI412" i="13"/>
  <c r="AH412" i="13"/>
  <c r="AG412" i="13"/>
  <c r="AF412" i="13"/>
  <c r="AE412" i="13"/>
  <c r="AD412" i="13"/>
  <c r="AC412" i="13"/>
  <c r="AB412" i="13"/>
  <c r="AA412" i="13"/>
  <c r="AO411" i="13"/>
  <c r="AN411" i="13"/>
  <c r="AM411" i="13"/>
  <c r="AL411" i="13"/>
  <c r="AK411" i="13"/>
  <c r="AJ411" i="13"/>
  <c r="AI411" i="13"/>
  <c r="AH411" i="13"/>
  <c r="AG411" i="13"/>
  <c r="AF411" i="13"/>
  <c r="AE411" i="13"/>
  <c r="AD411" i="13"/>
  <c r="AC411" i="13"/>
  <c r="AB411" i="13"/>
  <c r="AA411" i="13"/>
  <c r="AO410" i="13"/>
  <c r="AN410" i="13"/>
  <c r="AM410" i="13"/>
  <c r="AL410" i="13"/>
  <c r="AK410" i="13"/>
  <c r="AJ410" i="13"/>
  <c r="AI410" i="13"/>
  <c r="AH410" i="13"/>
  <c r="AG410" i="13"/>
  <c r="AF410" i="13"/>
  <c r="AE410" i="13"/>
  <c r="AD410" i="13"/>
  <c r="AC410" i="13"/>
  <c r="AB410" i="13"/>
  <c r="AA410" i="13"/>
  <c r="AO409" i="13"/>
  <c r="AN409" i="13"/>
  <c r="AM409" i="13"/>
  <c r="AL409" i="13"/>
  <c r="AK409" i="13"/>
  <c r="AJ409" i="13"/>
  <c r="AI409" i="13"/>
  <c r="AH409" i="13"/>
  <c r="AG409" i="13"/>
  <c r="AF409" i="13"/>
  <c r="AE409" i="13"/>
  <c r="AD409" i="13"/>
  <c r="AC409" i="13"/>
  <c r="AB409" i="13"/>
  <c r="AA409" i="13"/>
  <c r="AO408" i="13"/>
  <c r="AN408" i="13"/>
  <c r="AM408" i="13"/>
  <c r="AL408" i="13"/>
  <c r="AK408" i="13"/>
  <c r="AJ408" i="13"/>
  <c r="AI408" i="13"/>
  <c r="AH408" i="13"/>
  <c r="AG408" i="13"/>
  <c r="AF408" i="13"/>
  <c r="AE408" i="13"/>
  <c r="AD408" i="13"/>
  <c r="AC408" i="13"/>
  <c r="AB408" i="13"/>
  <c r="AA408" i="13"/>
  <c r="AO407" i="13"/>
  <c r="AN407" i="13"/>
  <c r="AM407" i="13"/>
  <c r="AL407" i="13"/>
  <c r="AK407" i="13"/>
  <c r="AJ407" i="13"/>
  <c r="AI407" i="13"/>
  <c r="AH407" i="13"/>
  <c r="AG407" i="13"/>
  <c r="AF407" i="13"/>
  <c r="AE407" i="13"/>
  <c r="AD407" i="13"/>
  <c r="AC407" i="13"/>
  <c r="AB407" i="13"/>
  <c r="AA407" i="13"/>
  <c r="AO406" i="13"/>
  <c r="AN406" i="13"/>
  <c r="AM406" i="13"/>
  <c r="AL406" i="13"/>
  <c r="AK406" i="13"/>
  <c r="AJ406" i="13"/>
  <c r="AI406" i="13"/>
  <c r="AH406" i="13"/>
  <c r="AG406" i="13"/>
  <c r="AF406" i="13"/>
  <c r="AE406" i="13"/>
  <c r="AD406" i="13"/>
  <c r="AC406" i="13"/>
  <c r="AB406" i="13"/>
  <c r="AA406" i="13"/>
  <c r="AO403" i="13"/>
  <c r="AN403" i="13"/>
  <c r="AM403" i="13"/>
  <c r="AL403" i="13"/>
  <c r="AK403" i="13"/>
  <c r="AJ403" i="13"/>
  <c r="AI403" i="13"/>
  <c r="AH403" i="13"/>
  <c r="AG403" i="13"/>
  <c r="AF403" i="13"/>
  <c r="AE403" i="13"/>
  <c r="AD403" i="13"/>
  <c r="AC403" i="13"/>
  <c r="AB403" i="13"/>
  <c r="AA403" i="13"/>
  <c r="AO402" i="13"/>
  <c r="AN402" i="13"/>
  <c r="AM402" i="13"/>
  <c r="AL402" i="13"/>
  <c r="AK402" i="13"/>
  <c r="AJ402" i="13"/>
  <c r="AI402" i="13"/>
  <c r="AH402" i="13"/>
  <c r="AG402" i="13"/>
  <c r="AF402" i="13"/>
  <c r="AE402" i="13"/>
  <c r="AD402" i="13"/>
  <c r="AC402" i="13"/>
  <c r="AB402" i="13"/>
  <c r="AA402" i="13"/>
  <c r="AO401" i="13"/>
  <c r="AN401" i="13"/>
  <c r="AM401" i="13"/>
  <c r="AL401" i="13"/>
  <c r="AK401" i="13"/>
  <c r="AJ401" i="13"/>
  <c r="AI401" i="13"/>
  <c r="AH401" i="13"/>
  <c r="AG401" i="13"/>
  <c r="AF401" i="13"/>
  <c r="AE401" i="13"/>
  <c r="AD401" i="13"/>
  <c r="AC401" i="13"/>
  <c r="AB401" i="13"/>
  <c r="AA401" i="13"/>
  <c r="AO400" i="13"/>
  <c r="AN400" i="13"/>
  <c r="AM400" i="13"/>
  <c r="AL400" i="13"/>
  <c r="AK400" i="13"/>
  <c r="AJ400" i="13"/>
  <c r="AI400" i="13"/>
  <c r="AH400" i="13"/>
  <c r="AG400" i="13"/>
  <c r="AF400" i="13"/>
  <c r="AE400" i="13"/>
  <c r="AD400" i="13"/>
  <c r="AC400" i="13"/>
  <c r="AB400" i="13"/>
  <c r="AA400" i="13"/>
  <c r="AO399" i="13"/>
  <c r="AN399" i="13"/>
  <c r="AM399" i="13"/>
  <c r="AL399" i="13"/>
  <c r="AK399" i="13"/>
  <c r="AJ399" i="13"/>
  <c r="AI399" i="13"/>
  <c r="AH399" i="13"/>
  <c r="AG399" i="13"/>
  <c r="AF399" i="13"/>
  <c r="AE399" i="13"/>
  <c r="AD399" i="13"/>
  <c r="AC399" i="13"/>
  <c r="AB399" i="13"/>
  <c r="AA399" i="13"/>
  <c r="AO398" i="13"/>
  <c r="AN398" i="13"/>
  <c r="AM398" i="13"/>
  <c r="AL398" i="13"/>
  <c r="AK398" i="13"/>
  <c r="AJ398" i="13"/>
  <c r="AI398" i="13"/>
  <c r="AH398" i="13"/>
  <c r="AG398" i="13"/>
  <c r="AF398" i="13"/>
  <c r="AE398" i="13"/>
  <c r="AD398" i="13"/>
  <c r="AC398" i="13"/>
  <c r="AB398" i="13"/>
  <c r="AA398" i="13"/>
  <c r="AO397" i="13"/>
  <c r="AN397" i="13"/>
  <c r="AM397" i="13"/>
  <c r="AL397" i="13"/>
  <c r="AK397" i="13"/>
  <c r="AJ397" i="13"/>
  <c r="AI397" i="13"/>
  <c r="AH397" i="13"/>
  <c r="AG397" i="13"/>
  <c r="AF397" i="13"/>
  <c r="AE397" i="13"/>
  <c r="AD397" i="13"/>
  <c r="AC397" i="13"/>
  <c r="AB397" i="13"/>
  <c r="AA397" i="13"/>
  <c r="AO396" i="13"/>
  <c r="AN396" i="13"/>
  <c r="AM396" i="13"/>
  <c r="AL396" i="13"/>
  <c r="AK396" i="13"/>
  <c r="AJ396" i="13"/>
  <c r="AI396" i="13"/>
  <c r="AH396" i="13"/>
  <c r="AG396" i="13"/>
  <c r="AF396" i="13"/>
  <c r="AE396" i="13"/>
  <c r="AD396" i="13"/>
  <c r="AC396" i="13"/>
  <c r="AB396" i="13"/>
  <c r="AA396" i="13"/>
  <c r="AO395" i="13"/>
  <c r="AN395" i="13"/>
  <c r="AM395" i="13"/>
  <c r="AL395" i="13"/>
  <c r="AK395" i="13"/>
  <c r="AJ395" i="13"/>
  <c r="AI395" i="13"/>
  <c r="AH395" i="13"/>
  <c r="AG395" i="13"/>
  <c r="AF395" i="13"/>
  <c r="AE395" i="13"/>
  <c r="AD395" i="13"/>
  <c r="AC395" i="13"/>
  <c r="AB395" i="13"/>
  <c r="AA395" i="13"/>
  <c r="AO393" i="13"/>
  <c r="AN393" i="13"/>
  <c r="AM393" i="13"/>
  <c r="AL393" i="13"/>
  <c r="AK393" i="13"/>
  <c r="AJ393" i="13"/>
  <c r="AI393" i="13"/>
  <c r="AH393" i="13"/>
  <c r="AG393" i="13"/>
  <c r="AF393" i="13"/>
  <c r="AE393" i="13"/>
  <c r="AD393" i="13"/>
  <c r="AC393" i="13"/>
  <c r="AB393" i="13"/>
  <c r="AA393" i="13"/>
  <c r="AO392" i="13"/>
  <c r="AN392" i="13"/>
  <c r="AM392" i="13"/>
  <c r="AL392" i="13"/>
  <c r="AK392" i="13"/>
  <c r="AJ392" i="13"/>
  <c r="AI392" i="13"/>
  <c r="AH392" i="13"/>
  <c r="AG392" i="13"/>
  <c r="AF392" i="13"/>
  <c r="AE392" i="13"/>
  <c r="AD392" i="13"/>
  <c r="AC392" i="13"/>
  <c r="AB392" i="13"/>
  <c r="AA392" i="13"/>
  <c r="AO391" i="13"/>
  <c r="AN391" i="13"/>
  <c r="AM391" i="13"/>
  <c r="AL391" i="13"/>
  <c r="AK391" i="13"/>
  <c r="AJ391" i="13"/>
  <c r="AI391" i="13"/>
  <c r="AH391" i="13"/>
  <c r="AG391" i="13"/>
  <c r="AF391" i="13"/>
  <c r="AE391" i="13"/>
  <c r="AD391" i="13"/>
  <c r="AC391" i="13"/>
  <c r="AB391" i="13"/>
  <c r="AA391" i="13"/>
  <c r="AO390" i="13"/>
  <c r="AN390" i="13"/>
  <c r="AM390" i="13"/>
  <c r="AL390" i="13"/>
  <c r="AK390" i="13"/>
  <c r="AJ390" i="13"/>
  <c r="AI390" i="13"/>
  <c r="AH390" i="13"/>
  <c r="AG390" i="13"/>
  <c r="AF390" i="13"/>
  <c r="AE390" i="13"/>
  <c r="AD390" i="13"/>
  <c r="AC390" i="13"/>
  <c r="AB390" i="13"/>
  <c r="AA390" i="13"/>
  <c r="AO389" i="13"/>
  <c r="AN389" i="13"/>
  <c r="AM389" i="13"/>
  <c r="AL389" i="13"/>
  <c r="AK389" i="13"/>
  <c r="AJ389" i="13"/>
  <c r="AI389" i="13"/>
  <c r="AH389" i="13"/>
  <c r="AG389" i="13"/>
  <c r="AF389" i="13"/>
  <c r="AE389" i="13"/>
  <c r="AD389" i="13"/>
  <c r="AC389" i="13"/>
  <c r="AB389" i="13"/>
  <c r="AA389" i="13"/>
  <c r="AO388" i="13"/>
  <c r="AN388" i="13"/>
  <c r="AM388" i="13"/>
  <c r="AL388" i="13"/>
  <c r="AK388" i="13"/>
  <c r="AJ388" i="13"/>
  <c r="AI388" i="13"/>
  <c r="AH388" i="13"/>
  <c r="AG388" i="13"/>
  <c r="AF388" i="13"/>
  <c r="AE388" i="13"/>
  <c r="AD388" i="13"/>
  <c r="AC388" i="13"/>
  <c r="AB388" i="13"/>
  <c r="AA388" i="13"/>
  <c r="AO387" i="13"/>
  <c r="AN387" i="13"/>
  <c r="AM387" i="13"/>
  <c r="AL387" i="13"/>
  <c r="AK387" i="13"/>
  <c r="AJ387" i="13"/>
  <c r="AI387" i="13"/>
  <c r="AH387" i="13"/>
  <c r="AG387" i="13"/>
  <c r="AF387" i="13"/>
  <c r="AE387" i="13"/>
  <c r="AD387" i="13"/>
  <c r="AC387" i="13"/>
  <c r="AB387" i="13"/>
  <c r="AA387" i="13"/>
  <c r="AO386" i="13"/>
  <c r="AN386" i="13"/>
  <c r="AM386" i="13"/>
  <c r="AL386" i="13"/>
  <c r="AK386" i="13"/>
  <c r="AJ386" i="13"/>
  <c r="AI386" i="13"/>
  <c r="AH386" i="13"/>
  <c r="AG386" i="13"/>
  <c r="AF386" i="13"/>
  <c r="AE386" i="13"/>
  <c r="AD386" i="13"/>
  <c r="AC386" i="13"/>
  <c r="AB386" i="13"/>
  <c r="AA386" i="13"/>
  <c r="AO385" i="13"/>
  <c r="AN385" i="13"/>
  <c r="AM385" i="13"/>
  <c r="AL385" i="13"/>
  <c r="AK385" i="13"/>
  <c r="AJ385" i="13"/>
  <c r="AI385" i="13"/>
  <c r="AH385" i="13"/>
  <c r="AH162" i="13" s="1"/>
  <c r="AG385" i="13"/>
  <c r="AF385" i="13"/>
  <c r="AE385" i="13"/>
  <c r="AD385" i="13"/>
  <c r="AC385" i="13"/>
  <c r="AB385" i="13"/>
  <c r="AA385" i="13"/>
  <c r="AO384" i="13"/>
  <c r="AN384" i="13"/>
  <c r="AM384" i="13"/>
  <c r="AL384" i="13"/>
  <c r="AK384" i="13"/>
  <c r="AJ384" i="13"/>
  <c r="AI384" i="13"/>
  <c r="AH384" i="13"/>
  <c r="AG384" i="13"/>
  <c r="AF384" i="13"/>
  <c r="AE384" i="13"/>
  <c r="AD384" i="13"/>
  <c r="AC384" i="13"/>
  <c r="AB384" i="13"/>
  <c r="AA384" i="13"/>
  <c r="AO383" i="13"/>
  <c r="AN383" i="13"/>
  <c r="AM383" i="13"/>
  <c r="AL383" i="13"/>
  <c r="AK383" i="13"/>
  <c r="AJ383" i="13"/>
  <c r="AI383" i="13"/>
  <c r="AH383" i="13"/>
  <c r="AG383" i="13"/>
  <c r="AF383" i="13"/>
  <c r="AE383" i="13"/>
  <c r="AD383" i="13"/>
  <c r="AC383" i="13"/>
  <c r="AB383" i="13"/>
  <c r="AA383" i="13"/>
  <c r="AO382" i="13"/>
  <c r="AN382" i="13"/>
  <c r="AM382" i="13"/>
  <c r="AL382" i="13"/>
  <c r="AK382" i="13"/>
  <c r="AJ382" i="13"/>
  <c r="AI382" i="13"/>
  <c r="AH382" i="13"/>
  <c r="AG382" i="13"/>
  <c r="AF382" i="13"/>
  <c r="AE382" i="13"/>
  <c r="AD382" i="13"/>
  <c r="AC382" i="13"/>
  <c r="AB382" i="13"/>
  <c r="AA382" i="13"/>
  <c r="AO381" i="13"/>
  <c r="AN381" i="13"/>
  <c r="AM381" i="13"/>
  <c r="AL381" i="13"/>
  <c r="AK381" i="13"/>
  <c r="AJ381" i="13"/>
  <c r="AI381" i="13"/>
  <c r="AH381" i="13"/>
  <c r="AG381" i="13"/>
  <c r="AF381" i="13"/>
  <c r="AE381" i="13"/>
  <c r="AD381" i="13"/>
  <c r="AC381" i="13"/>
  <c r="AB381" i="13"/>
  <c r="AA381" i="13"/>
  <c r="AO380" i="13"/>
  <c r="AN380" i="13"/>
  <c r="AM380" i="13"/>
  <c r="AL380" i="13"/>
  <c r="AK380" i="13"/>
  <c r="AK162" i="13" s="1"/>
  <c r="AJ380" i="13"/>
  <c r="AI380" i="13"/>
  <c r="AH380" i="13"/>
  <c r="AG380" i="13"/>
  <c r="AF380" i="13"/>
  <c r="AE380" i="13"/>
  <c r="AD380" i="13"/>
  <c r="AC380" i="13"/>
  <c r="AB380" i="13"/>
  <c r="AA380" i="13"/>
  <c r="AO379" i="13"/>
  <c r="AN379" i="13"/>
  <c r="AM379" i="13"/>
  <c r="AL379" i="13"/>
  <c r="AK379" i="13"/>
  <c r="AJ379" i="13"/>
  <c r="AI379" i="13"/>
  <c r="AH379" i="13"/>
  <c r="AG379" i="13"/>
  <c r="AF379" i="13"/>
  <c r="AE379" i="13"/>
  <c r="AD379" i="13"/>
  <c r="AC379" i="13"/>
  <c r="AB379" i="13"/>
  <c r="AA379" i="13"/>
  <c r="AO378" i="13"/>
  <c r="AN378" i="13"/>
  <c r="AM378" i="13"/>
  <c r="AL378" i="13"/>
  <c r="AK378" i="13"/>
  <c r="AJ378" i="13"/>
  <c r="AI378" i="13"/>
  <c r="AH378" i="13"/>
  <c r="AG378" i="13"/>
  <c r="AF378" i="13"/>
  <c r="AE378" i="13"/>
  <c r="AD378" i="13"/>
  <c r="AC378" i="13"/>
  <c r="AB378" i="13"/>
  <c r="AA378" i="13"/>
  <c r="AO375" i="13"/>
  <c r="AN375" i="13"/>
  <c r="AM375" i="13"/>
  <c r="AL375" i="13"/>
  <c r="AK375" i="13"/>
  <c r="AJ375" i="13"/>
  <c r="AI375" i="13"/>
  <c r="AH375" i="13"/>
  <c r="AG375" i="13"/>
  <c r="AF375" i="13"/>
  <c r="AE375" i="13"/>
  <c r="AD375" i="13"/>
  <c r="AC375" i="13"/>
  <c r="AB375" i="13"/>
  <c r="AA375" i="13"/>
  <c r="AO374" i="13"/>
  <c r="AN374" i="13"/>
  <c r="AM374" i="13"/>
  <c r="AL374" i="13"/>
  <c r="AK374" i="13"/>
  <c r="AJ374" i="13"/>
  <c r="AI374" i="13"/>
  <c r="AH374" i="13"/>
  <c r="AG374" i="13"/>
  <c r="AF374" i="13"/>
  <c r="AE374" i="13"/>
  <c r="AD374" i="13"/>
  <c r="AC374" i="13"/>
  <c r="AB374" i="13"/>
  <c r="AA374" i="13"/>
  <c r="AO373" i="13"/>
  <c r="AN373" i="13"/>
  <c r="AM373" i="13"/>
  <c r="AL373" i="13"/>
  <c r="AK373" i="13"/>
  <c r="AJ373" i="13"/>
  <c r="AI373" i="13"/>
  <c r="AH373" i="13"/>
  <c r="AG373" i="13"/>
  <c r="AF373" i="13"/>
  <c r="AE373" i="13"/>
  <c r="AD373" i="13"/>
  <c r="AC373" i="13"/>
  <c r="AB373" i="13"/>
  <c r="AA373" i="13"/>
  <c r="AO372" i="13"/>
  <c r="AN372" i="13"/>
  <c r="AM372" i="13"/>
  <c r="AL372" i="13"/>
  <c r="AK372" i="13"/>
  <c r="AJ372" i="13"/>
  <c r="AI372" i="13"/>
  <c r="AH372" i="13"/>
  <c r="AG372" i="13"/>
  <c r="AF372" i="13"/>
  <c r="AE372" i="13"/>
  <c r="AD372" i="13"/>
  <c r="AC372" i="13"/>
  <c r="AB372" i="13"/>
  <c r="AA372" i="13"/>
  <c r="AO371" i="13"/>
  <c r="AN371" i="13"/>
  <c r="AM371" i="13"/>
  <c r="AL371" i="13"/>
  <c r="AK371" i="13"/>
  <c r="AJ371" i="13"/>
  <c r="AI371" i="13"/>
  <c r="AH371" i="13"/>
  <c r="AG371" i="13"/>
  <c r="AF371" i="13"/>
  <c r="AE371" i="13"/>
  <c r="AD371" i="13"/>
  <c r="AC371" i="13"/>
  <c r="AB371" i="13"/>
  <c r="AA371" i="13"/>
  <c r="AO370" i="13"/>
  <c r="AN370" i="13"/>
  <c r="AM370" i="13"/>
  <c r="AL370" i="13"/>
  <c r="AK370" i="13"/>
  <c r="AJ370" i="13"/>
  <c r="AI370" i="13"/>
  <c r="AH370" i="13"/>
  <c r="AG370" i="13"/>
  <c r="AF370" i="13"/>
  <c r="AE370" i="13"/>
  <c r="AD370" i="13"/>
  <c r="AC370" i="13"/>
  <c r="AB370" i="13"/>
  <c r="AA370" i="13"/>
  <c r="AO369" i="13"/>
  <c r="AN369" i="13"/>
  <c r="AM369" i="13"/>
  <c r="AL369" i="13"/>
  <c r="AK369" i="13"/>
  <c r="AJ369" i="13"/>
  <c r="AI369" i="13"/>
  <c r="AH369" i="13"/>
  <c r="AG369" i="13"/>
  <c r="AF369" i="13"/>
  <c r="AE369" i="13"/>
  <c r="AD369" i="13"/>
  <c r="AC369" i="13"/>
  <c r="AB369" i="13"/>
  <c r="AA369" i="13"/>
  <c r="AO368" i="13"/>
  <c r="AN368" i="13"/>
  <c r="AM368" i="13"/>
  <c r="AL368" i="13"/>
  <c r="AK368" i="13"/>
  <c r="AJ368" i="13"/>
  <c r="AI368" i="13"/>
  <c r="AH368" i="13"/>
  <c r="AG368" i="13"/>
  <c r="AF368" i="13"/>
  <c r="AE368" i="13"/>
  <c r="AD368" i="13"/>
  <c r="AC368" i="13"/>
  <c r="AB368" i="13"/>
  <c r="AA368" i="13"/>
  <c r="AO367" i="13"/>
  <c r="AN367" i="13"/>
  <c r="AM367" i="13"/>
  <c r="AL367" i="13"/>
  <c r="AK367" i="13"/>
  <c r="AJ367" i="13"/>
  <c r="AI367" i="13"/>
  <c r="AH367" i="13"/>
  <c r="AG367" i="13"/>
  <c r="AF367" i="13"/>
  <c r="AE367" i="13"/>
  <c r="AD367" i="13"/>
  <c r="AC367" i="13"/>
  <c r="AB367" i="13"/>
  <c r="AA367" i="13"/>
  <c r="AO366" i="13"/>
  <c r="AN366" i="13"/>
  <c r="AM366" i="13"/>
  <c r="AL366" i="13"/>
  <c r="AK366" i="13"/>
  <c r="AJ366" i="13"/>
  <c r="AI366" i="13"/>
  <c r="AH366" i="13"/>
  <c r="AG366" i="13"/>
  <c r="AF366" i="13"/>
  <c r="AE366" i="13"/>
  <c r="AD366" i="13"/>
  <c r="AC366" i="13"/>
  <c r="AB366" i="13"/>
  <c r="AA366" i="13"/>
  <c r="AO365" i="13"/>
  <c r="AN365" i="13"/>
  <c r="AM365" i="13"/>
  <c r="AL365" i="13"/>
  <c r="AK365" i="13"/>
  <c r="AJ365" i="13"/>
  <c r="AI365" i="13"/>
  <c r="AH365" i="13"/>
  <c r="AG365" i="13"/>
  <c r="AF365" i="13"/>
  <c r="AE365" i="13"/>
  <c r="AD365" i="13"/>
  <c r="AC365" i="13"/>
  <c r="AB365" i="13"/>
  <c r="AA365" i="13"/>
  <c r="AO364" i="13"/>
  <c r="AN364" i="13"/>
  <c r="AM364" i="13"/>
  <c r="AL364" i="13"/>
  <c r="AK364" i="13"/>
  <c r="AJ364" i="13"/>
  <c r="AI364" i="13"/>
  <c r="AH364" i="13"/>
  <c r="AG364" i="13"/>
  <c r="AF364" i="13"/>
  <c r="AE364" i="13"/>
  <c r="AD364" i="13"/>
  <c r="AC364" i="13"/>
  <c r="AB364" i="13"/>
  <c r="AA364" i="13"/>
  <c r="AE363" i="13"/>
  <c r="AD363" i="13"/>
  <c r="AA363" i="13"/>
  <c r="AO362" i="13"/>
  <c r="AN362" i="13"/>
  <c r="AM362" i="13"/>
  <c r="AL362" i="13"/>
  <c r="AK362" i="13"/>
  <c r="AJ362" i="13"/>
  <c r="AI362" i="13"/>
  <c r="AH362" i="13"/>
  <c r="AG362" i="13"/>
  <c r="AF362" i="13"/>
  <c r="AE362" i="13"/>
  <c r="AD362" i="13"/>
  <c r="AC362" i="13"/>
  <c r="AB362" i="13"/>
  <c r="AA362" i="13"/>
  <c r="AO361" i="13"/>
  <c r="AN361" i="13"/>
  <c r="AM361" i="13"/>
  <c r="AL361" i="13"/>
  <c r="AK361" i="13"/>
  <c r="AJ361" i="13"/>
  <c r="AI361" i="13"/>
  <c r="AH361" i="13"/>
  <c r="AG361" i="13"/>
  <c r="AF361" i="13"/>
  <c r="AE361" i="13"/>
  <c r="AD361" i="13"/>
  <c r="AC361" i="13"/>
  <c r="AB361" i="13"/>
  <c r="AA361" i="13"/>
  <c r="AO360" i="13"/>
  <c r="AN360" i="13"/>
  <c r="AM360" i="13"/>
  <c r="AL360" i="13"/>
  <c r="AK360" i="13"/>
  <c r="AJ360" i="13"/>
  <c r="AI360" i="13"/>
  <c r="AH360" i="13"/>
  <c r="AG360" i="13"/>
  <c r="AF360" i="13"/>
  <c r="AE360" i="13"/>
  <c r="AD360" i="13"/>
  <c r="AC360" i="13"/>
  <c r="AB360" i="13"/>
  <c r="AA360" i="13"/>
  <c r="AO358" i="13"/>
  <c r="AN358" i="13"/>
  <c r="AM358" i="13"/>
  <c r="AL358" i="13"/>
  <c r="AK358" i="13"/>
  <c r="AJ358" i="13"/>
  <c r="AI358" i="13"/>
  <c r="AH358" i="13"/>
  <c r="AG358" i="13"/>
  <c r="AF358" i="13"/>
  <c r="AE358" i="13"/>
  <c r="AD358" i="13"/>
  <c r="AC358" i="13"/>
  <c r="AB358" i="13"/>
  <c r="AA358" i="13"/>
  <c r="AO357" i="13"/>
  <c r="AN357" i="13"/>
  <c r="AM357" i="13"/>
  <c r="AL357" i="13"/>
  <c r="AK357" i="13"/>
  <c r="AJ357" i="13"/>
  <c r="AI357" i="13"/>
  <c r="AH357" i="13"/>
  <c r="AG357" i="13"/>
  <c r="AF357" i="13"/>
  <c r="AE357" i="13"/>
  <c r="AD357" i="13"/>
  <c r="AC357" i="13"/>
  <c r="AB357" i="13"/>
  <c r="AA357" i="13"/>
  <c r="AO356" i="13"/>
  <c r="AN356" i="13"/>
  <c r="AM356" i="13"/>
  <c r="AL356" i="13"/>
  <c r="AK356" i="13"/>
  <c r="AJ356" i="13"/>
  <c r="AI356" i="13"/>
  <c r="AH356" i="13"/>
  <c r="AG356" i="13"/>
  <c r="AF356" i="13"/>
  <c r="AE356" i="13"/>
  <c r="AD356" i="13"/>
  <c r="AC356" i="13"/>
  <c r="AB356" i="13"/>
  <c r="AA356" i="13"/>
  <c r="AO355" i="13"/>
  <c r="AN355" i="13"/>
  <c r="AM355" i="13"/>
  <c r="AL355" i="13"/>
  <c r="AK355" i="13"/>
  <c r="AJ355" i="13"/>
  <c r="AI355" i="13"/>
  <c r="AH355" i="13"/>
  <c r="AG355" i="13"/>
  <c r="AF355" i="13"/>
  <c r="AE355" i="13"/>
  <c r="AD355" i="13"/>
  <c r="AC355" i="13"/>
  <c r="AB355" i="13"/>
  <c r="AA355" i="13"/>
  <c r="AO354" i="13"/>
  <c r="AN354" i="13"/>
  <c r="AM354" i="13"/>
  <c r="AL354" i="13"/>
  <c r="AK354" i="13"/>
  <c r="AJ354" i="13"/>
  <c r="AI354" i="13"/>
  <c r="AH354" i="13"/>
  <c r="AG354" i="13"/>
  <c r="AF354" i="13"/>
  <c r="AE354" i="13"/>
  <c r="AD354" i="13"/>
  <c r="AC354" i="13"/>
  <c r="AB354" i="13"/>
  <c r="AA354" i="13"/>
  <c r="AO353" i="13"/>
  <c r="AN353" i="13"/>
  <c r="AM353" i="13"/>
  <c r="AL353" i="13"/>
  <c r="AK353" i="13"/>
  <c r="AJ353" i="13"/>
  <c r="AI353" i="13"/>
  <c r="AH353" i="13"/>
  <c r="AG353" i="13"/>
  <c r="AF353" i="13"/>
  <c r="AE353" i="13"/>
  <c r="AD353" i="13"/>
  <c r="AC353" i="13"/>
  <c r="AB353" i="13"/>
  <c r="AA353" i="13"/>
  <c r="AO352" i="13"/>
  <c r="AN352" i="13"/>
  <c r="AM352" i="13"/>
  <c r="AL352" i="13"/>
  <c r="AK352" i="13"/>
  <c r="AJ352" i="13"/>
  <c r="AI352" i="13"/>
  <c r="AH352" i="13"/>
  <c r="AG352" i="13"/>
  <c r="AF352" i="13"/>
  <c r="AE352" i="13"/>
  <c r="AD352" i="13"/>
  <c r="AC352" i="13"/>
  <c r="AB352" i="13"/>
  <c r="AA352" i="13"/>
  <c r="AO350" i="13"/>
  <c r="AN350" i="13"/>
  <c r="AM350" i="13"/>
  <c r="AL350" i="13"/>
  <c r="AK350" i="13"/>
  <c r="AJ350" i="13"/>
  <c r="AI350" i="13"/>
  <c r="AH350" i="13"/>
  <c r="AG350" i="13"/>
  <c r="AF350" i="13"/>
  <c r="AE350" i="13"/>
  <c r="AD350" i="13"/>
  <c r="AC350" i="13"/>
  <c r="AB350" i="13"/>
  <c r="AA350" i="13"/>
  <c r="AO349" i="13"/>
  <c r="AN349" i="13"/>
  <c r="AM349" i="13"/>
  <c r="AL349" i="13"/>
  <c r="AK349" i="13"/>
  <c r="AJ349" i="13"/>
  <c r="AI349" i="13"/>
  <c r="AH349" i="13"/>
  <c r="AG349" i="13"/>
  <c r="AF349" i="13"/>
  <c r="AE349" i="13"/>
  <c r="AD349" i="13"/>
  <c r="AC349" i="13"/>
  <c r="AB349" i="13"/>
  <c r="AA349" i="13"/>
  <c r="AO348" i="13"/>
  <c r="AN348" i="13"/>
  <c r="AM348" i="13"/>
  <c r="AL348" i="13"/>
  <c r="AK348" i="13"/>
  <c r="AJ348" i="13"/>
  <c r="AI348" i="13"/>
  <c r="AH348" i="13"/>
  <c r="AG348" i="13"/>
  <c r="AF348" i="13"/>
  <c r="AE348" i="13"/>
  <c r="AD348" i="13"/>
  <c r="AC348" i="13"/>
  <c r="AB348" i="13"/>
  <c r="AA348" i="13"/>
  <c r="AO347" i="13"/>
  <c r="AN347" i="13"/>
  <c r="AM347" i="13"/>
  <c r="AL347" i="13"/>
  <c r="AK347" i="13"/>
  <c r="AJ347" i="13"/>
  <c r="AI347" i="13"/>
  <c r="AH347" i="13"/>
  <c r="AG347" i="13"/>
  <c r="AF347" i="13"/>
  <c r="AE347" i="13"/>
  <c r="AD347" i="13"/>
  <c r="AC347" i="13"/>
  <c r="AB347" i="13"/>
  <c r="AA347" i="13"/>
  <c r="AO346" i="13"/>
  <c r="AN346" i="13"/>
  <c r="AM346" i="13"/>
  <c r="AL346" i="13"/>
  <c r="AK346" i="13"/>
  <c r="AJ346" i="13"/>
  <c r="AI346" i="13"/>
  <c r="AH346" i="13"/>
  <c r="AG346" i="13"/>
  <c r="AF346" i="13"/>
  <c r="AE346" i="13"/>
  <c r="AD346" i="13"/>
  <c r="AC346" i="13"/>
  <c r="AB346" i="13"/>
  <c r="AA346" i="13"/>
  <c r="AO345" i="13"/>
  <c r="AN345" i="13"/>
  <c r="AM345" i="13"/>
  <c r="AL345" i="13"/>
  <c r="AK345" i="13"/>
  <c r="AJ345" i="13"/>
  <c r="AI345" i="13"/>
  <c r="AH345" i="13"/>
  <c r="AG345" i="13"/>
  <c r="AF345" i="13"/>
  <c r="AE345" i="13"/>
  <c r="AD345" i="13"/>
  <c r="AC345" i="13"/>
  <c r="AB345" i="13"/>
  <c r="AA345" i="13"/>
  <c r="AO344" i="13"/>
  <c r="AN344" i="13"/>
  <c r="AM344" i="13"/>
  <c r="AL344" i="13"/>
  <c r="AK344" i="13"/>
  <c r="AJ344" i="13"/>
  <c r="AI344" i="13"/>
  <c r="AH344" i="13"/>
  <c r="AG344" i="13"/>
  <c r="AF344" i="13"/>
  <c r="AE344" i="13"/>
  <c r="AD344" i="13"/>
  <c r="AC344" i="13"/>
  <c r="AB344" i="13"/>
  <c r="AA344" i="13"/>
  <c r="AO343" i="13"/>
  <c r="AN343" i="13"/>
  <c r="AM343" i="13"/>
  <c r="AL343" i="13"/>
  <c r="AK343" i="13"/>
  <c r="AJ343" i="13"/>
  <c r="AI343" i="13"/>
  <c r="AH343" i="13"/>
  <c r="AG343" i="13"/>
  <c r="AF343" i="13"/>
  <c r="AE343" i="13"/>
  <c r="AD343" i="13"/>
  <c r="AC343" i="13"/>
  <c r="AB343" i="13"/>
  <c r="AA343" i="13"/>
  <c r="AO342" i="13"/>
  <c r="AN342" i="13"/>
  <c r="AM342" i="13"/>
  <c r="AL342" i="13"/>
  <c r="AK342" i="13"/>
  <c r="AJ342" i="13"/>
  <c r="AI342" i="13"/>
  <c r="AH342" i="13"/>
  <c r="AG342" i="13"/>
  <c r="AF342" i="13"/>
  <c r="AE342" i="13"/>
  <c r="AD342" i="13"/>
  <c r="AC342" i="13"/>
  <c r="AB342" i="13"/>
  <c r="AA342" i="13"/>
  <c r="AO341" i="13"/>
  <c r="AN341" i="13"/>
  <c r="AM341" i="13"/>
  <c r="AL341" i="13"/>
  <c r="AK341" i="13"/>
  <c r="AJ341" i="13"/>
  <c r="AI341" i="13"/>
  <c r="AH341" i="13"/>
  <c r="AG341" i="13"/>
  <c r="AF341" i="13"/>
  <c r="AE341" i="13"/>
  <c r="AD341" i="13"/>
  <c r="AC341" i="13"/>
  <c r="AB341" i="13"/>
  <c r="AA341" i="13"/>
  <c r="AO340" i="13"/>
  <c r="AN340" i="13"/>
  <c r="AM340" i="13"/>
  <c r="AL340" i="13"/>
  <c r="AK340" i="13"/>
  <c r="AJ340" i="13"/>
  <c r="AI340" i="13"/>
  <c r="AH340" i="13"/>
  <c r="AG340" i="13"/>
  <c r="AF340" i="13"/>
  <c r="AE340" i="13"/>
  <c r="AD340" i="13"/>
  <c r="AC340" i="13"/>
  <c r="AB340" i="13"/>
  <c r="AA340" i="13"/>
  <c r="AO339" i="13"/>
  <c r="AN339" i="13"/>
  <c r="AM339" i="13"/>
  <c r="AL339" i="13"/>
  <c r="AK339" i="13"/>
  <c r="AJ339" i="13"/>
  <c r="AI339" i="13"/>
  <c r="AH339" i="13"/>
  <c r="AG339" i="13"/>
  <c r="AF339" i="13"/>
  <c r="AE339" i="13"/>
  <c r="AD339" i="13"/>
  <c r="AC339" i="13"/>
  <c r="AB339" i="13"/>
  <c r="AA339" i="13"/>
  <c r="AO338" i="13"/>
  <c r="AN338" i="13"/>
  <c r="AM338" i="13"/>
  <c r="AL338" i="13"/>
  <c r="AK338" i="13"/>
  <c r="AJ338" i="13"/>
  <c r="AI338" i="13"/>
  <c r="AH338" i="13"/>
  <c r="AG338" i="13"/>
  <c r="AF338" i="13"/>
  <c r="AE338" i="13"/>
  <c r="AD338" i="13"/>
  <c r="AC338" i="13"/>
  <c r="AB338" i="13"/>
  <c r="AA338" i="13"/>
  <c r="AO337" i="13"/>
  <c r="AN337" i="13"/>
  <c r="AM337" i="13"/>
  <c r="AL337" i="13"/>
  <c r="AK337" i="13"/>
  <c r="AJ337" i="13"/>
  <c r="AI337" i="13"/>
  <c r="AH337" i="13"/>
  <c r="AG337" i="13"/>
  <c r="AF337" i="13"/>
  <c r="AE337" i="13"/>
  <c r="AD337" i="13"/>
  <c r="AC337" i="13"/>
  <c r="AB337" i="13"/>
  <c r="AA337" i="13"/>
  <c r="AO336" i="13"/>
  <c r="AN336" i="13"/>
  <c r="AM336" i="13"/>
  <c r="AL336" i="13"/>
  <c r="AK336" i="13"/>
  <c r="AJ336" i="13"/>
  <c r="AI336" i="13"/>
  <c r="AH336" i="13"/>
  <c r="AG336" i="13"/>
  <c r="AF336" i="13"/>
  <c r="AE336" i="13"/>
  <c r="AD336" i="13"/>
  <c r="AC336" i="13"/>
  <c r="AB336" i="13"/>
  <c r="AA336" i="13"/>
  <c r="AO335" i="13"/>
  <c r="AN335" i="13"/>
  <c r="AM335" i="13"/>
  <c r="AL335" i="13"/>
  <c r="AK335" i="13"/>
  <c r="AJ335" i="13"/>
  <c r="AI335" i="13"/>
  <c r="AH335" i="13"/>
  <c r="AG335" i="13"/>
  <c r="AF335" i="13"/>
  <c r="AE335" i="13"/>
  <c r="AD335" i="13"/>
  <c r="AC335" i="13"/>
  <c r="AB335" i="13"/>
  <c r="AA335" i="13"/>
  <c r="AO334" i="13"/>
  <c r="AN334" i="13"/>
  <c r="AM334" i="13"/>
  <c r="AL334" i="13"/>
  <c r="AK334" i="13"/>
  <c r="AJ334" i="13"/>
  <c r="AI334" i="13"/>
  <c r="AH334" i="13"/>
  <c r="AG334" i="13"/>
  <c r="AF334" i="13"/>
  <c r="AE334" i="13"/>
  <c r="AD334" i="13"/>
  <c r="AC334" i="13"/>
  <c r="AB334" i="13"/>
  <c r="AA334" i="13"/>
  <c r="AO332" i="13"/>
  <c r="AN332" i="13"/>
  <c r="AM332" i="13"/>
  <c r="AL332" i="13"/>
  <c r="AK332" i="13"/>
  <c r="AJ332" i="13"/>
  <c r="AI332" i="13"/>
  <c r="AH332" i="13"/>
  <c r="AG332" i="13"/>
  <c r="AF332" i="13"/>
  <c r="AE332" i="13"/>
  <c r="AD332" i="13"/>
  <c r="AC332" i="13"/>
  <c r="AB332" i="13"/>
  <c r="AA332" i="13"/>
  <c r="AO331" i="13"/>
  <c r="AN331" i="13"/>
  <c r="AM331" i="13"/>
  <c r="AL331" i="13"/>
  <c r="AK331" i="13"/>
  <c r="AJ331" i="13"/>
  <c r="AI331" i="13"/>
  <c r="AH331" i="13"/>
  <c r="AG331" i="13"/>
  <c r="AF331" i="13"/>
  <c r="AE331" i="13"/>
  <c r="AD331" i="13"/>
  <c r="AC331" i="13"/>
  <c r="AB331" i="13"/>
  <c r="AA331" i="13"/>
  <c r="AO328" i="13"/>
  <c r="AN328" i="13"/>
  <c r="AM328" i="13"/>
  <c r="AL328" i="13"/>
  <c r="AK328" i="13"/>
  <c r="AJ328" i="13"/>
  <c r="AI328" i="13"/>
  <c r="AH328" i="13"/>
  <c r="AG328" i="13"/>
  <c r="AF328" i="13"/>
  <c r="AE328" i="13"/>
  <c r="AD328" i="13"/>
  <c r="AC328" i="13"/>
  <c r="AB328" i="13"/>
  <c r="AA328" i="13"/>
  <c r="AO327" i="13"/>
  <c r="AN327" i="13"/>
  <c r="AM327" i="13"/>
  <c r="AL327" i="13"/>
  <c r="AK327" i="13"/>
  <c r="AJ327" i="13"/>
  <c r="AI327" i="13"/>
  <c r="AH327" i="13"/>
  <c r="AG327" i="13"/>
  <c r="AF327" i="13"/>
  <c r="AE327" i="13"/>
  <c r="AD327" i="13"/>
  <c r="AC327" i="13"/>
  <c r="AB327" i="13"/>
  <c r="AA327" i="13"/>
  <c r="AO326" i="13"/>
  <c r="AN326" i="13"/>
  <c r="AM326" i="13"/>
  <c r="AL326" i="13"/>
  <c r="AK326" i="13"/>
  <c r="AJ326" i="13"/>
  <c r="AI326" i="13"/>
  <c r="AH326" i="13"/>
  <c r="AG326" i="13"/>
  <c r="AF326" i="13"/>
  <c r="AE326" i="13"/>
  <c r="AD326" i="13"/>
  <c r="AC326" i="13"/>
  <c r="AB326" i="13"/>
  <c r="AA326" i="13"/>
  <c r="AO325" i="13"/>
  <c r="AN325" i="13"/>
  <c r="AM325" i="13"/>
  <c r="AL325" i="13"/>
  <c r="AK325" i="13"/>
  <c r="AJ325" i="13"/>
  <c r="AI325" i="13"/>
  <c r="AH325" i="13"/>
  <c r="AG325" i="13"/>
  <c r="AF325" i="13"/>
  <c r="AE325" i="13"/>
  <c r="AD325" i="13"/>
  <c r="AC325" i="13"/>
  <c r="AB325" i="13"/>
  <c r="AA325" i="13"/>
  <c r="AO324" i="13"/>
  <c r="AN324" i="13"/>
  <c r="AM324" i="13"/>
  <c r="AL324" i="13"/>
  <c r="AK324" i="13"/>
  <c r="AJ324" i="13"/>
  <c r="AI324" i="13"/>
  <c r="AH324" i="13"/>
  <c r="AG324" i="13"/>
  <c r="AF324" i="13"/>
  <c r="AE324" i="13"/>
  <c r="AD324" i="13"/>
  <c r="AC324" i="13"/>
  <c r="AB324" i="13"/>
  <c r="AA324" i="13"/>
  <c r="AO323" i="13"/>
  <c r="AN323" i="13"/>
  <c r="AM323" i="13"/>
  <c r="AL323" i="13"/>
  <c r="AK323" i="13"/>
  <c r="AJ323" i="13"/>
  <c r="AI323" i="13"/>
  <c r="AH323" i="13"/>
  <c r="AG323" i="13"/>
  <c r="AF323" i="13"/>
  <c r="AE323" i="13"/>
  <c r="AD323" i="13"/>
  <c r="AC323" i="13"/>
  <c r="AB323" i="13"/>
  <c r="AA323" i="13"/>
  <c r="AO322" i="13"/>
  <c r="AN322" i="13"/>
  <c r="AM322" i="13"/>
  <c r="AL322" i="13"/>
  <c r="AK322" i="13"/>
  <c r="AJ322" i="13"/>
  <c r="AI322" i="13"/>
  <c r="AH322" i="13"/>
  <c r="AG322" i="13"/>
  <c r="AF322" i="13"/>
  <c r="AE322" i="13"/>
  <c r="AD322" i="13"/>
  <c r="AC322" i="13"/>
  <c r="AB322" i="13"/>
  <c r="AA322" i="13"/>
  <c r="AO320" i="13"/>
  <c r="AN320" i="13"/>
  <c r="AM320" i="13"/>
  <c r="AL320" i="13"/>
  <c r="AK320" i="13"/>
  <c r="AJ320" i="13"/>
  <c r="AI320" i="13"/>
  <c r="AH320" i="13"/>
  <c r="AG320" i="13"/>
  <c r="AF320" i="13"/>
  <c r="AE320" i="13"/>
  <c r="AD320" i="13"/>
  <c r="AC320" i="13"/>
  <c r="AB320" i="13"/>
  <c r="AA320" i="13"/>
  <c r="AO319" i="13"/>
  <c r="AN319" i="13"/>
  <c r="AM319" i="13"/>
  <c r="AL319" i="13"/>
  <c r="AK319" i="13"/>
  <c r="AJ319" i="13"/>
  <c r="AI319" i="13"/>
  <c r="AH319" i="13"/>
  <c r="AG319" i="13"/>
  <c r="AF319" i="13"/>
  <c r="AE319" i="13"/>
  <c r="AD319" i="13"/>
  <c r="AC319" i="13"/>
  <c r="AB319" i="13"/>
  <c r="AA319" i="13"/>
  <c r="AO318" i="13"/>
  <c r="AN318" i="13"/>
  <c r="AM318" i="13"/>
  <c r="AL318" i="13"/>
  <c r="AK318" i="13"/>
  <c r="AJ318" i="13"/>
  <c r="AI318" i="13"/>
  <c r="AH318" i="13"/>
  <c r="AG318" i="13"/>
  <c r="AF318" i="13"/>
  <c r="AE318" i="13"/>
  <c r="AD318" i="13"/>
  <c r="AC318" i="13"/>
  <c r="AB318" i="13"/>
  <c r="AA318" i="13"/>
  <c r="AO317" i="13"/>
  <c r="AN317" i="13"/>
  <c r="AM317" i="13"/>
  <c r="AL317" i="13"/>
  <c r="AK317" i="13"/>
  <c r="AJ317" i="13"/>
  <c r="AI317" i="13"/>
  <c r="AH317" i="13"/>
  <c r="AG317" i="13"/>
  <c r="AF317" i="13"/>
  <c r="AE317" i="13"/>
  <c r="AD317" i="13"/>
  <c r="AC317" i="13"/>
  <c r="AB317" i="13"/>
  <c r="AA317" i="13"/>
  <c r="AO316" i="13"/>
  <c r="AN316" i="13"/>
  <c r="AM316" i="13"/>
  <c r="AL316" i="13"/>
  <c r="AK316" i="13"/>
  <c r="AJ316" i="13"/>
  <c r="AI316" i="13"/>
  <c r="AH316" i="13"/>
  <c r="AG316" i="13"/>
  <c r="AF316" i="13"/>
  <c r="AE316" i="13"/>
  <c r="AD316" i="13"/>
  <c r="AC316" i="13"/>
  <c r="AB316" i="13"/>
  <c r="AA316" i="13"/>
  <c r="AO315" i="13"/>
  <c r="AN315" i="13"/>
  <c r="AM315" i="13"/>
  <c r="AL315" i="13"/>
  <c r="AK315" i="13"/>
  <c r="AJ315" i="13"/>
  <c r="AI315" i="13"/>
  <c r="AH315" i="13"/>
  <c r="AG315" i="13"/>
  <c r="AF315" i="13"/>
  <c r="AE315" i="13"/>
  <c r="AD315" i="13"/>
  <c r="AC315" i="13"/>
  <c r="AB315" i="13"/>
  <c r="AA315" i="13"/>
  <c r="AO314" i="13"/>
  <c r="AN314" i="13"/>
  <c r="AM314" i="13"/>
  <c r="AL314" i="13"/>
  <c r="AK314" i="13"/>
  <c r="AJ314" i="13"/>
  <c r="AI314" i="13"/>
  <c r="AH314" i="13"/>
  <c r="AG314" i="13"/>
  <c r="AF314" i="13"/>
  <c r="AE314" i="13"/>
  <c r="AD314" i="13"/>
  <c r="AC314" i="13"/>
  <c r="AB314" i="13"/>
  <c r="AA314" i="13"/>
  <c r="AO313" i="13"/>
  <c r="AN313" i="13"/>
  <c r="AM313" i="13"/>
  <c r="AL313" i="13"/>
  <c r="AK313" i="13"/>
  <c r="AJ313" i="13"/>
  <c r="AI313" i="13"/>
  <c r="AH313" i="13"/>
  <c r="AG313" i="13"/>
  <c r="AF313" i="13"/>
  <c r="AE313" i="13"/>
  <c r="AD313" i="13"/>
  <c r="AC313" i="13"/>
  <c r="AB313" i="13"/>
  <c r="AA313" i="13"/>
  <c r="AO311" i="13"/>
  <c r="AN311" i="13"/>
  <c r="AM311" i="13"/>
  <c r="AL311" i="13"/>
  <c r="AK311" i="13"/>
  <c r="AJ311" i="13"/>
  <c r="AI311" i="13"/>
  <c r="AH311" i="13"/>
  <c r="AG311" i="13"/>
  <c r="AF311" i="13"/>
  <c r="AE311" i="13"/>
  <c r="AD311" i="13"/>
  <c r="AC311" i="13"/>
  <c r="AB311" i="13"/>
  <c r="AA311" i="13"/>
  <c r="AO310" i="13"/>
  <c r="AN310" i="13"/>
  <c r="AM310" i="13"/>
  <c r="AL310" i="13"/>
  <c r="AK310" i="13"/>
  <c r="AJ310" i="13"/>
  <c r="AI310" i="13"/>
  <c r="AH310" i="13"/>
  <c r="AG310" i="13"/>
  <c r="AF310" i="13"/>
  <c r="AE310" i="13"/>
  <c r="AD310" i="13"/>
  <c r="AC310" i="13"/>
  <c r="AB310" i="13"/>
  <c r="AA310" i="13"/>
  <c r="AO309" i="13"/>
  <c r="AN309" i="13"/>
  <c r="AM309" i="13"/>
  <c r="AL309" i="13"/>
  <c r="AK309" i="13"/>
  <c r="AJ309" i="13"/>
  <c r="AI309" i="13"/>
  <c r="AH309" i="13"/>
  <c r="AG309" i="13"/>
  <c r="AF309" i="13"/>
  <c r="AE309" i="13"/>
  <c r="AD309" i="13"/>
  <c r="AC309" i="13"/>
  <c r="AB309" i="13"/>
  <c r="AA309" i="13"/>
  <c r="AO308" i="13"/>
  <c r="AN308" i="13"/>
  <c r="AM308" i="13"/>
  <c r="AL308" i="13"/>
  <c r="AK308" i="13"/>
  <c r="AJ308" i="13"/>
  <c r="AI308" i="13"/>
  <c r="AH308" i="13"/>
  <c r="AG308" i="13"/>
  <c r="AF308" i="13"/>
  <c r="AE308" i="13"/>
  <c r="AD308" i="13"/>
  <c r="AC308" i="13"/>
  <c r="AB308" i="13"/>
  <c r="AA308" i="13"/>
  <c r="AO305" i="13"/>
  <c r="AN305" i="13"/>
  <c r="AM305" i="13"/>
  <c r="AL305" i="13"/>
  <c r="AK305" i="13"/>
  <c r="AJ305" i="13"/>
  <c r="AI305" i="13"/>
  <c r="AH305" i="13"/>
  <c r="AG305" i="13"/>
  <c r="AF305" i="13"/>
  <c r="AE305" i="13"/>
  <c r="AD305" i="13"/>
  <c r="AC305" i="13"/>
  <c r="AB305" i="13"/>
  <c r="AA305" i="13"/>
  <c r="AO304" i="13"/>
  <c r="AN304" i="13"/>
  <c r="AM304" i="13"/>
  <c r="AL304" i="13"/>
  <c r="AK304" i="13"/>
  <c r="AJ304" i="13"/>
  <c r="AI304" i="13"/>
  <c r="AH304" i="13"/>
  <c r="AG304" i="13"/>
  <c r="AF304" i="13"/>
  <c r="AE304" i="13"/>
  <c r="AD304" i="13"/>
  <c r="AC304" i="13"/>
  <c r="AB304" i="13"/>
  <c r="AA304" i="13"/>
  <c r="AO303" i="13"/>
  <c r="AN303" i="13"/>
  <c r="AM303" i="13"/>
  <c r="AL303" i="13"/>
  <c r="AK303" i="13"/>
  <c r="AJ303" i="13"/>
  <c r="AI303" i="13"/>
  <c r="AH303" i="13"/>
  <c r="AG303" i="13"/>
  <c r="AF303" i="13"/>
  <c r="AE303" i="13"/>
  <c r="AD303" i="13"/>
  <c r="AC303" i="13"/>
  <c r="AB303" i="13"/>
  <c r="AA303" i="13"/>
  <c r="AO302" i="13"/>
  <c r="AN302" i="13"/>
  <c r="AM302" i="13"/>
  <c r="AL302" i="13"/>
  <c r="AK302" i="13"/>
  <c r="AJ302" i="13"/>
  <c r="AI302" i="13"/>
  <c r="AH302" i="13"/>
  <c r="AG302" i="13"/>
  <c r="AF302" i="13"/>
  <c r="AE302" i="13"/>
  <c r="AD302" i="13"/>
  <c r="AC302" i="13"/>
  <c r="AB302" i="13"/>
  <c r="AA302" i="13"/>
  <c r="AO301" i="13"/>
  <c r="AN301" i="13"/>
  <c r="AM301" i="13"/>
  <c r="AL301" i="13"/>
  <c r="AK301" i="13"/>
  <c r="AJ301" i="13"/>
  <c r="AI301" i="13"/>
  <c r="AH301" i="13"/>
  <c r="AG301" i="13"/>
  <c r="AF301" i="13"/>
  <c r="AE301" i="13"/>
  <c r="AD301" i="13"/>
  <c r="AC301" i="13"/>
  <c r="AB301" i="13"/>
  <c r="AA301" i="13"/>
  <c r="AO298" i="13"/>
  <c r="AN298" i="13"/>
  <c r="AM298" i="13"/>
  <c r="AL298" i="13"/>
  <c r="AK298" i="13"/>
  <c r="AJ298" i="13"/>
  <c r="AI298" i="13"/>
  <c r="AH298" i="13"/>
  <c r="AG298" i="13"/>
  <c r="AF298" i="13"/>
  <c r="AE298" i="13"/>
  <c r="AD298" i="13"/>
  <c r="AC298" i="13"/>
  <c r="AB298" i="13"/>
  <c r="AA298" i="13"/>
  <c r="AO297" i="13"/>
  <c r="AN297" i="13"/>
  <c r="AM297" i="13"/>
  <c r="AL297" i="13"/>
  <c r="AK297" i="13"/>
  <c r="AJ297" i="13"/>
  <c r="AI297" i="13"/>
  <c r="AH297" i="13"/>
  <c r="AG297" i="13"/>
  <c r="AF297" i="13"/>
  <c r="AE297" i="13"/>
  <c r="AD297" i="13"/>
  <c r="AC297" i="13"/>
  <c r="AB297" i="13"/>
  <c r="AA297" i="13"/>
  <c r="AO296" i="13"/>
  <c r="AN296" i="13"/>
  <c r="AM296" i="13"/>
  <c r="AL296" i="13"/>
  <c r="AK296" i="13"/>
  <c r="AJ296" i="13"/>
  <c r="AI296" i="13"/>
  <c r="AH296" i="13"/>
  <c r="AG296" i="13"/>
  <c r="AF296" i="13"/>
  <c r="AE296" i="13"/>
  <c r="AD296" i="13"/>
  <c r="AC296" i="13"/>
  <c r="AB296" i="13"/>
  <c r="AA296" i="13"/>
  <c r="AO295" i="13"/>
  <c r="AN295" i="13"/>
  <c r="AM295" i="13"/>
  <c r="AL295" i="13"/>
  <c r="AK295" i="13"/>
  <c r="AJ295" i="13"/>
  <c r="AI295" i="13"/>
  <c r="AH295" i="13"/>
  <c r="AG295" i="13"/>
  <c r="AF295" i="13"/>
  <c r="AE295" i="13"/>
  <c r="AD295" i="13"/>
  <c r="AC295" i="13"/>
  <c r="AB295" i="13"/>
  <c r="AA295" i="13"/>
  <c r="AO294" i="13"/>
  <c r="AN294" i="13"/>
  <c r="AM294" i="13"/>
  <c r="AL294" i="13"/>
  <c r="AK294" i="13"/>
  <c r="AJ294" i="13"/>
  <c r="AI294" i="13"/>
  <c r="AH294" i="13"/>
  <c r="AG294" i="13"/>
  <c r="AF294" i="13"/>
  <c r="AE294" i="13"/>
  <c r="AD294" i="13"/>
  <c r="AC294" i="13"/>
  <c r="AB294" i="13"/>
  <c r="AA294" i="13"/>
  <c r="AO293" i="13"/>
  <c r="AN293" i="13"/>
  <c r="AM293" i="13"/>
  <c r="AL293" i="13"/>
  <c r="AK293" i="13"/>
  <c r="AJ293" i="13"/>
  <c r="AI293" i="13"/>
  <c r="AH293" i="13"/>
  <c r="AG293" i="13"/>
  <c r="AF293" i="13"/>
  <c r="AE293" i="13"/>
  <c r="AD293" i="13"/>
  <c r="AC293" i="13"/>
  <c r="AB293" i="13"/>
  <c r="AA293" i="13"/>
  <c r="AO292" i="13"/>
  <c r="AN292" i="13"/>
  <c r="AM292" i="13"/>
  <c r="AL292" i="13"/>
  <c r="AK292" i="13"/>
  <c r="AJ292" i="13"/>
  <c r="AI292" i="13"/>
  <c r="AH292" i="13"/>
  <c r="AG292" i="13"/>
  <c r="AF292" i="13"/>
  <c r="AE292" i="13"/>
  <c r="AD292" i="13"/>
  <c r="AC292" i="13"/>
  <c r="AB292" i="13"/>
  <c r="AA292" i="13"/>
  <c r="AO291" i="13"/>
  <c r="AN291" i="13"/>
  <c r="AM291" i="13"/>
  <c r="AL291" i="13"/>
  <c r="AK291" i="13"/>
  <c r="AJ291" i="13"/>
  <c r="AI291" i="13"/>
  <c r="AH291" i="13"/>
  <c r="AG291" i="13"/>
  <c r="AF291" i="13"/>
  <c r="AE291" i="13"/>
  <c r="AD291" i="13"/>
  <c r="AC291" i="13"/>
  <c r="AB291" i="13"/>
  <c r="AA291" i="13"/>
  <c r="AO288" i="13"/>
  <c r="AN288" i="13"/>
  <c r="AM288" i="13"/>
  <c r="AL288" i="13"/>
  <c r="AK288" i="13"/>
  <c r="AJ288" i="13"/>
  <c r="AI288" i="13"/>
  <c r="AH288" i="13"/>
  <c r="AG288" i="13"/>
  <c r="AF288" i="13"/>
  <c r="AE288" i="13"/>
  <c r="AD288" i="13"/>
  <c r="AC288" i="13"/>
  <c r="AB288" i="13"/>
  <c r="AA288" i="13"/>
  <c r="AO287" i="13"/>
  <c r="AN287" i="13"/>
  <c r="AM287" i="13"/>
  <c r="AL287" i="13"/>
  <c r="AK287" i="13"/>
  <c r="AJ287" i="13"/>
  <c r="AI287" i="13"/>
  <c r="AH287" i="13"/>
  <c r="AG287" i="13"/>
  <c r="AF287" i="13"/>
  <c r="AE287" i="13"/>
  <c r="AD287" i="13"/>
  <c r="AC287" i="13"/>
  <c r="AB287" i="13"/>
  <c r="AA287" i="13"/>
  <c r="AO286" i="13"/>
  <c r="AN286" i="13"/>
  <c r="AM286" i="13"/>
  <c r="AL286" i="13"/>
  <c r="AK286" i="13"/>
  <c r="AJ286" i="13"/>
  <c r="AI286" i="13"/>
  <c r="AH286" i="13"/>
  <c r="AG286" i="13"/>
  <c r="AF286" i="13"/>
  <c r="AE286" i="13"/>
  <c r="AD286" i="13"/>
  <c r="AC286" i="13"/>
  <c r="AB286" i="13"/>
  <c r="AA286" i="13"/>
  <c r="AO285" i="13"/>
  <c r="AN285" i="13"/>
  <c r="AM285" i="13"/>
  <c r="AL285" i="13"/>
  <c r="AK285" i="13"/>
  <c r="AJ285" i="13"/>
  <c r="AI285" i="13"/>
  <c r="AH285" i="13"/>
  <c r="AG285" i="13"/>
  <c r="AF285" i="13"/>
  <c r="AE285" i="13"/>
  <c r="AD285" i="13"/>
  <c r="AC285" i="13"/>
  <c r="AB285" i="13"/>
  <c r="AA285" i="13"/>
  <c r="AO284" i="13"/>
  <c r="AN284" i="13"/>
  <c r="AM284" i="13"/>
  <c r="AL284" i="13"/>
  <c r="AK284" i="13"/>
  <c r="AJ284" i="13"/>
  <c r="AI284" i="13"/>
  <c r="AH284" i="13"/>
  <c r="AG284" i="13"/>
  <c r="AF284" i="13"/>
  <c r="AE284" i="13"/>
  <c r="AD284" i="13"/>
  <c r="AC284" i="13"/>
  <c r="AB284" i="13"/>
  <c r="AA284" i="13"/>
  <c r="AO283" i="13"/>
  <c r="AN283" i="13"/>
  <c r="AM283" i="13"/>
  <c r="AL283" i="13"/>
  <c r="AK283" i="13"/>
  <c r="AJ283" i="13"/>
  <c r="AI283" i="13"/>
  <c r="AH283" i="13"/>
  <c r="AG283" i="13"/>
  <c r="AF283" i="13"/>
  <c r="AE283" i="13"/>
  <c r="AD283" i="13"/>
  <c r="AC283" i="13"/>
  <c r="AB283" i="13"/>
  <c r="AA283" i="13"/>
  <c r="AO282" i="13"/>
  <c r="AN282" i="13"/>
  <c r="AM282" i="13"/>
  <c r="AL282" i="13"/>
  <c r="AK282" i="13"/>
  <c r="AJ282" i="13"/>
  <c r="AI282" i="13"/>
  <c r="AH282" i="13"/>
  <c r="AG282" i="13"/>
  <c r="AF282" i="13"/>
  <c r="AE282" i="13"/>
  <c r="AD282" i="13"/>
  <c r="AC282" i="13"/>
  <c r="AB282" i="13"/>
  <c r="AA282" i="13"/>
  <c r="E282" i="13"/>
  <c r="D282" i="13"/>
  <c r="AO281" i="13"/>
  <c r="AN281" i="13"/>
  <c r="AM281" i="13"/>
  <c r="AL281" i="13"/>
  <c r="AK281" i="13"/>
  <c r="AJ281" i="13"/>
  <c r="AI281" i="13"/>
  <c r="AH281" i="13"/>
  <c r="AG281" i="13"/>
  <c r="AF281" i="13"/>
  <c r="AE281" i="13"/>
  <c r="AD281" i="13"/>
  <c r="AC281" i="13"/>
  <c r="AB281" i="13"/>
  <c r="AA281" i="13"/>
  <c r="E281" i="13"/>
  <c r="D281" i="13"/>
  <c r="AO280" i="13"/>
  <c r="AN280" i="13"/>
  <c r="AM280" i="13"/>
  <c r="AL280" i="13"/>
  <c r="AK280" i="13"/>
  <c r="AJ280" i="13"/>
  <c r="AI280" i="13"/>
  <c r="AH280" i="13"/>
  <c r="AG280" i="13"/>
  <c r="AG160" i="13" s="1"/>
  <c r="AF280" i="13"/>
  <c r="AE280" i="13"/>
  <c r="AD280" i="13"/>
  <c r="AC280" i="13"/>
  <c r="AB280" i="13"/>
  <c r="AA280" i="13"/>
  <c r="E280" i="13"/>
  <c r="D280" i="13"/>
  <c r="E279" i="13"/>
  <c r="D279" i="13"/>
  <c r="AO278" i="13"/>
  <c r="AN278" i="13"/>
  <c r="AM278" i="13"/>
  <c r="AL278" i="13"/>
  <c r="AK278" i="13"/>
  <c r="AJ278" i="13"/>
  <c r="AI278" i="13"/>
  <c r="AH278" i="13"/>
  <c r="AG278" i="13"/>
  <c r="AF278" i="13"/>
  <c r="AE278" i="13"/>
  <c r="AD278" i="13"/>
  <c r="AC278" i="13"/>
  <c r="AB278" i="13"/>
  <c r="AA278" i="13"/>
  <c r="E278" i="13"/>
  <c r="D278" i="13"/>
  <c r="AO277" i="13"/>
  <c r="AN277" i="13"/>
  <c r="AM277" i="13"/>
  <c r="AL277" i="13"/>
  <c r="AK277" i="13"/>
  <c r="AJ277" i="13"/>
  <c r="AI277" i="13"/>
  <c r="AH277" i="13"/>
  <c r="AG277" i="13"/>
  <c r="AF277" i="13"/>
  <c r="AE277" i="13"/>
  <c r="AD277" i="13"/>
  <c r="AC277" i="13"/>
  <c r="AB277" i="13"/>
  <c r="AA277" i="13"/>
  <c r="E277" i="13"/>
  <c r="D277" i="13"/>
  <c r="AO276" i="13"/>
  <c r="AN276" i="13"/>
  <c r="AM276" i="13"/>
  <c r="AL276" i="13"/>
  <c r="AK276" i="13"/>
  <c r="AJ276" i="13"/>
  <c r="AI276" i="13"/>
  <c r="AH276" i="13"/>
  <c r="AG276" i="13"/>
  <c r="AF276" i="13"/>
  <c r="AE276" i="13"/>
  <c r="AD276" i="13"/>
  <c r="AC276" i="13"/>
  <c r="AB276" i="13"/>
  <c r="AA276" i="13"/>
  <c r="E276" i="13"/>
  <c r="D276" i="13"/>
  <c r="AO275" i="13"/>
  <c r="AN275" i="13"/>
  <c r="AM275" i="13"/>
  <c r="AL275" i="13"/>
  <c r="AK275" i="13"/>
  <c r="AJ275" i="13"/>
  <c r="AI275" i="13"/>
  <c r="AH275" i="13"/>
  <c r="AG275" i="13"/>
  <c r="AF275" i="13"/>
  <c r="AE275" i="13"/>
  <c r="AD275" i="13"/>
  <c r="AC275" i="13"/>
  <c r="AB275" i="13"/>
  <c r="AA275" i="13"/>
  <c r="E275" i="13"/>
  <c r="D275" i="13"/>
  <c r="AO274" i="13"/>
  <c r="AN274" i="13"/>
  <c r="AM274" i="13"/>
  <c r="AL274" i="13"/>
  <c r="AK274" i="13"/>
  <c r="AJ274" i="13"/>
  <c r="AI274" i="13"/>
  <c r="AH274" i="13"/>
  <c r="AG274" i="13"/>
  <c r="AF274" i="13"/>
  <c r="AE274" i="13"/>
  <c r="AD274" i="13"/>
  <c r="AC274" i="13"/>
  <c r="AB274" i="13"/>
  <c r="AA274" i="13"/>
  <c r="E274" i="13"/>
  <c r="D274" i="13"/>
  <c r="AO273" i="13"/>
  <c r="AN273" i="13"/>
  <c r="AM273" i="13"/>
  <c r="AL273" i="13"/>
  <c r="AK273" i="13"/>
  <c r="AJ273" i="13"/>
  <c r="AI273" i="13"/>
  <c r="AH273" i="13"/>
  <c r="AG273" i="13"/>
  <c r="AF273" i="13"/>
  <c r="AE273" i="13"/>
  <c r="AD273" i="13"/>
  <c r="AC273" i="13"/>
  <c r="AB273" i="13"/>
  <c r="AA273" i="13"/>
  <c r="E273" i="13"/>
  <c r="D273" i="13"/>
  <c r="AO272" i="13"/>
  <c r="AN272" i="13"/>
  <c r="AM272" i="13"/>
  <c r="AL272" i="13"/>
  <c r="AK272" i="13"/>
  <c r="AJ272" i="13"/>
  <c r="AI272" i="13"/>
  <c r="AH272" i="13"/>
  <c r="AG272" i="13"/>
  <c r="AF272" i="13"/>
  <c r="AE272" i="13"/>
  <c r="AD272" i="13"/>
  <c r="AC272" i="13"/>
  <c r="AB272" i="13"/>
  <c r="AA272" i="13"/>
  <c r="E272" i="13"/>
  <c r="D272" i="13"/>
  <c r="AO271" i="13"/>
  <c r="AN271" i="13"/>
  <c r="AM271" i="13"/>
  <c r="AL271" i="13"/>
  <c r="AK271" i="13"/>
  <c r="AJ271" i="13"/>
  <c r="AI271" i="13"/>
  <c r="AH271" i="13"/>
  <c r="AG271" i="13"/>
  <c r="AF271" i="13"/>
  <c r="AE271" i="13"/>
  <c r="AD271" i="13"/>
  <c r="AC271" i="13"/>
  <c r="AB271" i="13"/>
  <c r="AA271" i="13"/>
  <c r="E271" i="13"/>
  <c r="D271" i="13"/>
  <c r="AO270" i="13"/>
  <c r="AN270" i="13"/>
  <c r="AM270" i="13"/>
  <c r="AL270" i="13"/>
  <c r="AK270" i="13"/>
  <c r="AJ270" i="13"/>
  <c r="AI270" i="13"/>
  <c r="AH270" i="13"/>
  <c r="AG270" i="13"/>
  <c r="AF270" i="13"/>
  <c r="AE270" i="13"/>
  <c r="AD270" i="13"/>
  <c r="AC270" i="13"/>
  <c r="AB270" i="13"/>
  <c r="AA270" i="13"/>
  <c r="E270" i="13"/>
  <c r="D270" i="13"/>
  <c r="AO269" i="13"/>
  <c r="AN269" i="13"/>
  <c r="AM269" i="13"/>
  <c r="AL269" i="13"/>
  <c r="AK269" i="13"/>
  <c r="AJ269" i="13"/>
  <c r="AI269" i="13"/>
  <c r="AH269" i="13"/>
  <c r="AG269" i="13"/>
  <c r="AF269" i="13"/>
  <c r="AE269" i="13"/>
  <c r="AD269" i="13"/>
  <c r="AC269" i="13"/>
  <c r="AB269" i="13"/>
  <c r="AA269" i="13"/>
  <c r="E269" i="13"/>
  <c r="D269" i="13"/>
  <c r="AO268" i="13"/>
  <c r="AN268" i="13"/>
  <c r="AM268" i="13"/>
  <c r="AL268" i="13"/>
  <c r="AK268" i="13"/>
  <c r="AJ268" i="13"/>
  <c r="AI268" i="13"/>
  <c r="AH268" i="13"/>
  <c r="AG268" i="13"/>
  <c r="AF268" i="13"/>
  <c r="AE268" i="13"/>
  <c r="AD268" i="13"/>
  <c r="AC268" i="13"/>
  <c r="AB268" i="13"/>
  <c r="AA268" i="13"/>
  <c r="E268" i="13"/>
  <c r="D268" i="13"/>
  <c r="AO267" i="13"/>
  <c r="AN267" i="13"/>
  <c r="AM267" i="13"/>
  <c r="AL267" i="13"/>
  <c r="AK267" i="13"/>
  <c r="AJ267" i="13"/>
  <c r="AI267" i="13"/>
  <c r="AH267" i="13"/>
  <c r="AG267" i="13"/>
  <c r="AF267" i="13"/>
  <c r="AE267" i="13"/>
  <c r="AD267" i="13"/>
  <c r="AC267" i="13"/>
  <c r="AB267" i="13"/>
  <c r="AA267" i="13"/>
  <c r="E267" i="13"/>
  <c r="D267" i="13"/>
  <c r="AO266" i="13"/>
  <c r="AN266" i="13"/>
  <c r="AM266" i="13"/>
  <c r="AL266" i="13"/>
  <c r="AK266" i="13"/>
  <c r="AJ266" i="13"/>
  <c r="AI266" i="13"/>
  <c r="AH266" i="13"/>
  <c r="AG266" i="13"/>
  <c r="AF266" i="13"/>
  <c r="AE266" i="13"/>
  <c r="AD266" i="13"/>
  <c r="AC266" i="13"/>
  <c r="AB266" i="13"/>
  <c r="AA266" i="13"/>
  <c r="E266" i="13"/>
  <c r="D266" i="13"/>
  <c r="AO265" i="13"/>
  <c r="AN265" i="13"/>
  <c r="AM265" i="13"/>
  <c r="AL265" i="13"/>
  <c r="AK265" i="13"/>
  <c r="AJ265" i="13"/>
  <c r="AI265" i="13"/>
  <c r="AH265" i="13"/>
  <c r="AG265" i="13"/>
  <c r="AF265" i="13"/>
  <c r="AE265" i="13"/>
  <c r="AD265" i="13"/>
  <c r="AC265" i="13"/>
  <c r="AB265" i="13"/>
  <c r="AA265" i="13"/>
  <c r="E265" i="13"/>
  <c r="D265" i="13"/>
  <c r="AO264" i="13"/>
  <c r="AN264" i="13"/>
  <c r="AM264" i="13"/>
  <c r="AL264" i="13"/>
  <c r="AK264" i="13"/>
  <c r="AJ264" i="13"/>
  <c r="AI264" i="13"/>
  <c r="AH264" i="13"/>
  <c r="AG264" i="13"/>
  <c r="AF264" i="13"/>
  <c r="AE264" i="13"/>
  <c r="AD264" i="13"/>
  <c r="AC264" i="13"/>
  <c r="AB264" i="13"/>
  <c r="AA264" i="13"/>
  <c r="S264" i="13" a="1"/>
  <c r="S264" i="13"/>
  <c r="E264" i="13"/>
  <c r="D264" i="13"/>
  <c r="AO263" i="13"/>
  <c r="AN263" i="13"/>
  <c r="AM263" i="13"/>
  <c r="AL263" i="13"/>
  <c r="AK263" i="13"/>
  <c r="AJ263" i="13"/>
  <c r="AI263" i="13"/>
  <c r="AH263" i="13"/>
  <c r="AG263" i="13"/>
  <c r="AF263" i="13"/>
  <c r="AE263" i="13"/>
  <c r="AD263" i="13"/>
  <c r="AC263" i="13"/>
  <c r="AB263" i="13"/>
  <c r="AA263" i="13"/>
  <c r="E263" i="13"/>
  <c r="D263" i="13"/>
  <c r="E262" i="13"/>
  <c r="D262" i="13"/>
  <c r="E261" i="13"/>
  <c r="D261" i="13"/>
  <c r="AO260" i="13"/>
  <c r="AN260" i="13"/>
  <c r="AM260" i="13"/>
  <c r="AL260" i="13"/>
  <c r="AK260" i="13"/>
  <c r="AJ260" i="13"/>
  <c r="AI260" i="13"/>
  <c r="AH260" i="13"/>
  <c r="AG260" i="13"/>
  <c r="AF260" i="13"/>
  <c r="AE260" i="13"/>
  <c r="AD260" i="13"/>
  <c r="AC260" i="13"/>
  <c r="AB260" i="13"/>
  <c r="AA260" i="13"/>
  <c r="E260" i="13"/>
  <c r="D260" i="13"/>
  <c r="AO259" i="13"/>
  <c r="AN259" i="13"/>
  <c r="AM259" i="13"/>
  <c r="AL259" i="13"/>
  <c r="AK259" i="13"/>
  <c r="AJ259" i="13"/>
  <c r="AI259" i="13"/>
  <c r="AH259" i="13"/>
  <c r="AG259" i="13"/>
  <c r="AF259" i="13"/>
  <c r="AE259" i="13"/>
  <c r="AD259" i="13"/>
  <c r="AC259" i="13"/>
  <c r="AB259" i="13"/>
  <c r="AA259" i="13"/>
  <c r="E259" i="13"/>
  <c r="D259" i="13"/>
  <c r="AO258" i="13"/>
  <c r="AN258" i="13"/>
  <c r="AM258" i="13"/>
  <c r="AL258" i="13"/>
  <c r="AK258" i="13"/>
  <c r="AJ258" i="13"/>
  <c r="AI258" i="13"/>
  <c r="AH258" i="13"/>
  <c r="AG258" i="13"/>
  <c r="AF258" i="13"/>
  <c r="AE258" i="13"/>
  <c r="AD258" i="13"/>
  <c r="AC258" i="13"/>
  <c r="AB258" i="13"/>
  <c r="AA258" i="13"/>
  <c r="E258" i="13"/>
  <c r="D258" i="13"/>
  <c r="AO257" i="13"/>
  <c r="AN257" i="13"/>
  <c r="AM257" i="13"/>
  <c r="AL257" i="13"/>
  <c r="AK257" i="13"/>
  <c r="AJ257" i="13"/>
  <c r="AI257" i="13"/>
  <c r="AH257" i="13"/>
  <c r="AG257" i="13"/>
  <c r="AF257" i="13"/>
  <c r="AE257" i="13"/>
  <c r="AD257" i="13"/>
  <c r="AC257" i="13"/>
  <c r="AB257" i="13"/>
  <c r="AA257" i="13"/>
  <c r="E257" i="13"/>
  <c r="D257" i="13"/>
  <c r="AO256" i="13"/>
  <c r="AN256" i="13"/>
  <c r="AM256" i="13"/>
  <c r="AL256" i="13"/>
  <c r="AK256" i="13"/>
  <c r="AJ256" i="13"/>
  <c r="AI256" i="13"/>
  <c r="AH256" i="13"/>
  <c r="AG256" i="13"/>
  <c r="AF256" i="13"/>
  <c r="AE256" i="13"/>
  <c r="AD256" i="13"/>
  <c r="AC256" i="13"/>
  <c r="AB256" i="13"/>
  <c r="AA256" i="13"/>
  <c r="E256" i="13"/>
  <c r="D256" i="13"/>
  <c r="AO255" i="13"/>
  <c r="AN255" i="13"/>
  <c r="AM255" i="13"/>
  <c r="AL255" i="13"/>
  <c r="AK255" i="13"/>
  <c r="AJ255" i="13"/>
  <c r="AI255" i="13"/>
  <c r="AH255" i="13"/>
  <c r="AG255" i="13"/>
  <c r="AF255" i="13"/>
  <c r="AE255" i="13"/>
  <c r="AD255" i="13"/>
  <c r="AC255" i="13"/>
  <c r="AB255" i="13"/>
  <c r="AA255" i="13"/>
  <c r="E255" i="13"/>
  <c r="D255" i="13"/>
  <c r="AO254" i="13"/>
  <c r="AN254" i="13"/>
  <c r="AM254" i="13"/>
  <c r="AL254" i="13"/>
  <c r="AK254" i="13"/>
  <c r="AJ254" i="13"/>
  <c r="AI254" i="13"/>
  <c r="AH254" i="13"/>
  <c r="AG254" i="13"/>
  <c r="AF254" i="13"/>
  <c r="AE254" i="13"/>
  <c r="AD254" i="13"/>
  <c r="AC254" i="13"/>
  <c r="AB254" i="13"/>
  <c r="AA254" i="13"/>
  <c r="E254" i="13"/>
  <c r="D254" i="13"/>
  <c r="AO253" i="13"/>
  <c r="AN253" i="13"/>
  <c r="AM253" i="13"/>
  <c r="AL253" i="13"/>
  <c r="AK253" i="13"/>
  <c r="AJ253" i="13"/>
  <c r="AI253" i="13"/>
  <c r="AH253" i="13"/>
  <c r="AG253" i="13"/>
  <c r="AF253" i="13"/>
  <c r="AE253" i="13"/>
  <c r="AD253" i="13"/>
  <c r="AC253" i="13"/>
  <c r="AB253" i="13"/>
  <c r="AA253" i="13"/>
  <c r="E253" i="13"/>
  <c r="D253" i="13"/>
  <c r="AO252" i="13"/>
  <c r="AN252" i="13"/>
  <c r="AM252" i="13"/>
  <c r="AL252" i="13"/>
  <c r="AK252" i="13"/>
  <c r="AJ252" i="13"/>
  <c r="AI252" i="13"/>
  <c r="AH252" i="13"/>
  <c r="AG252" i="13"/>
  <c r="AF252" i="13"/>
  <c r="AE252" i="13"/>
  <c r="AD252" i="13"/>
  <c r="AC252" i="13"/>
  <c r="AB252" i="13"/>
  <c r="AA252" i="13"/>
  <c r="E252" i="13"/>
  <c r="D252" i="13"/>
  <c r="AO251" i="13"/>
  <c r="AN251" i="13"/>
  <c r="AM251" i="13"/>
  <c r="AL251" i="13"/>
  <c r="AK251" i="13"/>
  <c r="AJ251" i="13"/>
  <c r="AI251" i="13"/>
  <c r="AH251" i="13"/>
  <c r="AG251" i="13"/>
  <c r="AF251" i="13"/>
  <c r="AE251" i="13"/>
  <c r="AD251" i="13"/>
  <c r="AC251" i="13"/>
  <c r="AB251" i="13"/>
  <c r="AA251" i="13"/>
  <c r="E251" i="13"/>
  <c r="D251" i="13"/>
  <c r="AO250" i="13"/>
  <c r="AN250" i="13"/>
  <c r="AM250" i="13"/>
  <c r="AL250" i="13"/>
  <c r="AK250" i="13"/>
  <c r="AJ250" i="13"/>
  <c r="AI250" i="13"/>
  <c r="AH250" i="13"/>
  <c r="AG250" i="13"/>
  <c r="AF250" i="13"/>
  <c r="AE250" i="13"/>
  <c r="AD250" i="13"/>
  <c r="AC250" i="13"/>
  <c r="AB250" i="13"/>
  <c r="AA250" i="13"/>
  <c r="E250" i="13"/>
  <c r="D250" i="13"/>
  <c r="AO249" i="13"/>
  <c r="AN249" i="13"/>
  <c r="AM249" i="13"/>
  <c r="AL249" i="13"/>
  <c r="AK249" i="13"/>
  <c r="AJ249" i="13"/>
  <c r="AI249" i="13"/>
  <c r="AH249" i="13"/>
  <c r="AG249" i="13"/>
  <c r="AF249" i="13"/>
  <c r="AE249" i="13"/>
  <c r="AD249" i="13"/>
  <c r="AC249" i="13"/>
  <c r="AB249" i="13"/>
  <c r="AA249" i="13"/>
  <c r="E249" i="13"/>
  <c r="D249" i="13"/>
  <c r="AO248" i="13"/>
  <c r="AN248" i="13"/>
  <c r="AM248" i="13"/>
  <c r="AL248" i="13"/>
  <c r="AK248" i="13"/>
  <c r="AJ248" i="13"/>
  <c r="AI248" i="13"/>
  <c r="AH248" i="13"/>
  <c r="AG248" i="13"/>
  <c r="AF248" i="13"/>
  <c r="AE248" i="13"/>
  <c r="AD248" i="13"/>
  <c r="AC248" i="13"/>
  <c r="AB248" i="13"/>
  <c r="AA248" i="13"/>
  <c r="E248" i="13"/>
  <c r="D248" i="13"/>
  <c r="AO247" i="13"/>
  <c r="AN247" i="13"/>
  <c r="AM247" i="13"/>
  <c r="AL247" i="13"/>
  <c r="AK247" i="13"/>
  <c r="AJ247" i="13"/>
  <c r="AI247" i="13"/>
  <c r="AH247" i="13"/>
  <c r="AG247" i="13"/>
  <c r="AF247" i="13"/>
  <c r="AE247" i="13"/>
  <c r="AD247" i="13"/>
  <c r="AC247" i="13"/>
  <c r="AB247" i="13"/>
  <c r="AA247" i="13"/>
  <c r="E247" i="13"/>
  <c r="D247" i="13"/>
  <c r="AO246" i="13"/>
  <c r="AN246" i="13"/>
  <c r="AM246" i="13"/>
  <c r="AL246" i="13"/>
  <c r="AK246" i="13"/>
  <c r="AJ246" i="13"/>
  <c r="AI246" i="13"/>
  <c r="AH246" i="13"/>
  <c r="AG246" i="13"/>
  <c r="AF246" i="13"/>
  <c r="AE246" i="13"/>
  <c r="AD246" i="13"/>
  <c r="AC246" i="13"/>
  <c r="AB246" i="13"/>
  <c r="AA246" i="13"/>
  <c r="E246" i="13"/>
  <c r="D246" i="13"/>
  <c r="AO245" i="13"/>
  <c r="AN245" i="13"/>
  <c r="AM245" i="13"/>
  <c r="AL245" i="13"/>
  <c r="AK245" i="13"/>
  <c r="AJ245" i="13"/>
  <c r="AI245" i="13"/>
  <c r="AH245" i="13"/>
  <c r="AG245" i="13"/>
  <c r="AF245" i="13"/>
  <c r="AE245" i="13"/>
  <c r="AD245" i="13"/>
  <c r="AC245" i="13"/>
  <c r="AB245" i="13"/>
  <c r="AA245" i="13"/>
  <c r="E245" i="13"/>
  <c r="D245" i="13"/>
  <c r="E244" i="13"/>
  <c r="D244" i="13"/>
  <c r="AO243" i="13"/>
  <c r="AN243" i="13"/>
  <c r="AM243" i="13"/>
  <c r="AL243" i="13"/>
  <c r="AK243" i="13"/>
  <c r="AJ243" i="13"/>
  <c r="AI243" i="13"/>
  <c r="AH243" i="13"/>
  <c r="AG243" i="13"/>
  <c r="AF243" i="13"/>
  <c r="AE243" i="13"/>
  <c r="AD243" i="13"/>
  <c r="AC243" i="13"/>
  <c r="AB243" i="13"/>
  <c r="AA243" i="13"/>
  <c r="E243" i="13"/>
  <c r="D243" i="13"/>
  <c r="AO242" i="13"/>
  <c r="AN242" i="13"/>
  <c r="AM242" i="13"/>
  <c r="AL242" i="13"/>
  <c r="AK242" i="13"/>
  <c r="AJ242" i="13"/>
  <c r="AI242" i="13"/>
  <c r="AH242" i="13"/>
  <c r="AG242" i="13"/>
  <c r="AF242" i="13"/>
  <c r="AE242" i="13"/>
  <c r="AD242" i="13"/>
  <c r="AC242" i="13"/>
  <c r="AB242" i="13"/>
  <c r="AA242" i="13"/>
  <c r="E242" i="13"/>
  <c r="D242" i="13"/>
  <c r="AO241" i="13"/>
  <c r="AN241" i="13"/>
  <c r="AM241" i="13"/>
  <c r="AL241" i="13"/>
  <c r="AK241" i="13"/>
  <c r="AJ241" i="13"/>
  <c r="AI241" i="13"/>
  <c r="AH241" i="13"/>
  <c r="AG241" i="13"/>
  <c r="AF241" i="13"/>
  <c r="AE241" i="13"/>
  <c r="AD241" i="13"/>
  <c r="AC241" i="13"/>
  <c r="AB241" i="13"/>
  <c r="AA241" i="13"/>
  <c r="E241" i="13"/>
  <c r="D241" i="13"/>
  <c r="AO240" i="13"/>
  <c r="AN240" i="13"/>
  <c r="AM240" i="13"/>
  <c r="AL240" i="13"/>
  <c r="AK240" i="13"/>
  <c r="AJ240" i="13"/>
  <c r="AI240" i="13"/>
  <c r="AH240" i="13"/>
  <c r="AG240" i="13"/>
  <c r="AF240" i="13"/>
  <c r="AE240" i="13"/>
  <c r="AD240" i="13"/>
  <c r="AC240" i="13"/>
  <c r="AB240" i="13"/>
  <c r="AA240" i="13"/>
  <c r="E240" i="13"/>
  <c r="D240" i="13"/>
  <c r="AO239" i="13"/>
  <c r="AN239" i="13"/>
  <c r="AM239" i="13"/>
  <c r="AL239" i="13"/>
  <c r="AK239" i="13"/>
  <c r="AJ239" i="13"/>
  <c r="AI239" i="13"/>
  <c r="AH239" i="13"/>
  <c r="AG239" i="13"/>
  <c r="AF239" i="13"/>
  <c r="AE239" i="13"/>
  <c r="AD239" i="13"/>
  <c r="AC239" i="13"/>
  <c r="AB239" i="13"/>
  <c r="AA239" i="13"/>
  <c r="E239" i="13"/>
  <c r="D239" i="13"/>
  <c r="AO238" i="13"/>
  <c r="AN238" i="13"/>
  <c r="AM238" i="13"/>
  <c r="AL238" i="13"/>
  <c r="AK238" i="13"/>
  <c r="AJ238" i="13"/>
  <c r="AI238" i="13"/>
  <c r="AH238" i="13"/>
  <c r="AG238" i="13"/>
  <c r="AF238" i="13"/>
  <c r="AE238" i="13"/>
  <c r="AD238" i="13"/>
  <c r="AC238" i="13"/>
  <c r="AB238" i="13"/>
  <c r="AA238" i="13"/>
  <c r="E238" i="13"/>
  <c r="D238" i="13"/>
  <c r="AO237" i="13"/>
  <c r="AN237" i="13"/>
  <c r="AM237" i="13"/>
  <c r="AL237" i="13"/>
  <c r="AK237" i="13"/>
  <c r="AJ237" i="13"/>
  <c r="AI237" i="13"/>
  <c r="AH237" i="13"/>
  <c r="AG237" i="13"/>
  <c r="AF237" i="13"/>
  <c r="AE237" i="13"/>
  <c r="AD237" i="13"/>
  <c r="AC237" i="13"/>
  <c r="AB237" i="13"/>
  <c r="AA237" i="13"/>
  <c r="E237" i="13"/>
  <c r="D237" i="13"/>
  <c r="E236" i="13"/>
  <c r="D236" i="13"/>
  <c r="AO235" i="13"/>
  <c r="AN235" i="13"/>
  <c r="AM235" i="13"/>
  <c r="AL235" i="13"/>
  <c r="AK235" i="13"/>
  <c r="AJ235" i="13"/>
  <c r="AI235" i="13"/>
  <c r="AH235" i="13"/>
  <c r="AG235" i="13"/>
  <c r="AF235" i="13"/>
  <c r="AE235" i="13"/>
  <c r="AD235" i="13"/>
  <c r="AC235" i="13"/>
  <c r="AB235" i="13"/>
  <c r="AA235" i="13"/>
  <c r="E235" i="13"/>
  <c r="D235" i="13"/>
  <c r="AO234" i="13"/>
  <c r="AN234" i="13"/>
  <c r="AM234" i="13"/>
  <c r="AL234" i="13"/>
  <c r="AK234" i="13"/>
  <c r="AJ234" i="13"/>
  <c r="AI234" i="13"/>
  <c r="AH234" i="13"/>
  <c r="AG234" i="13"/>
  <c r="AF234" i="13"/>
  <c r="AE234" i="13"/>
  <c r="AD234" i="13"/>
  <c r="AC234" i="13"/>
  <c r="AB234" i="13"/>
  <c r="AA234" i="13"/>
  <c r="E234" i="13"/>
  <c r="D234" i="13"/>
  <c r="AO233" i="13"/>
  <c r="AN233" i="13"/>
  <c r="AM233" i="13"/>
  <c r="AL233" i="13"/>
  <c r="AK233" i="13"/>
  <c r="AJ233" i="13"/>
  <c r="AI233" i="13"/>
  <c r="AH233" i="13"/>
  <c r="AG233" i="13"/>
  <c r="AF233" i="13"/>
  <c r="AE233" i="13"/>
  <c r="AD233" i="13"/>
  <c r="AC233" i="13"/>
  <c r="AB233" i="13"/>
  <c r="AA233" i="13"/>
  <c r="E233" i="13"/>
  <c r="D233" i="13"/>
  <c r="AO232" i="13"/>
  <c r="AN232" i="13"/>
  <c r="AM232" i="13"/>
  <c r="AL232" i="13"/>
  <c r="AK232" i="13"/>
  <c r="AJ232" i="13"/>
  <c r="AI232" i="13"/>
  <c r="AH232" i="13"/>
  <c r="AG232" i="13"/>
  <c r="AF232" i="13"/>
  <c r="AE232" i="13"/>
  <c r="AD232" i="13"/>
  <c r="AC232" i="13"/>
  <c r="AB232" i="13"/>
  <c r="AA232" i="13"/>
  <c r="E232" i="13"/>
  <c r="D232" i="13"/>
  <c r="AO231" i="13"/>
  <c r="AN231" i="13"/>
  <c r="AM231" i="13"/>
  <c r="AL231" i="13"/>
  <c r="AK231" i="13"/>
  <c r="AJ231" i="13"/>
  <c r="AI231" i="13"/>
  <c r="AH231" i="13"/>
  <c r="AG231" i="13"/>
  <c r="AF231" i="13"/>
  <c r="AE231" i="13"/>
  <c r="AD231" i="13"/>
  <c r="AC231" i="13"/>
  <c r="AB231" i="13"/>
  <c r="AA231" i="13"/>
  <c r="E231" i="13"/>
  <c r="D231" i="13"/>
  <c r="AO230" i="13"/>
  <c r="AN230" i="13"/>
  <c r="AM230" i="13"/>
  <c r="AL230" i="13"/>
  <c r="AK230" i="13"/>
  <c r="AJ230" i="13"/>
  <c r="AI230" i="13"/>
  <c r="AH230" i="13"/>
  <c r="AG230" i="13"/>
  <c r="AF230" i="13"/>
  <c r="AE230" i="13"/>
  <c r="AD230" i="13"/>
  <c r="AC230" i="13"/>
  <c r="AB230" i="13"/>
  <c r="AA230" i="13"/>
  <c r="E230" i="13"/>
  <c r="D230" i="13"/>
  <c r="AO229" i="13"/>
  <c r="AN229" i="13"/>
  <c r="AM229" i="13"/>
  <c r="AL229" i="13"/>
  <c r="AK229" i="13"/>
  <c r="AJ229" i="13"/>
  <c r="AI229" i="13"/>
  <c r="AH229" i="13"/>
  <c r="AG229" i="13"/>
  <c r="AF229" i="13"/>
  <c r="AE229" i="13"/>
  <c r="AD229" i="13"/>
  <c r="AC229" i="13"/>
  <c r="AB229" i="13"/>
  <c r="AA229" i="13"/>
  <c r="E229" i="13"/>
  <c r="D229" i="13"/>
  <c r="AO228" i="13"/>
  <c r="AN228" i="13"/>
  <c r="AM228" i="13"/>
  <c r="AL228" i="13"/>
  <c r="AK228" i="13"/>
  <c r="AJ228" i="13"/>
  <c r="AI228" i="13"/>
  <c r="AH228" i="13"/>
  <c r="AG228" i="13"/>
  <c r="AF228" i="13"/>
  <c r="AE228" i="13"/>
  <c r="AD228" i="13"/>
  <c r="AC228" i="13"/>
  <c r="AB228" i="13"/>
  <c r="AA228" i="13"/>
  <c r="E228" i="13"/>
  <c r="D228" i="13"/>
  <c r="AO227" i="13"/>
  <c r="AN227" i="13"/>
  <c r="AM227" i="13"/>
  <c r="AL227" i="13"/>
  <c r="AK227" i="13"/>
  <c r="AJ227" i="13"/>
  <c r="AI227" i="13"/>
  <c r="AH227" i="13"/>
  <c r="AG227" i="13"/>
  <c r="AF227" i="13"/>
  <c r="AE227" i="13"/>
  <c r="AD227" i="13"/>
  <c r="AC227" i="13"/>
  <c r="AB227" i="13"/>
  <c r="AA227" i="13"/>
  <c r="E227" i="13"/>
  <c r="D227" i="13"/>
  <c r="AO226" i="13"/>
  <c r="AN226" i="13"/>
  <c r="AM226" i="13"/>
  <c r="AL226" i="13"/>
  <c r="AK226" i="13"/>
  <c r="AJ226" i="13"/>
  <c r="AI226" i="13"/>
  <c r="AH226" i="13"/>
  <c r="AG226" i="13"/>
  <c r="AF226" i="13"/>
  <c r="AE226" i="13"/>
  <c r="AD226" i="13"/>
  <c r="AC226" i="13"/>
  <c r="AB226" i="13"/>
  <c r="AA226" i="13"/>
  <c r="E226" i="13"/>
  <c r="D226" i="13"/>
  <c r="AO225" i="13"/>
  <c r="AN225" i="13"/>
  <c r="AM225" i="13"/>
  <c r="AL225" i="13"/>
  <c r="AK225" i="13"/>
  <c r="AJ225" i="13"/>
  <c r="AI225" i="13"/>
  <c r="AH225" i="13"/>
  <c r="AG225" i="13"/>
  <c r="AF225" i="13"/>
  <c r="AE225" i="13"/>
  <c r="AD225" i="13"/>
  <c r="AC225" i="13"/>
  <c r="AB225" i="13"/>
  <c r="AA225" i="13"/>
  <c r="E225" i="13"/>
  <c r="D225" i="13"/>
  <c r="AO224" i="13"/>
  <c r="AN224" i="13"/>
  <c r="AM224" i="13"/>
  <c r="AL224" i="13"/>
  <c r="AK224" i="13"/>
  <c r="AJ224" i="13"/>
  <c r="AI224" i="13"/>
  <c r="AH224" i="13"/>
  <c r="AG224" i="13"/>
  <c r="AF224" i="13"/>
  <c r="AE224" i="13"/>
  <c r="AD224" i="13"/>
  <c r="AC224" i="13"/>
  <c r="AB224" i="13"/>
  <c r="AA224" i="13"/>
  <c r="E224" i="13"/>
  <c r="D224" i="13"/>
  <c r="AO223" i="13"/>
  <c r="AN223" i="13"/>
  <c r="AM223" i="13"/>
  <c r="AL223" i="13"/>
  <c r="AK223" i="13"/>
  <c r="AJ223" i="13"/>
  <c r="AI223" i="13"/>
  <c r="AH223" i="13"/>
  <c r="AG223" i="13"/>
  <c r="AF223" i="13"/>
  <c r="AE223" i="13"/>
  <c r="AD223" i="13"/>
  <c r="AC223" i="13"/>
  <c r="AB223" i="13"/>
  <c r="AA223" i="13"/>
  <c r="E223" i="13"/>
  <c r="D223" i="13"/>
  <c r="AO222" i="13"/>
  <c r="AN222" i="13"/>
  <c r="AM222" i="13"/>
  <c r="AL222" i="13"/>
  <c r="AK222" i="13"/>
  <c r="AJ222" i="13"/>
  <c r="AI222" i="13"/>
  <c r="AH222" i="13"/>
  <c r="AG222" i="13"/>
  <c r="AF222" i="13"/>
  <c r="AE222" i="13"/>
  <c r="AD222" i="13"/>
  <c r="AC222" i="13"/>
  <c r="AB222" i="13"/>
  <c r="AA222" i="13"/>
  <c r="E222" i="13"/>
  <c r="D222" i="13"/>
  <c r="AO221" i="13"/>
  <c r="AN221" i="13"/>
  <c r="AM221" i="13"/>
  <c r="AL221" i="13"/>
  <c r="AK221" i="13"/>
  <c r="AJ221" i="13"/>
  <c r="AI221" i="13"/>
  <c r="AH221" i="13"/>
  <c r="AG221" i="13"/>
  <c r="AF221" i="13"/>
  <c r="AE221" i="13"/>
  <c r="AD221" i="13"/>
  <c r="AC221" i="13"/>
  <c r="AB221" i="13"/>
  <c r="AA221" i="13"/>
  <c r="E221" i="13"/>
  <c r="D221" i="13"/>
  <c r="AO220" i="13"/>
  <c r="AN220" i="13"/>
  <c r="AM220" i="13"/>
  <c r="AL220" i="13"/>
  <c r="AK220" i="13"/>
  <c r="AJ220" i="13"/>
  <c r="AI220" i="13"/>
  <c r="AH220" i="13"/>
  <c r="AG220" i="13"/>
  <c r="AF220" i="13"/>
  <c r="AE220" i="13"/>
  <c r="AD220" i="13"/>
  <c r="AC220" i="13"/>
  <c r="AB220" i="13"/>
  <c r="AA220" i="13"/>
  <c r="E220" i="13"/>
  <c r="D220" i="13"/>
  <c r="AO219" i="13"/>
  <c r="AN219" i="13"/>
  <c r="AM219" i="13"/>
  <c r="AL219" i="13"/>
  <c r="AK219" i="13"/>
  <c r="AJ219" i="13"/>
  <c r="AI219" i="13"/>
  <c r="AH219" i="13"/>
  <c r="AG219" i="13"/>
  <c r="AF219" i="13"/>
  <c r="AE219" i="13"/>
  <c r="AD219" i="13"/>
  <c r="AC219" i="13"/>
  <c r="AB219" i="13"/>
  <c r="AA219" i="13"/>
  <c r="E219" i="13"/>
  <c r="D219" i="13"/>
  <c r="AN218" i="13"/>
  <c r="AM218" i="13"/>
  <c r="AL218" i="13"/>
  <c r="AL165" i="13" s="1"/>
  <c r="AK218" i="13"/>
  <c r="AK165" i="13" s="1"/>
  <c r="AJ218" i="13"/>
  <c r="AJ165" i="13" s="1"/>
  <c r="AI218" i="13"/>
  <c r="AH218" i="13"/>
  <c r="AH165" i="13" s="1"/>
  <c r="AG218" i="13"/>
  <c r="AF218" i="13"/>
  <c r="AE218" i="13"/>
  <c r="AE165" i="13" s="1"/>
  <c r="AD218" i="13"/>
  <c r="AD165" i="13" s="1"/>
  <c r="AD164" i="13" s="1"/>
  <c r="AC218" i="13"/>
  <c r="AB218" i="13"/>
  <c r="AA218" i="13"/>
  <c r="AA165" i="13" s="1"/>
  <c r="AA157" i="13" s="1"/>
  <c r="E218" i="13"/>
  <c r="D218" i="13"/>
  <c r="AO217" i="13"/>
  <c r="AN217" i="13"/>
  <c r="AM217" i="13"/>
  <c r="AL217" i="13"/>
  <c r="AK217" i="13"/>
  <c r="AJ217" i="13"/>
  <c r="AI217" i="13"/>
  <c r="AH217" i="13"/>
  <c r="AG217" i="13"/>
  <c r="AF217" i="13"/>
  <c r="AE217" i="13"/>
  <c r="AD217" i="13"/>
  <c r="AC217" i="13"/>
  <c r="AB217" i="13"/>
  <c r="AA217" i="13"/>
  <c r="E217" i="13"/>
  <c r="D217" i="13"/>
  <c r="AO216" i="13"/>
  <c r="AN216" i="13"/>
  <c r="AM216" i="13"/>
  <c r="AL216" i="13"/>
  <c r="AL159" i="13" s="1"/>
  <c r="AK216" i="13"/>
  <c r="AJ216" i="13"/>
  <c r="AI216" i="13"/>
  <c r="AH216" i="13"/>
  <c r="AG216" i="13"/>
  <c r="AF216" i="13"/>
  <c r="AE216" i="13"/>
  <c r="AD216" i="13"/>
  <c r="AC216" i="13"/>
  <c r="AB216" i="13"/>
  <c r="AA216" i="13"/>
  <c r="E216" i="13"/>
  <c r="D216" i="13"/>
  <c r="E215" i="13"/>
  <c r="D215" i="13"/>
  <c r="E214" i="13"/>
  <c r="D214" i="13"/>
  <c r="Z213" i="13"/>
  <c r="N61" i="1" s="1"/>
  <c r="E213" i="13"/>
  <c r="D213" i="13"/>
  <c r="E212" i="13"/>
  <c r="D212" i="13"/>
  <c r="Z211" i="13"/>
  <c r="N59" i="1" s="1"/>
  <c r="E211" i="13"/>
  <c r="D211" i="13"/>
  <c r="E210" i="13"/>
  <c r="D210" i="13"/>
  <c r="E209" i="13"/>
  <c r="D209" i="13"/>
  <c r="E208" i="13"/>
  <c r="D208" i="13"/>
  <c r="E207" i="13"/>
  <c r="D207" i="13"/>
  <c r="E206" i="13"/>
  <c r="D206" i="13"/>
  <c r="E205" i="13"/>
  <c r="D205" i="13"/>
  <c r="E204" i="13"/>
  <c r="D204" i="13"/>
  <c r="E203" i="13"/>
  <c r="D203" i="13"/>
  <c r="Z202" i="13"/>
  <c r="E202" i="13"/>
  <c r="D202" i="13"/>
  <c r="Z201" i="13"/>
  <c r="E201" i="13"/>
  <c r="D201" i="13"/>
  <c r="E200" i="13"/>
  <c r="D200" i="13"/>
  <c r="Z199" i="13"/>
  <c r="E199" i="13"/>
  <c r="D199" i="13"/>
  <c r="E198" i="13"/>
  <c r="D198" i="13"/>
  <c r="S197" i="13" a="1"/>
  <c r="S197" i="13"/>
  <c r="E197" i="13"/>
  <c r="D197" i="13"/>
  <c r="E196" i="13"/>
  <c r="D196" i="13"/>
  <c r="E195" i="13"/>
  <c r="D195" i="13"/>
  <c r="E194" i="13"/>
  <c r="D194" i="13"/>
  <c r="E193" i="13"/>
  <c r="D193" i="13"/>
  <c r="E192" i="13"/>
  <c r="D192" i="13"/>
  <c r="E191" i="13"/>
  <c r="D191" i="13"/>
  <c r="E190" i="13"/>
  <c r="D190" i="13"/>
  <c r="L189" i="13"/>
  <c r="K189" i="13"/>
  <c r="J189" i="13"/>
  <c r="E189" i="13"/>
  <c r="D189" i="13"/>
  <c r="Z188" i="13"/>
  <c r="L188" i="13"/>
  <c r="K188" i="13"/>
  <c r="J188" i="13"/>
  <c r="E188" i="13"/>
  <c r="D188" i="13"/>
  <c r="L187" i="13"/>
  <c r="K187" i="13"/>
  <c r="J187" i="13"/>
  <c r="E187" i="13"/>
  <c r="D187" i="13"/>
  <c r="L186" i="13"/>
  <c r="K186" i="13"/>
  <c r="J186" i="13"/>
  <c r="E186" i="13"/>
  <c r="D186" i="13"/>
  <c r="L185" i="13"/>
  <c r="K185" i="13"/>
  <c r="J185" i="13"/>
  <c r="E185" i="13"/>
  <c r="D185" i="13"/>
  <c r="L184" i="13"/>
  <c r="K184" i="13"/>
  <c r="J184" i="13"/>
  <c r="E184" i="13"/>
  <c r="D184" i="13"/>
  <c r="J183" i="13"/>
  <c r="E183" i="13"/>
  <c r="D183" i="13"/>
  <c r="L182" i="13"/>
  <c r="K182" i="13"/>
  <c r="J182" i="13"/>
  <c r="E182" i="13"/>
  <c r="D182" i="13"/>
  <c r="L181" i="13"/>
  <c r="K181" i="13"/>
  <c r="J181" i="13"/>
  <c r="E181" i="13"/>
  <c r="D181" i="13"/>
  <c r="L180" i="13"/>
  <c r="K180" i="13"/>
  <c r="J180" i="13"/>
  <c r="E180" i="13"/>
  <c r="D180" i="13"/>
  <c r="Z179" i="13"/>
  <c r="L179" i="13"/>
  <c r="K179" i="13"/>
  <c r="J179" i="13"/>
  <c r="E179" i="13"/>
  <c r="D179" i="13"/>
  <c r="E178" i="13"/>
  <c r="D178" i="13"/>
  <c r="Z177" i="13"/>
  <c r="S177" i="13" a="1"/>
  <c r="S177" i="13" s="1"/>
  <c r="J177" i="13"/>
  <c r="E177" i="13"/>
  <c r="D177" i="13"/>
  <c r="E176" i="13"/>
  <c r="D176" i="13"/>
  <c r="J175" i="13"/>
  <c r="E175" i="13"/>
  <c r="D175" i="13"/>
  <c r="Z174" i="13"/>
  <c r="K54" i="1" s="1"/>
  <c r="E174" i="13"/>
  <c r="D174" i="13"/>
  <c r="L173" i="13"/>
  <c r="K173" i="13"/>
  <c r="J173" i="13"/>
  <c r="E173" i="13"/>
  <c r="D173" i="13"/>
  <c r="L172" i="13"/>
  <c r="K172" i="13"/>
  <c r="J172" i="13"/>
  <c r="E172" i="13"/>
  <c r="D172" i="13"/>
  <c r="L171" i="13"/>
  <c r="K171" i="13"/>
  <c r="J171" i="13"/>
  <c r="E171" i="13"/>
  <c r="D171" i="13"/>
  <c r="L170" i="13"/>
  <c r="K170" i="13"/>
  <c r="J170" i="13"/>
  <c r="E170" i="13"/>
  <c r="D170" i="13"/>
  <c r="L169" i="13"/>
  <c r="K169" i="13"/>
  <c r="J169" i="13"/>
  <c r="E169" i="13"/>
  <c r="D169" i="13"/>
  <c r="Z168" i="13"/>
  <c r="L168" i="13"/>
  <c r="K168" i="13"/>
  <c r="J168" i="13"/>
  <c r="E168" i="13"/>
  <c r="D168" i="13"/>
  <c r="L167" i="13"/>
  <c r="K167" i="13"/>
  <c r="J167" i="13"/>
  <c r="E167" i="13"/>
  <c r="D167" i="13"/>
  <c r="L166" i="13"/>
  <c r="K166" i="13"/>
  <c r="J166" i="13"/>
  <c r="E166" i="13"/>
  <c r="D166" i="13"/>
  <c r="E165" i="13"/>
  <c r="D165" i="13"/>
  <c r="AO164" i="13"/>
  <c r="AO156" i="13" s="1"/>
  <c r="AN164" i="13"/>
  <c r="AN156" i="13" s="1"/>
  <c r="AM164" i="13"/>
  <c r="AL164" i="13"/>
  <c r="AK164" i="13"/>
  <c r="AJ164" i="13"/>
  <c r="AJ156" i="13" s="1"/>
  <c r="AI164" i="13"/>
  <c r="AH164" i="13"/>
  <c r="AG164" i="13"/>
  <c r="AF164" i="13"/>
  <c r="AF156" i="13" s="1"/>
  <c r="AE164" i="13"/>
  <c r="L164" i="13"/>
  <c r="K164" i="13"/>
  <c r="J164" i="13"/>
  <c r="E164" i="13"/>
  <c r="D164" i="13"/>
  <c r="L163" i="13"/>
  <c r="K163" i="13"/>
  <c r="J163" i="13"/>
  <c r="E163" i="13"/>
  <c r="D163" i="13"/>
  <c r="L162" i="13"/>
  <c r="K162" i="13"/>
  <c r="J162" i="13"/>
  <c r="E162" i="13"/>
  <c r="D162" i="13"/>
  <c r="L161" i="13"/>
  <c r="K161" i="13"/>
  <c r="J161" i="13"/>
  <c r="E161" i="13"/>
  <c r="D161" i="13"/>
  <c r="L160" i="13"/>
  <c r="K160" i="13"/>
  <c r="J160" i="13"/>
  <c r="E160" i="13"/>
  <c r="D160" i="13"/>
  <c r="L159" i="13"/>
  <c r="K159" i="13"/>
  <c r="J159" i="13"/>
  <c r="E159" i="13"/>
  <c r="D159" i="13"/>
  <c r="L158" i="13"/>
  <c r="K158" i="13"/>
  <c r="J158" i="13"/>
  <c r="E158" i="13"/>
  <c r="D158" i="13"/>
  <c r="AL157" i="13"/>
  <c r="L157" i="13"/>
  <c r="K157" i="13"/>
  <c r="J157" i="13"/>
  <c r="E157" i="13"/>
  <c r="D157" i="13"/>
  <c r="AH156" i="13"/>
  <c r="AA156" i="13"/>
  <c r="L156" i="13"/>
  <c r="K156" i="13"/>
  <c r="J156" i="13"/>
  <c r="E156" i="13"/>
  <c r="D156" i="13"/>
  <c r="L155" i="13"/>
  <c r="K155" i="13"/>
  <c r="J155" i="13"/>
  <c r="E155" i="13"/>
  <c r="D155" i="13"/>
  <c r="L154" i="13"/>
  <c r="K154" i="13"/>
  <c r="J154" i="13"/>
  <c r="E154" i="13"/>
  <c r="D154" i="13"/>
  <c r="E153" i="13"/>
  <c r="D153" i="13"/>
  <c r="E152" i="13"/>
  <c r="D152" i="13"/>
  <c r="E151" i="13"/>
  <c r="D151" i="13"/>
  <c r="E150" i="13"/>
  <c r="D150" i="13"/>
  <c r="E149" i="13"/>
  <c r="D149" i="13"/>
  <c r="Z148" i="13"/>
  <c r="E148" i="13"/>
  <c r="D148" i="13"/>
  <c r="Z147" i="13"/>
  <c r="T32" i="1" s="1"/>
  <c r="E147" i="13"/>
  <c r="D147" i="13"/>
  <c r="Z146" i="13"/>
  <c r="T31" i="1" s="1"/>
  <c r="E146" i="13"/>
  <c r="D146" i="13"/>
  <c r="Z145" i="13"/>
  <c r="T30" i="1" s="1"/>
  <c r="E145" i="13"/>
  <c r="D145" i="13"/>
  <c r="E144" i="13"/>
  <c r="D144" i="13"/>
  <c r="Z143" i="13"/>
  <c r="E143" i="13"/>
  <c r="D143" i="13"/>
  <c r="E142" i="13"/>
  <c r="D142" i="13"/>
  <c r="Z141" i="13"/>
  <c r="T41" i="1" s="1"/>
  <c r="E141" i="13"/>
  <c r="D141" i="13"/>
  <c r="Z140" i="13"/>
  <c r="T40" i="1" s="1"/>
  <c r="E140" i="13"/>
  <c r="D140" i="13"/>
  <c r="E139" i="13"/>
  <c r="D139" i="13"/>
  <c r="E138" i="13"/>
  <c r="D138" i="13"/>
  <c r="Z137" i="13"/>
  <c r="T37" i="1" s="1"/>
  <c r="E137" i="13"/>
  <c r="D137" i="13"/>
  <c r="Z136" i="13"/>
  <c r="E136" i="13"/>
  <c r="D136" i="13"/>
  <c r="E135" i="13"/>
  <c r="D135" i="13"/>
  <c r="Z134" i="13"/>
  <c r="T26" i="1" s="1"/>
  <c r="E134" i="13"/>
  <c r="D134" i="13"/>
  <c r="Z133" i="13"/>
  <c r="T25" i="1" s="1"/>
  <c r="E133" i="13"/>
  <c r="D133" i="13"/>
  <c r="Z132" i="13"/>
  <c r="E132" i="13"/>
  <c r="D132" i="13"/>
  <c r="Z131" i="13"/>
  <c r="E131" i="13"/>
  <c r="D131" i="13"/>
  <c r="Z130" i="13"/>
  <c r="E130" i="13"/>
  <c r="D130" i="13"/>
  <c r="E129" i="13"/>
  <c r="D129" i="13"/>
  <c r="Z128" i="13"/>
  <c r="E128" i="13"/>
  <c r="D128" i="13"/>
  <c r="Z127" i="13"/>
  <c r="T16" i="1" s="1"/>
  <c r="E127" i="13"/>
  <c r="D127" i="13"/>
  <c r="E126" i="13"/>
  <c r="D126" i="13"/>
  <c r="Z125" i="13"/>
  <c r="T11" i="1" s="1"/>
  <c r="E125" i="13"/>
  <c r="D125" i="13"/>
  <c r="E124" i="13"/>
  <c r="D124" i="13"/>
  <c r="Z123" i="13"/>
  <c r="T9" i="1" s="1"/>
  <c r="E123" i="13"/>
  <c r="D123" i="13"/>
  <c r="E122" i="13"/>
  <c r="D122" i="13"/>
  <c r="Z121" i="13"/>
  <c r="E121" i="13"/>
  <c r="D121" i="13"/>
  <c r="Z120" i="13"/>
  <c r="Q29" i="1" s="1"/>
  <c r="E120" i="13"/>
  <c r="D120" i="13"/>
  <c r="E119" i="13"/>
  <c r="D119" i="13"/>
  <c r="E118" i="13"/>
  <c r="D118" i="13"/>
  <c r="Z117" i="13"/>
  <c r="E117" i="13"/>
  <c r="D117" i="13"/>
  <c r="E116" i="13"/>
  <c r="D116" i="13"/>
  <c r="E115" i="13"/>
  <c r="D115" i="13"/>
  <c r="Z114" i="13"/>
  <c r="Q23" i="1" s="1"/>
  <c r="E114" i="13"/>
  <c r="D114" i="13"/>
  <c r="E113" i="13"/>
  <c r="D113" i="13"/>
  <c r="Z112" i="13"/>
  <c r="Q38" i="1" s="1"/>
  <c r="E112" i="13"/>
  <c r="D112" i="13"/>
  <c r="E111" i="13"/>
  <c r="D111" i="13"/>
  <c r="E110" i="13"/>
  <c r="D110" i="13"/>
  <c r="E109" i="13"/>
  <c r="D109" i="13"/>
  <c r="E108" i="13"/>
  <c r="D108" i="13"/>
  <c r="Z107" i="13"/>
  <c r="Q33" i="1" s="1"/>
  <c r="E107" i="13"/>
  <c r="D107" i="13"/>
  <c r="Z106" i="13"/>
  <c r="Q32" i="1" s="1"/>
  <c r="E106" i="13"/>
  <c r="D106" i="13"/>
  <c r="Z105" i="13"/>
  <c r="Q31" i="1" s="1"/>
  <c r="E105" i="13"/>
  <c r="D105" i="13"/>
  <c r="E104" i="13"/>
  <c r="D104" i="13"/>
  <c r="Z103" i="13"/>
  <c r="E103" i="13"/>
  <c r="D103" i="13"/>
  <c r="Z102" i="13"/>
  <c r="E102" i="13"/>
  <c r="D102" i="13"/>
  <c r="Z101" i="13"/>
  <c r="K29" i="1" s="1"/>
  <c r="S101" i="13" a="1"/>
  <c r="S101" i="13" s="1"/>
  <c r="E101" i="13"/>
  <c r="D101" i="13"/>
  <c r="Z100" i="13"/>
  <c r="E100" i="13"/>
  <c r="D100" i="13"/>
  <c r="E99" i="13"/>
  <c r="D99" i="13"/>
  <c r="E98" i="13"/>
  <c r="D98" i="13"/>
  <c r="E97" i="13"/>
  <c r="D97" i="13"/>
  <c r="Z96" i="13"/>
  <c r="Q18" i="1" s="1"/>
  <c r="E96" i="13"/>
  <c r="D96" i="13"/>
  <c r="E95" i="13"/>
  <c r="D95" i="13"/>
  <c r="Z94" i="13"/>
  <c r="E94" i="13"/>
  <c r="D94" i="13"/>
  <c r="S93" i="13" a="1"/>
  <c r="S93" i="13" s="1"/>
  <c r="E93" i="13"/>
  <c r="D93" i="13"/>
  <c r="E92" i="13"/>
  <c r="D92" i="13"/>
  <c r="E91" i="13"/>
  <c r="D91" i="13"/>
  <c r="Z90" i="13"/>
  <c r="Q13" i="1" s="1"/>
  <c r="E90" i="13"/>
  <c r="D90" i="13"/>
  <c r="Z89" i="13"/>
  <c r="E89" i="13"/>
  <c r="D89" i="13"/>
  <c r="E88" i="13"/>
  <c r="D88" i="13"/>
  <c r="Z87" i="13"/>
  <c r="Q10" i="1" s="1"/>
  <c r="E87" i="13"/>
  <c r="D87" i="13"/>
  <c r="Z86" i="13"/>
  <c r="Q9" i="1" s="1"/>
  <c r="E86" i="13"/>
  <c r="D86" i="13"/>
  <c r="Z85" i="13"/>
  <c r="E85" i="13"/>
  <c r="D85" i="13"/>
  <c r="E84" i="13"/>
  <c r="D84" i="13"/>
  <c r="Z83" i="13"/>
  <c r="E83" i="13"/>
  <c r="D83" i="13"/>
  <c r="E82" i="13"/>
  <c r="D82" i="13"/>
  <c r="E81" i="13"/>
  <c r="D81" i="13"/>
  <c r="Z80" i="13"/>
  <c r="N31" i="1" s="1"/>
  <c r="E80" i="13"/>
  <c r="D80" i="13"/>
  <c r="E79" i="13"/>
  <c r="D79" i="13"/>
  <c r="Z78" i="13"/>
  <c r="N29" i="1" s="1"/>
  <c r="E78" i="13"/>
  <c r="D78" i="13"/>
  <c r="E77" i="13"/>
  <c r="D77" i="13"/>
  <c r="E76" i="13"/>
  <c r="D76" i="13"/>
  <c r="Z75" i="13"/>
  <c r="E75" i="13"/>
  <c r="D75" i="13"/>
  <c r="Z74" i="13"/>
  <c r="E74" i="13"/>
  <c r="D74" i="13"/>
  <c r="Z73" i="13"/>
  <c r="S73" i="13" a="1"/>
  <c r="S73" i="13" s="1"/>
  <c r="E73" i="13"/>
  <c r="D73" i="13"/>
  <c r="Z72" i="13"/>
  <c r="E72" i="13"/>
  <c r="D72" i="13"/>
  <c r="E71" i="13"/>
  <c r="D71" i="13"/>
  <c r="Z70" i="13"/>
  <c r="N21" i="1" s="1"/>
  <c r="E70" i="13"/>
  <c r="D70" i="13"/>
  <c r="Z69" i="13"/>
  <c r="N20" i="1" s="1"/>
  <c r="S69" i="13" a="1"/>
  <c r="S69" i="13" s="1"/>
  <c r="E69" i="13"/>
  <c r="D69" i="13"/>
  <c r="E68" i="13"/>
  <c r="D68" i="13"/>
  <c r="Z67" i="13"/>
  <c r="E67" i="13"/>
  <c r="D67" i="13"/>
  <c r="Z66" i="13"/>
  <c r="N17" i="1" s="1"/>
  <c r="E66" i="13"/>
  <c r="D66" i="13"/>
  <c r="Z65" i="13"/>
  <c r="E65" i="13"/>
  <c r="D65" i="13"/>
  <c r="Z64" i="13"/>
  <c r="E64" i="13"/>
  <c r="D64" i="13"/>
  <c r="Z63" i="13"/>
  <c r="E63" i="13"/>
  <c r="D63" i="13"/>
  <c r="E62" i="13"/>
  <c r="D62" i="13"/>
  <c r="Z61" i="13"/>
  <c r="E61" i="13"/>
  <c r="D61" i="13"/>
  <c r="Z60" i="13"/>
  <c r="N11" i="1" s="1"/>
  <c r="E60" i="13"/>
  <c r="D60" i="13"/>
  <c r="BL59" i="13"/>
  <c r="BH59" i="13"/>
  <c r="BJ59" i="13" s="1"/>
  <c r="Z59" i="13"/>
  <c r="E59" i="13"/>
  <c r="D59" i="13"/>
  <c r="E58" i="13"/>
  <c r="D58" i="13"/>
  <c r="BL57" i="13"/>
  <c r="BK57" i="13"/>
  <c r="BJ57" i="13"/>
  <c r="BI57" i="13"/>
  <c r="Z57" i="13"/>
  <c r="N8" i="1" s="1"/>
  <c r="E57" i="13"/>
  <c r="D57" i="13"/>
  <c r="E56" i="13"/>
  <c r="D56" i="13"/>
  <c r="Z55" i="13"/>
  <c r="N6" i="1" s="1"/>
  <c r="E55" i="13"/>
  <c r="D55" i="13"/>
  <c r="E54" i="13"/>
  <c r="D54" i="13"/>
  <c r="S53" i="13" a="1"/>
  <c r="S53" i="13"/>
  <c r="E53" i="13"/>
  <c r="D53" i="13"/>
  <c r="Z52" i="13"/>
  <c r="E52" i="13"/>
  <c r="D52" i="13"/>
  <c r="Z51" i="13"/>
  <c r="K20" i="1" s="1"/>
  <c r="E51" i="13"/>
  <c r="D51" i="13"/>
  <c r="E50" i="13"/>
  <c r="D50" i="13"/>
  <c r="S49" i="13" a="1"/>
  <c r="S49" i="13" s="1"/>
  <c r="E49" i="13"/>
  <c r="D49" i="13"/>
  <c r="Z48" i="13"/>
  <c r="K17" i="1" s="1"/>
  <c r="E48" i="13"/>
  <c r="D48" i="13"/>
  <c r="Z47" i="13"/>
  <c r="K16" i="1" s="1"/>
  <c r="E47" i="13"/>
  <c r="D47" i="13"/>
  <c r="Z46" i="13"/>
  <c r="K15" i="1" s="1"/>
  <c r="E46" i="13"/>
  <c r="D46" i="13"/>
  <c r="Z45" i="13"/>
  <c r="K14" i="1" s="1"/>
  <c r="E45" i="13"/>
  <c r="D45" i="13"/>
  <c r="Z44" i="13"/>
  <c r="K13" i="1" s="1"/>
  <c r="E44" i="13"/>
  <c r="D44" i="13"/>
  <c r="Z43" i="13"/>
  <c r="S43" i="13" a="1"/>
  <c r="S43" i="13" s="1"/>
  <c r="E43" i="13"/>
  <c r="D43" i="13"/>
  <c r="BL42" i="13"/>
  <c r="BL43" i="13" s="1"/>
  <c r="BK42" i="13"/>
  <c r="BK43" i="13" s="1"/>
  <c r="BI42" i="13"/>
  <c r="BI43" i="13" s="1"/>
  <c r="BH42" i="13"/>
  <c r="BH43" i="13" s="1"/>
  <c r="Z42" i="13"/>
  <c r="K11" i="1" s="1"/>
  <c r="E42" i="13"/>
  <c r="D42" i="13"/>
  <c r="BZ41" i="13"/>
  <c r="BW41" i="13"/>
  <c r="BL41" i="13"/>
  <c r="BJ41" i="13"/>
  <c r="BH45" i="13" s="1"/>
  <c r="BJ45" i="13" s="1"/>
  <c r="I60" i="9" s="1"/>
  <c r="BH41" i="13"/>
  <c r="E41" i="13"/>
  <c r="D41" i="13"/>
  <c r="DC40" i="13"/>
  <c r="BZ40" i="13"/>
  <c r="BW40" i="13"/>
  <c r="BY40" i="13" s="1"/>
  <c r="BV40" i="13"/>
  <c r="BU40" i="13"/>
  <c r="Z40" i="13"/>
  <c r="E40" i="13"/>
  <c r="D40" i="13"/>
  <c r="BZ39" i="13"/>
  <c r="BW39" i="13"/>
  <c r="BV39" i="13"/>
  <c r="BU39" i="13"/>
  <c r="Z39" i="13"/>
  <c r="K8" i="1" s="1"/>
  <c r="E39" i="13"/>
  <c r="D39" i="13"/>
  <c r="DC38" i="13"/>
  <c r="H96" i="1" s="1"/>
  <c r="BZ38" i="13"/>
  <c r="BW38" i="13"/>
  <c r="BY38" i="13" s="1"/>
  <c r="BV38" i="13"/>
  <c r="BU38" i="13"/>
  <c r="E38" i="13"/>
  <c r="D38" i="13"/>
  <c r="BZ37" i="13"/>
  <c r="BW37" i="13"/>
  <c r="BY37" i="13" s="1"/>
  <c r="BV37" i="13"/>
  <c r="BU37" i="13"/>
  <c r="Z37" i="13"/>
  <c r="S37" i="13" a="1"/>
  <c r="S37" i="13" s="1"/>
  <c r="E37" i="13"/>
  <c r="D37" i="13"/>
  <c r="BZ36" i="13"/>
  <c r="BU36" i="13"/>
  <c r="E36" i="13"/>
  <c r="D36" i="13"/>
  <c r="BZ35" i="13"/>
  <c r="BY35" i="13"/>
  <c r="BW35" i="13"/>
  <c r="BV35" i="13"/>
  <c r="BU35" i="13"/>
  <c r="Z35" i="13"/>
  <c r="H34" i="1" s="1"/>
  <c r="E35" i="13"/>
  <c r="D35" i="13"/>
  <c r="BZ34" i="13"/>
  <c r="BY34" i="13"/>
  <c r="BW34" i="13"/>
  <c r="BV34" i="13"/>
  <c r="BU34" i="13"/>
  <c r="Z34" i="13"/>
  <c r="H33" i="1" s="1"/>
  <c r="E34" i="13"/>
  <c r="D34" i="13"/>
  <c r="BZ33" i="13"/>
  <c r="BW33" i="13"/>
  <c r="BV33" i="13"/>
  <c r="BU33" i="13"/>
  <c r="Z33" i="13"/>
  <c r="E33" i="13"/>
  <c r="D33" i="13"/>
  <c r="BZ32" i="13"/>
  <c r="BW32" i="13"/>
  <c r="BY32" i="13" s="1"/>
  <c r="BV32" i="13"/>
  <c r="BU32" i="13"/>
  <c r="Z32" i="13"/>
  <c r="H31" i="1" s="1"/>
  <c r="E32" i="13"/>
  <c r="D32" i="13"/>
  <c r="BZ31" i="13"/>
  <c r="BV31" i="13"/>
  <c r="BU31" i="13"/>
  <c r="Z31" i="13"/>
  <c r="H30" i="1" s="1"/>
  <c r="E31" i="13"/>
  <c r="D31" i="13"/>
  <c r="DC30" i="13"/>
  <c r="H88" i="1" s="1"/>
  <c r="BZ30" i="13"/>
  <c r="BW30" i="13"/>
  <c r="BV30" i="13"/>
  <c r="BU30" i="13"/>
  <c r="Z30" i="13"/>
  <c r="H29" i="1" s="1"/>
  <c r="E30" i="13"/>
  <c r="D30" i="13"/>
  <c r="BZ29" i="13"/>
  <c r="BY29" i="13"/>
  <c r="BW29" i="13"/>
  <c r="BV29" i="13"/>
  <c r="BU29" i="13"/>
  <c r="Z29" i="13"/>
  <c r="E29" i="13"/>
  <c r="D29" i="13"/>
  <c r="DC28" i="13"/>
  <c r="H86" i="1" s="1"/>
  <c r="BZ28" i="13"/>
  <c r="BU28" i="13"/>
  <c r="BK28" i="13"/>
  <c r="BH28" i="13"/>
  <c r="E28" i="13"/>
  <c r="D28" i="13"/>
  <c r="BZ27" i="13"/>
  <c r="BY27" i="13"/>
  <c r="BW27" i="13"/>
  <c r="BV27" i="13"/>
  <c r="BU27" i="13"/>
  <c r="BK27" i="13"/>
  <c r="BJ27" i="13"/>
  <c r="BJ28" i="13" s="1"/>
  <c r="BI27" i="13"/>
  <c r="BI28" i="13" s="1"/>
  <c r="S27" i="13" a="1"/>
  <c r="S27" i="13" s="1"/>
  <c r="E27" i="13"/>
  <c r="D27" i="13"/>
  <c r="BZ26" i="13"/>
  <c r="BW26" i="13"/>
  <c r="BY26" i="13" s="1"/>
  <c r="BV26" i="13"/>
  <c r="BU26" i="13"/>
  <c r="BL26" i="13"/>
  <c r="BH27" i="13" s="1"/>
  <c r="BJ26" i="13"/>
  <c r="BH26" i="13"/>
  <c r="Z26" i="13"/>
  <c r="H24" i="1" s="1"/>
  <c r="E26" i="13"/>
  <c r="D26" i="13"/>
  <c r="BZ25" i="13"/>
  <c r="BW25" i="13"/>
  <c r="BV25" i="13"/>
  <c r="BU25" i="13"/>
  <c r="BY25" i="13" s="1"/>
  <c r="Z25" i="13"/>
  <c r="H23" i="1" s="1"/>
  <c r="E25" i="13"/>
  <c r="D25" i="13"/>
  <c r="BZ24" i="13"/>
  <c r="BW24" i="13"/>
  <c r="BL24" i="13"/>
  <c r="BK24" i="13"/>
  <c r="BJ24" i="13"/>
  <c r="BI24" i="13"/>
  <c r="Z24" i="13"/>
  <c r="H18" i="1" s="1"/>
  <c r="E24" i="13"/>
  <c r="D24" i="13"/>
  <c r="DC23" i="13"/>
  <c r="BZ23" i="13"/>
  <c r="BY23" i="13"/>
  <c r="BW23" i="13"/>
  <c r="BV23" i="13"/>
  <c r="BU23" i="13"/>
  <c r="Z23" i="13"/>
  <c r="E23" i="13"/>
  <c r="D23" i="13"/>
  <c r="DC22" i="13"/>
  <c r="H80" i="1" s="1"/>
  <c r="BZ22" i="13"/>
  <c r="BV22" i="13"/>
  <c r="BU22" i="13"/>
  <c r="Z22" i="13"/>
  <c r="H21" i="1" s="1"/>
  <c r="E22" i="13"/>
  <c r="D22" i="13"/>
  <c r="BZ21" i="13"/>
  <c r="BW21" i="13"/>
  <c r="BY21" i="13" s="1"/>
  <c r="BV21" i="13"/>
  <c r="BU21" i="13"/>
  <c r="Z21" i="13"/>
  <c r="E21" i="13"/>
  <c r="D21" i="13"/>
  <c r="BZ20" i="13"/>
  <c r="BW20" i="13"/>
  <c r="BV20" i="13"/>
  <c r="BY20" i="13" s="1"/>
  <c r="BU20" i="13"/>
  <c r="E20" i="13"/>
  <c r="D20" i="13"/>
  <c r="DC19" i="13"/>
  <c r="H77" i="1" s="1"/>
  <c r="BZ19" i="13"/>
  <c r="BV19" i="13"/>
  <c r="BU19" i="13"/>
  <c r="Z19" i="13"/>
  <c r="H17" i="1" s="1"/>
  <c r="E19" i="13"/>
  <c r="D19" i="13"/>
  <c r="BZ18" i="13"/>
  <c r="BW18" i="13"/>
  <c r="BV18" i="13"/>
  <c r="BU18" i="13"/>
  <c r="Z18" i="13"/>
  <c r="E18" i="13"/>
  <c r="D18" i="13"/>
  <c r="BZ17" i="13"/>
  <c r="BW17" i="13"/>
  <c r="BY17" i="13" s="1"/>
  <c r="BV17" i="13"/>
  <c r="BU17" i="13"/>
  <c r="Z17" i="13"/>
  <c r="E17" i="13"/>
  <c r="D17" i="13"/>
  <c r="BZ16" i="13"/>
  <c r="BV16" i="13"/>
  <c r="BU16" i="13"/>
  <c r="Z16" i="13"/>
  <c r="E16" i="13"/>
  <c r="D16" i="13"/>
  <c r="T4" i="13" s="1"/>
  <c r="BZ15" i="13"/>
  <c r="BV15" i="13"/>
  <c r="BU15" i="13"/>
  <c r="Z15" i="13"/>
  <c r="H13" i="1" s="1"/>
  <c r="E15" i="13"/>
  <c r="D15" i="13"/>
  <c r="BZ14" i="13"/>
  <c r="BY14" i="13"/>
  <c r="BW14" i="13"/>
  <c r="BV14" i="13"/>
  <c r="BU14" i="13"/>
  <c r="Z14" i="13"/>
  <c r="E14" i="13"/>
  <c r="D14" i="13"/>
  <c r="BZ13" i="13"/>
  <c r="BW13" i="13"/>
  <c r="BV13" i="13"/>
  <c r="BY13" i="13" s="1"/>
  <c r="BU13" i="13"/>
  <c r="Z13" i="13"/>
  <c r="H11" i="1" s="1"/>
  <c r="E13" i="13"/>
  <c r="D13" i="13"/>
  <c r="BZ12" i="13"/>
  <c r="BW12" i="13"/>
  <c r="BU12" i="13"/>
  <c r="Z12" i="13"/>
  <c r="H10" i="1" s="1"/>
  <c r="S12" i="13" a="1"/>
  <c r="S12" i="13"/>
  <c r="E12" i="13"/>
  <c r="D12" i="13"/>
  <c r="BZ11" i="13"/>
  <c r="BW11" i="13"/>
  <c r="BY11" i="13" s="1"/>
  <c r="BV11" i="13"/>
  <c r="BU11" i="13"/>
  <c r="Z11" i="13"/>
  <c r="S11" i="13" a="1"/>
  <c r="S11" i="13" s="1"/>
  <c r="E11" i="13"/>
  <c r="D11" i="13"/>
  <c r="BZ10" i="13"/>
  <c r="BW10" i="13"/>
  <c r="BU10" i="13"/>
  <c r="Z10" i="13"/>
  <c r="E10" i="13"/>
  <c r="D10" i="13"/>
  <c r="CE9" i="13"/>
  <c r="CE10" i="13" s="1"/>
  <c r="CE11" i="13" s="1"/>
  <c r="CE12" i="13" s="1"/>
  <c r="CE13" i="13" s="1"/>
  <c r="CE14" i="13" s="1"/>
  <c r="CE15" i="13" s="1"/>
  <c r="CE16" i="13" s="1"/>
  <c r="CE17" i="13" s="1"/>
  <c r="BZ9" i="13"/>
  <c r="BW9" i="13"/>
  <c r="BY9" i="13" s="1"/>
  <c r="BV9" i="13"/>
  <c r="BU9" i="13"/>
  <c r="AR9" i="13"/>
  <c r="Z9" i="13"/>
  <c r="H7" i="1" s="1"/>
  <c r="E9" i="13"/>
  <c r="D9" i="13"/>
  <c r="BZ8" i="13"/>
  <c r="BW8" i="13"/>
  <c r="BV8" i="13"/>
  <c r="BU8" i="13"/>
  <c r="BL8" i="13"/>
  <c r="BH8" i="13"/>
  <c r="BJ8" i="13" s="1"/>
  <c r="Z8" i="13"/>
  <c r="BZ7" i="13"/>
  <c r="BW7" i="13"/>
  <c r="BY7" i="13" s="1"/>
  <c r="BV7" i="13"/>
  <c r="BU7" i="13"/>
  <c r="CE6" i="13"/>
  <c r="CE7" i="13" s="1"/>
  <c r="CE8" i="13" s="1"/>
  <c r="CC6" i="13"/>
  <c r="BZ6" i="13"/>
  <c r="BW6" i="13"/>
  <c r="BV6" i="13"/>
  <c r="BZ5" i="13"/>
  <c r="BW5" i="13"/>
  <c r="BY5" i="13" s="1"/>
  <c r="BV5" i="13"/>
  <c r="BU5" i="13"/>
  <c r="Z5" i="13"/>
  <c r="CC4" i="13"/>
  <c r="BZ4" i="13"/>
  <c r="BW4" i="13"/>
  <c r="BV4" i="13"/>
  <c r="BU4" i="13"/>
  <c r="Q4" i="13"/>
  <c r="P4" i="13"/>
  <c r="O4" i="13"/>
  <c r="N4" i="13"/>
  <c r="M4" i="13"/>
  <c r="L4" i="13"/>
  <c r="K4" i="13"/>
  <c r="J4" i="13"/>
  <c r="I4" i="13"/>
  <c r="H4" i="13"/>
  <c r="S92" i="13" s="1" a="1"/>
  <c r="S92" i="13" s="1"/>
  <c r="G4" i="13"/>
  <c r="S199" i="13" s="1" a="1"/>
  <c r="S199" i="13" s="1"/>
  <c r="F4" i="13"/>
  <c r="DC3" i="13"/>
  <c r="DC8" i="13" s="1"/>
  <c r="BZ3" i="13"/>
  <c r="BW3" i="13"/>
  <c r="BV3" i="13"/>
  <c r="BU3" i="13"/>
  <c r="BS3" i="13"/>
  <c r="BU41" i="13" s="1"/>
  <c r="B1" i="13"/>
  <c r="AT9" i="13" s="1"/>
  <c r="BN307" i="10"/>
  <c r="BN306" i="10"/>
  <c r="BN305" i="10"/>
  <c r="BM252" i="10"/>
  <c r="BM251" i="10"/>
  <c r="BM250" i="10"/>
  <c r="BM249" i="10"/>
  <c r="BM248" i="10"/>
  <c r="BM247" i="10"/>
  <c r="BM246" i="10"/>
  <c r="BM245" i="10"/>
  <c r="BM244" i="10"/>
  <c r="BM243" i="10"/>
  <c r="BM242" i="10"/>
  <c r="AG227" i="10"/>
  <c r="AF227" i="10"/>
  <c r="BO223" i="10"/>
  <c r="BO222" i="10"/>
  <c r="BO221" i="10"/>
  <c r="BO220" i="10"/>
  <c r="BO219" i="10"/>
  <c r="BO218" i="10"/>
  <c r="BO217" i="10"/>
  <c r="BO216" i="10"/>
  <c r="BO215" i="10"/>
  <c r="BN148" i="10"/>
  <c r="BN147" i="10"/>
  <c r="BN146" i="10"/>
  <c r="BN140" i="10"/>
  <c r="BN139" i="10"/>
  <c r="BN138" i="10"/>
  <c r="BN137" i="10"/>
  <c r="BN136" i="10"/>
  <c r="BN135" i="10"/>
  <c r="BN134" i="10"/>
  <c r="BN133" i="10"/>
  <c r="I79" i="9"/>
  <c r="I77" i="9"/>
  <c r="I76" i="9"/>
  <c r="CC8" i="13" s="1"/>
  <c r="AR443" i="12"/>
  <c r="AS443" i="12" s="1"/>
  <c r="AY431" i="12"/>
  <c r="AX431" i="12"/>
  <c r="AW431" i="12"/>
  <c r="AV431" i="12"/>
  <c r="AU431" i="12"/>
  <c r="AT431" i="12"/>
  <c r="AS431" i="12"/>
  <c r="AR431" i="12"/>
  <c r="AQ431" i="12"/>
  <c r="AW423" i="12"/>
  <c r="AV421" i="12"/>
  <c r="AT421" i="12"/>
  <c r="AT419" i="12"/>
  <c r="AT418" i="12"/>
  <c r="AT417" i="12"/>
  <c r="AT416" i="12"/>
  <c r="AV415" i="12"/>
  <c r="AU415" i="12"/>
  <c r="AV414" i="12"/>
  <c r="AT414" i="12"/>
  <c r="AV413" i="12"/>
  <c r="AU413" i="12"/>
  <c r="AV412" i="12"/>
  <c r="AT412" i="12"/>
  <c r="AV411" i="12"/>
  <c r="AT411" i="12"/>
  <c r="AV410" i="12"/>
  <c r="AT410" i="12"/>
  <c r="AV409" i="12"/>
  <c r="AT409" i="12"/>
  <c r="AV408" i="12"/>
  <c r="AV403" i="12"/>
  <c r="AV404" i="12" s="1"/>
  <c r="AV400" i="12"/>
  <c r="AT400" i="12"/>
  <c r="AV399" i="12"/>
  <c r="AT399" i="12"/>
  <c r="AV398" i="12"/>
  <c r="AT398" i="12"/>
  <c r="AV397" i="12"/>
  <c r="AT397" i="12"/>
  <c r="AV396" i="12"/>
  <c r="AT396" i="12"/>
  <c r="AV395" i="12"/>
  <c r="AU395" i="12"/>
  <c r="AV394" i="12"/>
  <c r="AU394" i="12"/>
  <c r="AV393" i="12"/>
  <c r="AU393" i="12"/>
  <c r="AV392" i="12"/>
  <c r="AU392" i="12"/>
  <c r="AU390" i="12"/>
  <c r="AU388" i="12"/>
  <c r="AD332" i="12"/>
  <c r="Z332" i="12"/>
  <c r="BB291" i="12"/>
  <c r="BA291" i="12"/>
  <c r="AY291" i="12"/>
  <c r="AX291" i="12"/>
  <c r="AW291" i="12"/>
  <c r="AV291" i="12"/>
  <c r="AR291" i="12"/>
  <c r="BB290" i="12"/>
  <c r="BA290" i="12"/>
  <c r="AV290" i="12"/>
  <c r="AU290" i="12"/>
  <c r="AT290" i="12"/>
  <c r="AS290" i="12"/>
  <c r="AR290" i="12"/>
  <c r="BB289" i="12"/>
  <c r="BA289" i="12"/>
  <c r="AY289" i="12"/>
  <c r="AW289" i="12"/>
  <c r="AV289" i="12"/>
  <c r="AU289" i="12"/>
  <c r="AT289" i="12"/>
  <c r="BB288" i="12"/>
  <c r="BA288" i="12"/>
  <c r="AY288" i="12"/>
  <c r="AW288" i="12"/>
  <c r="AV288" i="12"/>
  <c r="AS288" i="12"/>
  <c r="AR288" i="12"/>
  <c r="BB287" i="12"/>
  <c r="BA287" i="12"/>
  <c r="AY287" i="12"/>
  <c r="AX287" i="12"/>
  <c r="AV287" i="12"/>
  <c r="AU287" i="12"/>
  <c r="AT287" i="12"/>
  <c r="AS287" i="12"/>
  <c r="AY286" i="12"/>
  <c r="AW286" i="12"/>
  <c r="AV286" i="12"/>
  <c r="AU286" i="12"/>
  <c r="AT286" i="12"/>
  <c r="AS286" i="12"/>
  <c r="BB285" i="12"/>
  <c r="BA285" i="12"/>
  <c r="AV285" i="12"/>
  <c r="AT285" i="12"/>
  <c r="AS285" i="12"/>
  <c r="BB284" i="12"/>
  <c r="BA284" i="12"/>
  <c r="AW284" i="12"/>
  <c r="AV284" i="12"/>
  <c r="AU284" i="12"/>
  <c r="AT284" i="12"/>
  <c r="AS284" i="12"/>
  <c r="BB283" i="12"/>
  <c r="BA283" i="12"/>
  <c r="AY283" i="12"/>
  <c r="AW283" i="12"/>
  <c r="AV283" i="12"/>
  <c r="AU283" i="12"/>
  <c r="AT283" i="12"/>
  <c r="AS283" i="12"/>
  <c r="BB282" i="12"/>
  <c r="BA282" i="12"/>
  <c r="AY282" i="12"/>
  <c r="AT282" i="12"/>
  <c r="AS282" i="12"/>
  <c r="AR282" i="12"/>
  <c r="BB281" i="12"/>
  <c r="BA281" i="12"/>
  <c r="AY281" i="12"/>
  <c r="AX281" i="12"/>
  <c r="AW281" i="12"/>
  <c r="AV281" i="12"/>
  <c r="AU281" i="12"/>
  <c r="AT281" i="12"/>
  <c r="AS281" i="12"/>
  <c r="AR281" i="12"/>
  <c r="BB280" i="12"/>
  <c r="BA280" i="12"/>
  <c r="AX280" i="12"/>
  <c r="AS280" i="12"/>
  <c r="BB279" i="12"/>
  <c r="BA279" i="12"/>
  <c r="AY279" i="12"/>
  <c r="AW279" i="12"/>
  <c r="AV279" i="12"/>
  <c r="AU279" i="12"/>
  <c r="AT279" i="12"/>
  <c r="AS279" i="12"/>
  <c r="AR279" i="12"/>
  <c r="BB278" i="12"/>
  <c r="BA278" i="12"/>
  <c r="AV278" i="12"/>
  <c r="AU278" i="12"/>
  <c r="BB277" i="12"/>
  <c r="BA277" i="12"/>
  <c r="AU277" i="12"/>
  <c r="AT277" i="12"/>
  <c r="AS277" i="12"/>
  <c r="BB276" i="12"/>
  <c r="BA276" i="12"/>
  <c r="AY276" i="12"/>
  <c r="AW276" i="12"/>
  <c r="AV276" i="12"/>
  <c r="AU276" i="12"/>
  <c r="AT276" i="12"/>
  <c r="AS276" i="12"/>
  <c r="BB272" i="12"/>
  <c r="BB286" i="12" s="1"/>
  <c r="BA272" i="12"/>
  <c r="BA286" i="12" s="1"/>
  <c r="AZ272" i="12"/>
  <c r="AY272" i="12"/>
  <c r="AY280" i="12" s="1"/>
  <c r="AX272" i="12"/>
  <c r="AX289" i="12" s="1"/>
  <c r="AW272" i="12"/>
  <c r="AV272" i="12"/>
  <c r="AU272" i="12"/>
  <c r="AT272" i="12"/>
  <c r="AS272" i="12"/>
  <c r="AR272" i="12"/>
  <c r="AR286" i="12" s="1"/>
  <c r="AT245" i="12"/>
  <c r="AS245" i="12"/>
  <c r="AT244" i="12"/>
  <c r="AS244" i="12"/>
  <c r="AT243" i="12"/>
  <c r="AS243" i="12"/>
  <c r="AT242" i="12"/>
  <c r="AS242" i="12"/>
  <c r="AT241" i="12"/>
  <c r="AS241" i="12"/>
  <c r="AT240" i="12"/>
  <c r="AS240" i="12"/>
  <c r="P240" i="12"/>
  <c r="O240" i="12"/>
  <c r="J240" i="12"/>
  <c r="AT239" i="12"/>
  <c r="AS239" i="12"/>
  <c r="AT238" i="12"/>
  <c r="AS238" i="12"/>
  <c r="AT237" i="12"/>
  <c r="AS237" i="12"/>
  <c r="AT236" i="12"/>
  <c r="AS236" i="12"/>
  <c r="AT235" i="12"/>
  <c r="AS235" i="12"/>
  <c r="AQ221" i="12"/>
  <c r="AS209" i="12"/>
  <c r="AR209" i="12"/>
  <c r="AS208" i="12"/>
  <c r="AR208" i="12"/>
  <c r="AS207" i="12"/>
  <c r="AR207" i="12"/>
  <c r="AS206" i="12"/>
  <c r="AR206" i="12"/>
  <c r="AS205" i="12"/>
  <c r="AR205" i="12"/>
  <c r="AS204" i="12"/>
  <c r="AR204" i="12"/>
  <c r="AS203" i="12"/>
  <c r="AR203" i="12"/>
  <c r="AS202" i="12"/>
  <c r="AR202" i="12"/>
  <c r="AS201" i="12"/>
  <c r="AR201" i="12"/>
  <c r="AS200" i="12"/>
  <c r="AR200" i="12"/>
  <c r="AS199" i="12"/>
  <c r="AR199" i="12"/>
  <c r="AS198" i="12"/>
  <c r="AR198" i="12"/>
  <c r="AU146" i="12"/>
  <c r="V73" i="7"/>
  <c r="V72" i="7"/>
  <c r="V71" i="7"/>
  <c r="V70" i="7"/>
  <c r="V69" i="7"/>
  <c r="V68" i="7"/>
  <c r="V67" i="7"/>
  <c r="V66" i="7"/>
  <c r="V65" i="7"/>
  <c r="V64" i="7"/>
  <c r="V63" i="7"/>
  <c r="V62" i="7"/>
  <c r="V61" i="7"/>
  <c r="V60" i="7"/>
  <c r="V59" i="7"/>
  <c r="V58" i="7"/>
  <c r="V57" i="7"/>
  <c r="V56" i="7"/>
  <c r="V55" i="7"/>
  <c r="V54" i="7"/>
  <c r="V53" i="7"/>
  <c r="V52" i="7"/>
  <c r="V51" i="7"/>
  <c r="V50" i="7"/>
  <c r="V49" i="7"/>
  <c r="V48" i="7"/>
  <c r="V47" i="7"/>
  <c r="V46" i="7"/>
  <c r="V45" i="7"/>
  <c r="V44" i="7"/>
  <c r="V43" i="7"/>
  <c r="V42" i="7"/>
  <c r="V41" i="7"/>
  <c r="V40" i="7"/>
  <c r="V39" i="7"/>
  <c r="V38" i="7"/>
  <c r="H37" i="7"/>
  <c r="AC18" i="7"/>
  <c r="AC19" i="7" s="1"/>
  <c r="AC20" i="7" s="1"/>
  <c r="AC21" i="7" s="1"/>
  <c r="AD17" i="7"/>
  <c r="AC17" i="7"/>
  <c r="AI11" i="7"/>
  <c r="AH11" i="7"/>
  <c r="AP10" i="7"/>
  <c r="AI10" i="7"/>
  <c r="AH10" i="7"/>
  <c r="AI9" i="7"/>
  <c r="AH9" i="7"/>
  <c r="W5" i="7"/>
  <c r="V5" i="7"/>
  <c r="U5" i="7"/>
  <c r="AH4" i="7"/>
  <c r="K68" i="15"/>
  <c r="K67" i="15"/>
  <c r="K66" i="15"/>
  <c r="K65" i="15"/>
  <c r="K64" i="15"/>
  <c r="U56" i="15"/>
  <c r="U55" i="15"/>
  <c r="U54" i="15"/>
  <c r="U53" i="15"/>
  <c r="U52" i="15"/>
  <c r="AF43" i="15"/>
  <c r="AE43" i="15"/>
  <c r="AE42" i="15"/>
  <c r="AF42" i="15" s="1"/>
  <c r="AE41" i="15"/>
  <c r="AF41" i="15" s="1"/>
  <c r="AF40" i="15"/>
  <c r="AE40" i="15"/>
  <c r="AF39" i="15"/>
  <c r="AE39" i="15"/>
  <c r="AE32" i="15"/>
  <c r="V32" i="15"/>
  <c r="U32" i="15"/>
  <c r="AE31" i="15"/>
  <c r="V31" i="15"/>
  <c r="U31" i="15"/>
  <c r="AE30" i="15"/>
  <c r="V30" i="15"/>
  <c r="U30" i="15"/>
  <c r="AE29" i="15"/>
  <c r="V29" i="15"/>
  <c r="U29" i="15"/>
  <c r="AE28" i="15"/>
  <c r="U28" i="15"/>
  <c r="V28" i="15" s="1"/>
  <c r="AE21" i="15"/>
  <c r="K21" i="15"/>
  <c r="AE20" i="15"/>
  <c r="K20" i="15"/>
  <c r="AE19" i="15"/>
  <c r="K19" i="15"/>
  <c r="AE18" i="15"/>
  <c r="K18" i="15"/>
  <c r="AR17" i="15"/>
  <c r="AE17" i="15"/>
  <c r="K17" i="15"/>
  <c r="AR16" i="15"/>
  <c r="AR15" i="15"/>
  <c r="AR14" i="15"/>
  <c r="AR13" i="15"/>
  <c r="AR12" i="15"/>
  <c r="AR11" i="15"/>
  <c r="AE11" i="15"/>
  <c r="U11" i="15"/>
  <c r="AR10" i="15"/>
  <c r="AE10" i="15"/>
  <c r="U10" i="15"/>
  <c r="AR9" i="15"/>
  <c r="AE9" i="15"/>
  <c r="U9" i="15"/>
  <c r="AR8" i="15"/>
  <c r="AE8" i="15"/>
  <c r="U8" i="15"/>
  <c r="AE7" i="15"/>
  <c r="U7" i="15"/>
  <c r="T60" i="14"/>
  <c r="K60" i="14"/>
  <c r="T59" i="14"/>
  <c r="K59" i="14"/>
  <c r="T58" i="14"/>
  <c r="K58" i="14"/>
  <c r="T57" i="14"/>
  <c r="K57" i="14"/>
  <c r="T56" i="14"/>
  <c r="K56" i="14"/>
  <c r="AB48" i="14"/>
  <c r="T48" i="14"/>
  <c r="K48" i="14"/>
  <c r="AB47" i="14"/>
  <c r="T47" i="14"/>
  <c r="K47" i="14"/>
  <c r="AB46" i="14"/>
  <c r="T46" i="14"/>
  <c r="K46" i="14"/>
  <c r="AB45" i="14"/>
  <c r="T45" i="14"/>
  <c r="K45" i="14"/>
  <c r="AB44" i="14"/>
  <c r="T44" i="14"/>
  <c r="K44" i="14"/>
  <c r="K34" i="14"/>
  <c r="K33" i="14"/>
  <c r="K32" i="14"/>
  <c r="K31" i="14"/>
  <c r="K30" i="14"/>
  <c r="AB24" i="14"/>
  <c r="AC24" i="14" s="1"/>
  <c r="K24" i="14"/>
  <c r="AB23" i="14"/>
  <c r="AC23" i="14" s="1"/>
  <c r="K23" i="14"/>
  <c r="AC22" i="14"/>
  <c r="AB22" i="14"/>
  <c r="K22" i="14"/>
  <c r="AC21" i="14"/>
  <c r="AB21" i="14"/>
  <c r="K21" i="14"/>
  <c r="AB20" i="14"/>
  <c r="AC20" i="14" s="1"/>
  <c r="K20" i="14"/>
  <c r="AL11" i="14"/>
  <c r="AB11" i="14"/>
  <c r="AC11" i="14" s="1"/>
  <c r="K11" i="14"/>
  <c r="AL10" i="14"/>
  <c r="AB10" i="14"/>
  <c r="AC10" i="14" s="1"/>
  <c r="K10" i="14"/>
  <c r="AL9" i="14"/>
  <c r="AB9" i="14"/>
  <c r="AC9" i="14" s="1"/>
  <c r="K9" i="14"/>
  <c r="AL8" i="14"/>
  <c r="AB8" i="14"/>
  <c r="AC8" i="14" s="1"/>
  <c r="K8" i="14"/>
  <c r="AL7" i="14"/>
  <c r="AB7" i="14"/>
  <c r="AC7" i="14" s="1"/>
  <c r="K7" i="14"/>
  <c r="T56" i="6"/>
  <c r="J56" i="6"/>
  <c r="T55" i="6"/>
  <c r="J55" i="6"/>
  <c r="T54" i="6"/>
  <c r="J54" i="6"/>
  <c r="T53" i="6"/>
  <c r="J53" i="6"/>
  <c r="T52" i="6"/>
  <c r="J52" i="6"/>
  <c r="T51" i="6"/>
  <c r="J51" i="6"/>
  <c r="T50" i="6"/>
  <c r="J50" i="6"/>
  <c r="T49" i="6"/>
  <c r="J49" i="6"/>
  <c r="T48" i="6"/>
  <c r="J48" i="6"/>
  <c r="AD29" i="6"/>
  <c r="AD28" i="6"/>
  <c r="AD27" i="6"/>
  <c r="AD26" i="6"/>
  <c r="AD25" i="6"/>
  <c r="AD24" i="6"/>
  <c r="AD23" i="6"/>
  <c r="AD22" i="6"/>
  <c r="AD21" i="6"/>
  <c r="AD15" i="6"/>
  <c r="AD14" i="6"/>
  <c r="AD13" i="6"/>
  <c r="AD12" i="6"/>
  <c r="AD11" i="6"/>
  <c r="AD10" i="6"/>
  <c r="AD9" i="6"/>
  <c r="AD8" i="6"/>
  <c r="AD7" i="6"/>
  <c r="W112" i="5"/>
  <c r="W111" i="5"/>
  <c r="W110" i="5"/>
  <c r="W109" i="5"/>
  <c r="W108" i="5"/>
  <c r="W107" i="5"/>
  <c r="W106" i="5"/>
  <c r="W105" i="5"/>
  <c r="W104" i="5"/>
  <c r="W103" i="5"/>
  <c r="W102" i="5"/>
  <c r="W101" i="5"/>
  <c r="W100" i="5"/>
  <c r="W99" i="5"/>
  <c r="W98" i="5"/>
  <c r="W97" i="5"/>
  <c r="W96" i="5"/>
  <c r="W95" i="5"/>
  <c r="K90" i="5"/>
  <c r="V89" i="5"/>
  <c r="V90" i="5" s="1"/>
  <c r="W90" i="5" s="1"/>
  <c r="K89" i="5"/>
  <c r="W88" i="5"/>
  <c r="K88" i="5"/>
  <c r="W87" i="5"/>
  <c r="K87" i="5"/>
  <c r="W86" i="5"/>
  <c r="K86" i="5"/>
  <c r="W85" i="5"/>
  <c r="K85" i="5"/>
  <c r="W84" i="5"/>
  <c r="K84" i="5"/>
  <c r="W83" i="5"/>
  <c r="K83" i="5"/>
  <c r="W82" i="5"/>
  <c r="K82" i="5"/>
  <c r="W81" i="5"/>
  <c r="K81" i="5"/>
  <c r="W80" i="5"/>
  <c r="K80" i="5"/>
  <c r="W79" i="5"/>
  <c r="K79" i="5"/>
  <c r="W78" i="5"/>
  <c r="K78" i="5"/>
  <c r="W77" i="5"/>
  <c r="K77" i="5"/>
  <c r="W76" i="5"/>
  <c r="K76" i="5"/>
  <c r="W75" i="5"/>
  <c r="K75" i="5"/>
  <c r="W74" i="5"/>
  <c r="K74" i="5"/>
  <c r="W73" i="5"/>
  <c r="K73" i="5"/>
  <c r="K68" i="5"/>
  <c r="U67" i="5"/>
  <c r="K67" i="5"/>
  <c r="K66" i="5"/>
  <c r="K65" i="5"/>
  <c r="K64" i="5"/>
  <c r="K63" i="5"/>
  <c r="K62" i="5"/>
  <c r="K61" i="5"/>
  <c r="K60" i="5"/>
  <c r="K59" i="5"/>
  <c r="K58" i="5"/>
  <c r="K57" i="5"/>
  <c r="K56" i="5"/>
  <c r="K55" i="5"/>
  <c r="K54" i="5"/>
  <c r="K53" i="5"/>
  <c r="K52" i="5"/>
  <c r="K51" i="5"/>
  <c r="K46" i="5"/>
  <c r="K45" i="5"/>
  <c r="K44" i="5"/>
  <c r="K43" i="5"/>
  <c r="K42" i="5"/>
  <c r="K41" i="5"/>
  <c r="K40" i="5"/>
  <c r="K39" i="5"/>
  <c r="K38" i="5"/>
  <c r="K37" i="5"/>
  <c r="AL36" i="5"/>
  <c r="K36" i="5"/>
  <c r="AL35" i="5"/>
  <c r="K35" i="5"/>
  <c r="AL34" i="5"/>
  <c r="K34" i="5"/>
  <c r="AL33" i="5"/>
  <c r="K33" i="5"/>
  <c r="AL32" i="5"/>
  <c r="K32" i="5"/>
  <c r="AL31" i="5"/>
  <c r="K31" i="5"/>
  <c r="AL30" i="5"/>
  <c r="K30" i="5"/>
  <c r="AL29" i="5"/>
  <c r="K29" i="5"/>
  <c r="AL28" i="5"/>
  <c r="AL27" i="5"/>
  <c r="AL26" i="5"/>
  <c r="AL25" i="5"/>
  <c r="AL24" i="5"/>
  <c r="K24" i="5"/>
  <c r="AL23" i="5"/>
  <c r="K23" i="5"/>
  <c r="AL22" i="5"/>
  <c r="K22" i="5"/>
  <c r="AL21" i="5"/>
  <c r="K21" i="5"/>
  <c r="AL20" i="5"/>
  <c r="K20" i="5"/>
  <c r="AL19" i="5"/>
  <c r="K19" i="5"/>
  <c r="AL18" i="5"/>
  <c r="K18" i="5"/>
  <c r="AL17" i="5"/>
  <c r="K17" i="5"/>
  <c r="AL16" i="5"/>
  <c r="K16" i="5"/>
  <c r="AL15" i="5"/>
  <c r="K15" i="5"/>
  <c r="AL14" i="5"/>
  <c r="K14" i="5"/>
  <c r="AL13" i="5"/>
  <c r="K13" i="5"/>
  <c r="AL12" i="5"/>
  <c r="K12" i="5"/>
  <c r="AL11" i="5"/>
  <c r="K11" i="5"/>
  <c r="AL10" i="5"/>
  <c r="K10" i="5"/>
  <c r="AL9" i="5"/>
  <c r="K9" i="5"/>
  <c r="AL8" i="5"/>
  <c r="K8" i="5"/>
  <c r="AL7" i="5"/>
  <c r="K7" i="5"/>
  <c r="AH92" i="4"/>
  <c r="AF92" i="4"/>
  <c r="AH91" i="4"/>
  <c r="AF91" i="4"/>
  <c r="AH90" i="4"/>
  <c r="AF90" i="4"/>
  <c r="T83" i="4"/>
  <c r="T82" i="4"/>
  <c r="AF81" i="4"/>
  <c r="T81" i="4"/>
  <c r="AF80" i="4"/>
  <c r="T80" i="4"/>
  <c r="AF79" i="4"/>
  <c r="T79" i="4"/>
  <c r="K73" i="4"/>
  <c r="K72" i="4"/>
  <c r="K71" i="4"/>
  <c r="K70" i="4"/>
  <c r="K69" i="4"/>
  <c r="K68" i="4"/>
  <c r="K67" i="4"/>
  <c r="K66" i="4"/>
  <c r="K65" i="4"/>
  <c r="K64" i="4"/>
  <c r="U59" i="4"/>
  <c r="U58" i="4"/>
  <c r="U57" i="4"/>
  <c r="AF56" i="4"/>
  <c r="U56" i="4"/>
  <c r="AF55" i="4"/>
  <c r="U55" i="4"/>
  <c r="AF54" i="4"/>
  <c r="U54" i="4"/>
  <c r="AF53" i="4"/>
  <c r="U53" i="4"/>
  <c r="AF52" i="4"/>
  <c r="U52" i="4"/>
  <c r="AF51" i="4"/>
  <c r="U51" i="4"/>
  <c r="AF50" i="4"/>
  <c r="U50" i="4"/>
  <c r="AF49" i="4"/>
  <c r="U49" i="4"/>
  <c r="AF48" i="4"/>
  <c r="U48" i="4"/>
  <c r="AF47" i="4"/>
  <c r="U47" i="4"/>
  <c r="K46" i="4"/>
  <c r="L46" i="4" s="1"/>
  <c r="L45" i="4"/>
  <c r="K45" i="4"/>
  <c r="AF44" i="4"/>
  <c r="K44" i="4"/>
  <c r="L44" i="4" s="1"/>
  <c r="AF43" i="4"/>
  <c r="K43" i="4"/>
  <c r="AF42" i="4"/>
  <c r="AF41" i="4"/>
  <c r="AF40" i="4"/>
  <c r="AF39" i="4"/>
  <c r="AF38" i="4"/>
  <c r="AF37" i="4"/>
  <c r="AF36" i="4"/>
  <c r="AF35" i="4"/>
  <c r="AF34" i="4"/>
  <c r="AF33" i="4"/>
  <c r="AF32" i="4"/>
  <c r="AF31" i="4"/>
  <c r="AF30" i="4"/>
  <c r="AS27" i="4"/>
  <c r="V27" i="4"/>
  <c r="U27" i="4"/>
  <c r="L27" i="4"/>
  <c r="K27" i="4"/>
  <c r="V26" i="4"/>
  <c r="U26" i="4"/>
  <c r="L26" i="4"/>
  <c r="K26" i="4"/>
  <c r="V25" i="4"/>
  <c r="U25" i="4"/>
  <c r="L25" i="4"/>
  <c r="K25" i="4"/>
  <c r="V24" i="4"/>
  <c r="U24" i="4"/>
  <c r="L24" i="4"/>
  <c r="K24" i="4"/>
  <c r="U23" i="4"/>
  <c r="L23" i="4"/>
  <c r="K23" i="4" s="1"/>
  <c r="U22" i="4"/>
  <c r="L22" i="4"/>
  <c r="K22" i="4" s="1"/>
  <c r="U21" i="4"/>
  <c r="L21" i="4"/>
  <c r="K21" i="4"/>
  <c r="U20" i="4"/>
  <c r="L20" i="4"/>
  <c r="K20" i="4"/>
  <c r="U19" i="4"/>
  <c r="L19" i="4"/>
  <c r="K19" i="4" s="1"/>
  <c r="U18" i="4"/>
  <c r="L18" i="4"/>
  <c r="K18" i="4"/>
  <c r="U17" i="4"/>
  <c r="L17" i="4"/>
  <c r="K17" i="4"/>
  <c r="U16" i="4"/>
  <c r="L16" i="4"/>
  <c r="K16" i="4"/>
  <c r="L15" i="4"/>
  <c r="K15" i="4"/>
  <c r="L14" i="4"/>
  <c r="K14" i="4" s="1"/>
  <c r="L13" i="4"/>
  <c r="K13" i="4" s="1"/>
  <c r="L12" i="4"/>
  <c r="L11" i="4"/>
  <c r="L10" i="4"/>
  <c r="L9" i="4"/>
  <c r="L8" i="4"/>
  <c r="L7" i="4"/>
  <c r="BB107" i="3"/>
  <c r="AS107" i="3"/>
  <c r="AI107" i="3"/>
  <c r="BB106" i="3"/>
  <c r="AS106" i="3"/>
  <c r="AI106" i="3"/>
  <c r="BB105" i="3"/>
  <c r="AS105" i="3"/>
  <c r="AI105" i="3"/>
  <c r="AI93" i="3"/>
  <c r="AS92" i="3"/>
  <c r="AI92" i="3"/>
  <c r="AS91" i="3"/>
  <c r="AI91" i="3"/>
  <c r="BC80" i="3"/>
  <c r="AI80" i="3"/>
  <c r="BC79" i="3"/>
  <c r="AS79" i="3"/>
  <c r="AI79" i="3"/>
  <c r="BC78" i="3"/>
  <c r="AS78" i="3"/>
  <c r="AI78" i="3"/>
  <c r="BC77" i="3"/>
  <c r="AS77" i="3"/>
  <c r="AI77" i="3"/>
  <c r="AJ65" i="3"/>
  <c r="BC64" i="3"/>
  <c r="AJ64" i="3"/>
  <c r="BC63" i="3"/>
  <c r="AJ63" i="3"/>
  <c r="BD53" i="3"/>
  <c r="BD52" i="3"/>
  <c r="AI52" i="3"/>
  <c r="BD51" i="3"/>
  <c r="AI51" i="3"/>
  <c r="BD50" i="3"/>
  <c r="AS50" i="3"/>
  <c r="AI50" i="3"/>
  <c r="BD49" i="3"/>
  <c r="AS49" i="3"/>
  <c r="AI49" i="3"/>
  <c r="I49" i="3"/>
  <c r="I48" i="3"/>
  <c r="I47" i="3"/>
  <c r="I46" i="3"/>
  <c r="AI39" i="3"/>
  <c r="AI38" i="3"/>
  <c r="AI37" i="3"/>
  <c r="AI36" i="3"/>
  <c r="AT29" i="3"/>
  <c r="AR29" i="3"/>
  <c r="AI29" i="3"/>
  <c r="AT28" i="3"/>
  <c r="AR28" i="3"/>
  <c r="AI28" i="3"/>
  <c r="AT27" i="3"/>
  <c r="AR27" i="3"/>
  <c r="AI27" i="3"/>
  <c r="AT26" i="3"/>
  <c r="AR26" i="3"/>
  <c r="AI26" i="3"/>
  <c r="AI18" i="3"/>
  <c r="AI17" i="3"/>
  <c r="AI16" i="3"/>
  <c r="AI15" i="3"/>
  <c r="T15" i="3"/>
  <c r="T14" i="3"/>
  <c r="T13" i="3"/>
  <c r="T12" i="3"/>
  <c r="T11" i="3"/>
  <c r="T10" i="3"/>
  <c r="AJ9" i="3"/>
  <c r="AI9" i="3"/>
  <c r="T9" i="3"/>
  <c r="AJ8" i="3"/>
  <c r="T8" i="3"/>
  <c r="AJ7" i="3"/>
  <c r="T7" i="3"/>
  <c r="AJ6" i="3"/>
  <c r="K173" i="2"/>
  <c r="K172" i="2"/>
  <c r="K171" i="2"/>
  <c r="K170" i="2"/>
  <c r="K169" i="2"/>
  <c r="K168" i="2"/>
  <c r="K167" i="2"/>
  <c r="K166" i="2"/>
  <c r="K165" i="2"/>
  <c r="K164" i="2"/>
  <c r="T160" i="2"/>
  <c r="U160" i="2" s="1"/>
  <c r="K160" i="2"/>
  <c r="AT159" i="2"/>
  <c r="T159" i="2"/>
  <c r="U159" i="2" s="1"/>
  <c r="K159" i="2"/>
  <c r="AT158" i="2"/>
  <c r="U158" i="2"/>
  <c r="T158" i="2"/>
  <c r="K158" i="2"/>
  <c r="AT157" i="2"/>
  <c r="U157" i="2"/>
  <c r="T157" i="2"/>
  <c r="K157" i="2"/>
  <c r="AT156" i="2"/>
  <c r="U156" i="2"/>
  <c r="T156" i="2"/>
  <c r="K156" i="2"/>
  <c r="AT155" i="2"/>
  <c r="T155" i="2"/>
  <c r="U155" i="2" s="1"/>
  <c r="K155" i="2"/>
  <c r="AT154" i="2"/>
  <c r="T154" i="2"/>
  <c r="U154" i="2" s="1"/>
  <c r="K154" i="2"/>
  <c r="AT153" i="2"/>
  <c r="T153" i="2"/>
  <c r="U153" i="2" s="1"/>
  <c r="K153" i="2"/>
  <c r="AT152" i="2"/>
  <c r="U152" i="2"/>
  <c r="T152" i="2"/>
  <c r="K152" i="2"/>
  <c r="AT151" i="2"/>
  <c r="U151" i="2"/>
  <c r="T151" i="2"/>
  <c r="K151" i="2"/>
  <c r="AT150" i="2"/>
  <c r="AT149" i="2"/>
  <c r="AT148" i="2"/>
  <c r="AT147" i="2"/>
  <c r="AT146" i="2"/>
  <c r="AT145" i="2"/>
  <c r="AT144" i="2"/>
  <c r="AT143" i="2"/>
  <c r="AT142" i="2"/>
  <c r="AT141" i="2"/>
  <c r="AT140" i="2"/>
  <c r="AT139" i="2"/>
  <c r="AT138" i="2"/>
  <c r="AT137" i="2"/>
  <c r="AT136" i="2"/>
  <c r="AT135" i="2"/>
  <c r="BI134" i="2"/>
  <c r="AT134" i="2"/>
  <c r="K134" i="2"/>
  <c r="BI133" i="2"/>
  <c r="AT133" i="2"/>
  <c r="K133" i="2"/>
  <c r="BI132" i="2"/>
  <c r="AT132" i="2"/>
  <c r="K132" i="2"/>
  <c r="BI131" i="2"/>
  <c r="AT131" i="2"/>
  <c r="AE131" i="2"/>
  <c r="K131" i="2"/>
  <c r="BI130" i="2"/>
  <c r="AT130" i="2"/>
  <c r="AE130" i="2"/>
  <c r="K130" i="2"/>
  <c r="BI129" i="2"/>
  <c r="AT129" i="2"/>
  <c r="AE129" i="2"/>
  <c r="K129" i="2"/>
  <c r="BI128" i="2"/>
  <c r="AT128" i="2"/>
  <c r="BI127" i="2"/>
  <c r="AT127" i="2"/>
  <c r="BI126" i="2"/>
  <c r="AT126" i="2"/>
  <c r="BI125" i="2"/>
  <c r="AT125" i="2"/>
  <c r="K125" i="2"/>
  <c r="BI124" i="2"/>
  <c r="AT124" i="2"/>
  <c r="J124" i="2"/>
  <c r="K124" i="2" s="1"/>
  <c r="I124" i="2"/>
  <c r="BI123" i="2"/>
  <c r="AT123" i="2"/>
  <c r="K123" i="2"/>
  <c r="BI122" i="2"/>
  <c r="AT122" i="2"/>
  <c r="K122" i="2"/>
  <c r="BI121" i="2"/>
  <c r="AT121" i="2"/>
  <c r="K121" i="2"/>
  <c r="BI120" i="2"/>
  <c r="AT120" i="2"/>
  <c r="K120" i="2"/>
  <c r="BI119" i="2"/>
  <c r="AT119" i="2"/>
  <c r="K119" i="2"/>
  <c r="BI118" i="2"/>
  <c r="AT118" i="2"/>
  <c r="K118" i="2"/>
  <c r="BI117" i="2"/>
  <c r="AT117" i="2"/>
  <c r="K117" i="2"/>
  <c r="BI116" i="2"/>
  <c r="AT116" i="2"/>
  <c r="K116" i="2"/>
  <c r="BI115" i="2"/>
  <c r="AT115" i="2"/>
  <c r="K115" i="2"/>
  <c r="BI114" i="2"/>
  <c r="AT114" i="2"/>
  <c r="BI113" i="2"/>
  <c r="AT113" i="2"/>
  <c r="BI112" i="2"/>
  <c r="AT112" i="2"/>
  <c r="BI111" i="2"/>
  <c r="AT111" i="2"/>
  <c r="BI110" i="2"/>
  <c r="AT110" i="2"/>
  <c r="K110" i="2"/>
  <c r="BI109" i="2"/>
  <c r="AT109" i="2"/>
  <c r="K109" i="2"/>
  <c r="BI108" i="2"/>
  <c r="AT108" i="2"/>
  <c r="K108" i="2"/>
  <c r="BI107" i="2"/>
  <c r="AT107" i="2"/>
  <c r="K107" i="2"/>
  <c r="BI106" i="2"/>
  <c r="AT106" i="2"/>
  <c r="K106" i="2"/>
  <c r="BI105" i="2"/>
  <c r="AT105" i="2"/>
  <c r="AE105" i="2"/>
  <c r="U105" i="2"/>
  <c r="K105" i="2"/>
  <c r="BI104" i="2"/>
  <c r="AT104" i="2"/>
  <c r="AE104" i="2"/>
  <c r="U104" i="2"/>
  <c r="K104" i="2"/>
  <c r="BI103" i="2"/>
  <c r="AT103" i="2"/>
  <c r="AE103" i="2"/>
  <c r="U103" i="2"/>
  <c r="K103" i="2"/>
  <c r="BI102" i="2"/>
  <c r="AT102" i="2"/>
  <c r="AE102" i="2"/>
  <c r="U102" i="2"/>
  <c r="K102" i="2"/>
  <c r="BI101" i="2"/>
  <c r="AT101" i="2"/>
  <c r="AE101" i="2"/>
  <c r="U101" i="2"/>
  <c r="K101" i="2"/>
  <c r="BI100" i="2"/>
  <c r="AT100" i="2"/>
  <c r="AE100" i="2"/>
  <c r="U100" i="2"/>
  <c r="K100" i="2"/>
  <c r="AE95" i="2"/>
  <c r="AE94" i="2"/>
  <c r="AE93" i="2"/>
  <c r="AE92" i="2"/>
  <c r="BI91" i="2"/>
  <c r="BB91" i="2"/>
  <c r="AT91" i="2"/>
  <c r="AE91" i="2"/>
  <c r="BI90" i="2"/>
  <c r="BB90" i="2"/>
  <c r="AT90" i="2"/>
  <c r="AE90" i="2"/>
  <c r="BI89" i="2"/>
  <c r="BB89" i="2"/>
  <c r="AT89" i="2"/>
  <c r="AE89" i="2"/>
  <c r="BI88" i="2"/>
  <c r="BB88" i="2"/>
  <c r="AT88" i="2"/>
  <c r="AE88" i="2"/>
  <c r="BI87" i="2"/>
  <c r="BB87" i="2"/>
  <c r="AT87" i="2"/>
  <c r="AE87" i="2"/>
  <c r="BI86" i="2"/>
  <c r="BB86" i="2"/>
  <c r="AT86" i="2"/>
  <c r="BI85" i="2"/>
  <c r="BB85" i="2"/>
  <c r="AT85" i="2"/>
  <c r="BI84" i="2"/>
  <c r="BB84" i="2"/>
  <c r="AT84" i="2"/>
  <c r="BI83" i="2"/>
  <c r="AT83" i="2"/>
  <c r="BI82" i="2"/>
  <c r="AT82" i="2"/>
  <c r="BI81" i="2"/>
  <c r="AT81" i="2"/>
  <c r="BI80" i="2"/>
  <c r="AT80" i="2"/>
  <c r="BI79" i="2"/>
  <c r="AT79" i="2"/>
  <c r="BI78" i="2"/>
  <c r="AT78" i="2"/>
  <c r="BI77" i="2"/>
  <c r="AT77" i="2"/>
  <c r="BI76" i="2"/>
  <c r="AT76" i="2"/>
  <c r="BI75" i="2"/>
  <c r="AT75" i="2"/>
  <c r="W75" i="2"/>
  <c r="BI74" i="2"/>
  <c r="AT74" i="2"/>
  <c r="W74" i="2"/>
  <c r="BI73" i="2"/>
  <c r="AT73" i="2"/>
  <c r="W73" i="2"/>
  <c r="K73" i="2"/>
  <c r="BI72" i="2"/>
  <c r="AT72" i="2"/>
  <c r="K72" i="2"/>
  <c r="BI71" i="2"/>
  <c r="AT71" i="2"/>
  <c r="K71" i="2"/>
  <c r="BI70" i="2"/>
  <c r="AT70" i="2"/>
  <c r="BI69" i="2"/>
  <c r="AT69" i="2"/>
  <c r="BI68" i="2"/>
  <c r="AT68" i="2"/>
  <c r="BI67" i="2"/>
  <c r="AT67" i="2"/>
  <c r="BI66" i="2"/>
  <c r="AT66" i="2"/>
  <c r="BI65" i="2"/>
  <c r="AT65" i="2"/>
  <c r="BI64" i="2"/>
  <c r="AT64" i="2"/>
  <c r="AF64" i="2"/>
  <c r="AE64" i="2"/>
  <c r="BI63" i="2"/>
  <c r="AT63" i="2"/>
  <c r="AF63" i="2"/>
  <c r="AE63" i="2"/>
  <c r="K63" i="2"/>
  <c r="BI62" i="2"/>
  <c r="AT62" i="2"/>
  <c r="AF62" i="2"/>
  <c r="AE62" i="2"/>
  <c r="K62" i="2"/>
  <c r="BI61" i="2"/>
  <c r="AT61" i="2"/>
  <c r="AF61" i="2"/>
  <c r="AE61" i="2"/>
  <c r="K61" i="2"/>
  <c r="BI60" i="2"/>
  <c r="AT60" i="2"/>
  <c r="K60" i="2"/>
  <c r="BI59" i="2"/>
  <c r="AT59" i="2"/>
  <c r="K59" i="2"/>
  <c r="BI58" i="2"/>
  <c r="AT58" i="2"/>
  <c r="K58" i="2"/>
  <c r="BI57" i="2"/>
  <c r="AT57" i="2"/>
  <c r="BI56" i="2"/>
  <c r="AT56" i="2"/>
  <c r="BI55" i="2"/>
  <c r="AT55" i="2"/>
  <c r="BI54" i="2"/>
  <c r="AT54" i="2"/>
  <c r="AE54" i="2"/>
  <c r="K54" i="2"/>
  <c r="BI53" i="2"/>
  <c r="AT53" i="2"/>
  <c r="AE53" i="2"/>
  <c r="K53" i="2"/>
  <c r="BI52" i="2"/>
  <c r="AT52" i="2"/>
  <c r="AE52" i="2"/>
  <c r="K52" i="2"/>
  <c r="BI51" i="2"/>
  <c r="AT51" i="2"/>
  <c r="AE51" i="2"/>
  <c r="K51" i="2"/>
  <c r="BI50" i="2"/>
  <c r="AT50" i="2"/>
  <c r="AE50" i="2"/>
  <c r="K50" i="2"/>
  <c r="BI49" i="2"/>
  <c r="AT49" i="2"/>
  <c r="AE49" i="2"/>
  <c r="K49" i="2"/>
  <c r="BI48" i="2"/>
  <c r="AT48" i="2"/>
  <c r="AE48" i="2"/>
  <c r="K48" i="2"/>
  <c r="BI47" i="2"/>
  <c r="AT47" i="2"/>
  <c r="AE47" i="2"/>
  <c r="K47" i="2"/>
  <c r="BI46" i="2"/>
  <c r="AT46" i="2"/>
  <c r="AE46" i="2"/>
  <c r="K46" i="2"/>
  <c r="BI45" i="2"/>
  <c r="AT45" i="2"/>
  <c r="BI44" i="2"/>
  <c r="AT44" i="2"/>
  <c r="BI43" i="2"/>
  <c r="AT43" i="2"/>
  <c r="K43" i="2"/>
  <c r="BI42" i="2"/>
  <c r="AT42" i="2"/>
  <c r="K42" i="2"/>
  <c r="BI41" i="2"/>
  <c r="AT41" i="2"/>
  <c r="AE41" i="2"/>
  <c r="K41" i="2"/>
  <c r="BI40" i="2"/>
  <c r="AT40" i="2"/>
  <c r="AE40" i="2"/>
  <c r="K40" i="2"/>
  <c r="BI39" i="2"/>
  <c r="AT39" i="2"/>
  <c r="K39" i="2"/>
  <c r="BI38" i="2"/>
  <c r="AT38" i="2"/>
  <c r="K38" i="2"/>
  <c r="BI37" i="2"/>
  <c r="AT37" i="2"/>
  <c r="K37" i="2"/>
  <c r="BI36" i="2"/>
  <c r="AT36" i="2"/>
  <c r="K36" i="2"/>
  <c r="BI35" i="2"/>
  <c r="AT35" i="2"/>
  <c r="K35" i="2"/>
  <c r="BI34" i="2"/>
  <c r="AT34" i="2"/>
  <c r="K34" i="2"/>
  <c r="BI33" i="2"/>
  <c r="AT33" i="2"/>
  <c r="K33" i="2"/>
  <c r="BI32" i="2"/>
  <c r="AT32" i="2"/>
  <c r="V32" i="2"/>
  <c r="BI31" i="2"/>
  <c r="AT31" i="2"/>
  <c r="V31" i="2"/>
  <c r="BI30" i="2"/>
  <c r="AT30" i="2"/>
  <c r="V30" i="2"/>
  <c r="BI29" i="2"/>
  <c r="AT29" i="2"/>
  <c r="AE29" i="2"/>
  <c r="V29" i="2"/>
  <c r="BI28" i="2"/>
  <c r="AT28" i="2"/>
  <c r="AE28" i="2"/>
  <c r="V28" i="2"/>
  <c r="BI27" i="2"/>
  <c r="AT27" i="2"/>
  <c r="AE27" i="2"/>
  <c r="V27" i="2"/>
  <c r="BI26" i="2"/>
  <c r="AT26" i="2"/>
  <c r="AE26" i="2"/>
  <c r="V26" i="2"/>
  <c r="BI25" i="2"/>
  <c r="AT25" i="2"/>
  <c r="AE25" i="2"/>
  <c r="V25" i="2"/>
  <c r="BI24" i="2"/>
  <c r="AT24" i="2"/>
  <c r="AE24" i="2"/>
  <c r="V24" i="2"/>
  <c r="BI23" i="2"/>
  <c r="AT23" i="2"/>
  <c r="AE23" i="2"/>
  <c r="V23" i="2"/>
  <c r="BI22" i="2"/>
  <c r="AT22" i="2"/>
  <c r="AE22" i="2"/>
  <c r="V22" i="2"/>
  <c r="BI21" i="2"/>
  <c r="AT21" i="2"/>
  <c r="AE21" i="2"/>
  <c r="BI20" i="2"/>
  <c r="AT20" i="2"/>
  <c r="AE20" i="2"/>
  <c r="BI19" i="2"/>
  <c r="AT19" i="2"/>
  <c r="BI18" i="2"/>
  <c r="AT18" i="2"/>
  <c r="BI17" i="2"/>
  <c r="AT17" i="2"/>
  <c r="BI16" i="2"/>
  <c r="AT16" i="2"/>
  <c r="BI15" i="2"/>
  <c r="AT15" i="2"/>
  <c r="BI14" i="2"/>
  <c r="AT14" i="2"/>
  <c r="BI13" i="2"/>
  <c r="AT13" i="2"/>
  <c r="BI12" i="2"/>
  <c r="AT12" i="2"/>
  <c r="BI11" i="2"/>
  <c r="AT11" i="2"/>
  <c r="BI10" i="2"/>
  <c r="AT10" i="2"/>
  <c r="BI9" i="2"/>
  <c r="AT9" i="2"/>
  <c r="BI8" i="2"/>
  <c r="AT8" i="2"/>
  <c r="BI7" i="2"/>
  <c r="AT7" i="2"/>
  <c r="G103" i="1"/>
  <c r="H98" i="1"/>
  <c r="H81" i="1"/>
  <c r="H70" i="1"/>
  <c r="S67" i="1"/>
  <c r="H62" i="1"/>
  <c r="K60" i="1"/>
  <c r="K57" i="1"/>
  <c r="H51" i="1"/>
  <c r="N50" i="1"/>
  <c r="N49" i="1"/>
  <c r="S46" i="1"/>
  <c r="T43" i="1"/>
  <c r="T36" i="1"/>
  <c r="T33" i="1"/>
  <c r="H32" i="1"/>
  <c r="K31" i="1"/>
  <c r="K30" i="1"/>
  <c r="K28" i="1"/>
  <c r="H28" i="1"/>
  <c r="Q26" i="1"/>
  <c r="N26" i="1"/>
  <c r="N25" i="1"/>
  <c r="T24" i="1"/>
  <c r="N24" i="1"/>
  <c r="N23" i="1"/>
  <c r="H22" i="1"/>
  <c r="K21" i="1"/>
  <c r="T20" i="1"/>
  <c r="H20" i="1"/>
  <c r="T19" i="1"/>
  <c r="N18" i="1"/>
  <c r="Q16" i="1"/>
  <c r="N16" i="1"/>
  <c r="H16" i="1"/>
  <c r="N15" i="1"/>
  <c r="H15" i="1"/>
  <c r="T14" i="1"/>
  <c r="N14" i="1"/>
  <c r="H14" i="1"/>
  <c r="Q12" i="1"/>
  <c r="N12" i="1"/>
  <c r="K12" i="1"/>
  <c r="H12" i="1"/>
  <c r="N10" i="1"/>
  <c r="K9" i="1"/>
  <c r="H9" i="1"/>
  <c r="Q8" i="1"/>
  <c r="I8" i="1"/>
  <c r="H8" i="1"/>
  <c r="T7" i="1"/>
  <c r="Q6" i="1"/>
  <c r="K6" i="1"/>
  <c r="H6" i="1"/>
  <c r="D5" i="1"/>
  <c r="V3" i="1"/>
  <c r="AQ2" i="13" a="1"/>
  <c r="AL151" i="13" l="1"/>
  <c r="AE157" i="13"/>
  <c r="AK159" i="13"/>
  <c r="AK151" i="13" s="1"/>
  <c r="AI163" i="13"/>
  <c r="BH30" i="13"/>
  <c r="D66" i="9" s="1"/>
  <c r="AD160" i="13"/>
  <c r="AO163" i="13"/>
  <c r="AJ155" i="13"/>
  <c r="AD158" i="13"/>
  <c r="AK158" i="13"/>
  <c r="AN158" i="13"/>
  <c r="AL160" i="13"/>
  <c r="AM158" i="13"/>
  <c r="AA162" i="13"/>
  <c r="AA154" i="13" s="1"/>
  <c r="AB162" i="13"/>
  <c r="AJ160" i="13"/>
  <c r="AF162" i="13"/>
  <c r="AO162" i="13"/>
  <c r="AO154" i="13" s="1"/>
  <c r="Z154" i="13" s="1"/>
  <c r="W12" i="1" s="1"/>
  <c r="AI162" i="13"/>
  <c r="AI154" i="13" s="1"/>
  <c r="AA160" i="13"/>
  <c r="AA152" i="13" s="1"/>
  <c r="AC163" i="13"/>
  <c r="AC155" i="13" s="1"/>
  <c r="AS4" i="13"/>
  <c r="X9" i="10" s="1"/>
  <c r="AR4" i="13"/>
  <c r="V9" i="10" s="1"/>
  <c r="AU8" i="13"/>
  <c r="AB13" i="10" s="1"/>
  <c r="AQ4" i="13"/>
  <c r="U9" i="10" s="1"/>
  <c r="AU4" i="13"/>
  <c r="AB9" i="10" s="1"/>
  <c r="AS5" i="13"/>
  <c r="X10" i="10" s="1"/>
  <c r="AR8" i="13"/>
  <c r="V13" i="10" s="1"/>
  <c r="AS2" i="13"/>
  <c r="X7" i="10" s="1"/>
  <c r="AQ8" i="13"/>
  <c r="U13" i="10" s="1"/>
  <c r="AR2" i="13"/>
  <c r="V7" i="10" s="1"/>
  <c r="AU7" i="13"/>
  <c r="AB12" i="10" s="1"/>
  <c r="AR7" i="13"/>
  <c r="V12" i="10" s="1"/>
  <c r="AU5" i="13"/>
  <c r="AB10" i="10" s="1"/>
  <c r="AT6" i="13"/>
  <c r="Z11" i="10" s="1"/>
  <c r="AQ5" i="13"/>
  <c r="U10" i="10" s="1"/>
  <c r="AS6" i="13"/>
  <c r="X11" i="10" s="1"/>
  <c r="AR6" i="13"/>
  <c r="V11" i="10" s="1"/>
  <c r="AQ6" i="13"/>
  <c r="U11" i="10" s="1"/>
  <c r="AT5" i="13"/>
  <c r="Z10" i="10" s="1"/>
  <c r="AR5" i="13"/>
  <c r="V10" i="10" s="1"/>
  <c r="AT4" i="13"/>
  <c r="Z9" i="10" s="1"/>
  <c r="AU3" i="13"/>
  <c r="AB8" i="10" s="1"/>
  <c r="AT3" i="13"/>
  <c r="Z8" i="10" s="1"/>
  <c r="AS3" i="13"/>
  <c r="X8" i="10" s="1"/>
  <c r="AR3" i="13"/>
  <c r="V8" i="10" s="1"/>
  <c r="AQ3" i="13"/>
  <c r="U8" i="10" s="1"/>
  <c r="AU2" i="13"/>
  <c r="AB7" i="10" s="1"/>
  <c r="AT2" i="13"/>
  <c r="Z7" i="10" s="1"/>
  <c r="AQ2" i="13"/>
  <c r="U7" i="10" s="1"/>
  <c r="AS8" i="13"/>
  <c r="X13" i="10" s="1"/>
  <c r="AT8" i="13"/>
  <c r="Z13" i="10" s="1"/>
  <c r="AT7" i="13"/>
  <c r="Z12" i="10" s="1"/>
  <c r="AS7" i="13"/>
  <c r="X12" i="10" s="1"/>
  <c r="AQ7" i="13"/>
  <c r="U12" i="10" s="1"/>
  <c r="AU6" i="13"/>
  <c r="AB11" i="10" s="1"/>
  <c r="CE18" i="13"/>
  <c r="CE19" i="13" s="1"/>
  <c r="CF17" i="13"/>
  <c r="AZ284" i="12"/>
  <c r="AZ286" i="12"/>
  <c r="AZ287" i="12"/>
  <c r="AZ277" i="12"/>
  <c r="AZ279" i="12"/>
  <c r="AZ289" i="12"/>
  <c r="AZ283" i="12"/>
  <c r="AZ280" i="12"/>
  <c r="AZ291" i="12"/>
  <c r="AZ285" i="12"/>
  <c r="AZ282" i="12"/>
  <c r="AZ276" i="12"/>
  <c r="AB154" i="13"/>
  <c r="AK155" i="13"/>
  <c r="AH155" i="13"/>
  <c r="Z162" i="13"/>
  <c r="W24" i="1" s="1"/>
  <c r="T2" i="13"/>
  <c r="AG5" i="7"/>
  <c r="BY8" i="13"/>
  <c r="CF13" i="13"/>
  <c r="BM10" i="13"/>
  <c r="BH10" i="13"/>
  <c r="BI9" i="13"/>
  <c r="BI10" i="13" s="1"/>
  <c r="BM9" i="13"/>
  <c r="BL9" i="13"/>
  <c r="BL10" i="13" s="1"/>
  <c r="BK9" i="13"/>
  <c r="BK10" i="13" s="1"/>
  <c r="BJ9" i="13"/>
  <c r="BJ10" i="13" s="1"/>
  <c r="BH9" i="13"/>
  <c r="AZ290" i="12"/>
  <c r="CF7" i="13"/>
  <c r="CF12" i="13"/>
  <c r="CF8" i="13"/>
  <c r="CF15" i="13"/>
  <c r="CF9" i="13"/>
  <c r="CF10" i="13"/>
  <c r="CF18" i="13"/>
  <c r="CF5" i="13"/>
  <c r="CF11" i="13"/>
  <c r="CF16" i="13"/>
  <c r="CF14" i="13"/>
  <c r="F82" i="9"/>
  <c r="CF4" i="13"/>
  <c r="CF6" i="13"/>
  <c r="BY30" i="13"/>
  <c r="AJ158" i="13"/>
  <c r="AK150" i="13" s="1"/>
  <c r="BH63" i="13"/>
  <c r="BJ63" i="13" s="1"/>
  <c r="I66" i="9" s="1"/>
  <c r="AD18" i="7"/>
  <c r="AD19" i="7"/>
  <c r="AC22" i="7"/>
  <c r="AD21" i="7"/>
  <c r="DC126" i="13"/>
  <c r="DC115" i="13"/>
  <c r="Q79" i="1" s="1"/>
  <c r="DC128" i="13"/>
  <c r="DC106" i="13"/>
  <c r="DC117" i="13"/>
  <c r="Q81" i="1" s="1"/>
  <c r="DC130" i="13"/>
  <c r="Q94" i="1" s="1"/>
  <c r="DC123" i="13"/>
  <c r="Q87" i="1" s="1"/>
  <c r="DC112" i="13"/>
  <c r="Q76" i="1" s="1"/>
  <c r="DC109" i="13"/>
  <c r="Q73" i="1" s="1"/>
  <c r="DC119" i="13"/>
  <c r="Q83" i="1" s="1"/>
  <c r="DC125" i="13"/>
  <c r="Q89" i="1" s="1"/>
  <c r="DC122" i="13"/>
  <c r="Q86" i="1" s="1"/>
  <c r="DC135" i="13"/>
  <c r="Q99" i="1" s="1"/>
  <c r="DC133" i="13"/>
  <c r="DC114" i="13"/>
  <c r="Q78" i="1" s="1"/>
  <c r="DC113" i="13"/>
  <c r="Q77" i="1" s="1"/>
  <c r="Q70" i="1"/>
  <c r="DC131" i="13"/>
  <c r="Q95" i="1" s="1"/>
  <c r="DC124" i="13"/>
  <c r="Q88" i="1" s="1"/>
  <c r="DC108" i="13"/>
  <c r="Q72" i="1" s="1"/>
  <c r="DC111" i="13"/>
  <c r="Q75" i="1" s="1"/>
  <c r="DC121" i="13"/>
  <c r="DC134" i="13"/>
  <c r="Q98" i="1" s="1"/>
  <c r="DC116" i="13"/>
  <c r="Q80" i="1" s="1"/>
  <c r="DC120" i="13"/>
  <c r="DC129" i="13"/>
  <c r="Q93" i="1" s="1"/>
  <c r="DC110" i="13"/>
  <c r="Q74" i="1" s="1"/>
  <c r="DC132" i="13"/>
  <c r="AZ288" i="12"/>
  <c r="DC127" i="13"/>
  <c r="AN150" i="13"/>
  <c r="AV406" i="12"/>
  <c r="AV407" i="12" s="1"/>
  <c r="AV405" i="12"/>
  <c r="AV423" i="12" s="1"/>
  <c r="DC118" i="13"/>
  <c r="Q82" i="1" s="1"/>
  <c r="AZ278" i="12"/>
  <c r="AU423" i="12"/>
  <c r="W89" i="5"/>
  <c r="AD20" i="7"/>
  <c r="AZ281" i="12"/>
  <c r="BK60" i="13"/>
  <c r="BL60" i="13" s="1"/>
  <c r="BH60" i="13"/>
  <c r="BI60" i="13"/>
  <c r="BI61" i="13" s="1"/>
  <c r="S213" i="13" a="1"/>
  <c r="S213" i="13" s="1"/>
  <c r="DC10" i="13"/>
  <c r="DC17" i="13"/>
  <c r="H75" i="1" s="1"/>
  <c r="DC32" i="13"/>
  <c r="H90" i="1" s="1"/>
  <c r="S39" i="13" a="1"/>
  <c r="S39" i="13" s="1"/>
  <c r="S81" i="13" a="1"/>
  <c r="S81" i="13" s="1"/>
  <c r="S89" i="13" a="1"/>
  <c r="S89" i="13" s="1"/>
  <c r="S110" i="13" a="1"/>
  <c r="S110" i="13" s="1"/>
  <c r="S163" i="13" a="1"/>
  <c r="S163" i="13" s="1"/>
  <c r="S208" i="13" a="1"/>
  <c r="S208" i="13" s="1"/>
  <c r="AI155" i="13"/>
  <c r="T3" i="13"/>
  <c r="AS9" i="13"/>
  <c r="T1" i="13"/>
  <c r="S14" i="13" a="1"/>
  <c r="S14" i="13" s="1"/>
  <c r="S16" i="13" a="1"/>
  <c r="S16" i="13" s="1"/>
  <c r="S35" i="13" a="1"/>
  <c r="S35" i="13" s="1"/>
  <c r="S66" i="13" a="1"/>
  <c r="S66" i="13" s="1"/>
  <c r="S74" i="13" a="1"/>
  <c r="S74" i="13" s="1"/>
  <c r="S161" i="13" a="1"/>
  <c r="S161" i="13" s="1"/>
  <c r="S173" i="13" a="1"/>
  <c r="S173" i="13" s="1"/>
  <c r="S226" i="13" a="1"/>
  <c r="S226" i="13" s="1"/>
  <c r="AG162" i="13"/>
  <c r="AG154" i="13" s="1"/>
  <c r="AA163" i="13"/>
  <c r="AA155" i="13" s="1"/>
  <c r="S124" i="13" a="1"/>
  <c r="S124" i="13" s="1"/>
  <c r="S170" i="13" a="1"/>
  <c r="S170" i="13" s="1"/>
  <c r="S188" i="13" a="1"/>
  <c r="S188" i="13" s="1"/>
  <c r="S193" i="13" a="1"/>
  <c r="S193" i="13" s="1"/>
  <c r="S242" i="13" a="1"/>
  <c r="S242" i="13" s="1"/>
  <c r="S78" i="13" a="1"/>
  <c r="S78" i="13" s="1"/>
  <c r="AX276" i="12"/>
  <c r="DC6" i="13"/>
  <c r="S18" i="13" a="1"/>
  <c r="S18" i="13" s="1"/>
  <c r="S22" i="13" a="1"/>
  <c r="S22" i="13" s="1"/>
  <c r="S31" i="13" a="1"/>
  <c r="S31" i="13" s="1"/>
  <c r="S50" i="13" a="1"/>
  <c r="S50" i="13" s="1"/>
  <c r="S70" i="13" a="1"/>
  <c r="S70" i="13" s="1"/>
  <c r="S147" i="13" a="1"/>
  <c r="S147" i="13" s="1"/>
  <c r="S181" i="13" a="1"/>
  <c r="S181" i="13" s="1"/>
  <c r="AF159" i="13"/>
  <c r="AF151" i="13" s="1"/>
  <c r="AF165" i="13"/>
  <c r="AF157" i="13" s="1"/>
  <c r="S221" i="13" a="1"/>
  <c r="S221" i="13" s="1"/>
  <c r="AL158" i="13"/>
  <c r="S274" i="13" a="1"/>
  <c r="S274" i="13" s="1"/>
  <c r="AC160" i="13"/>
  <c r="AX279" i="12"/>
  <c r="BY3" i="13"/>
  <c r="DC9" i="13"/>
  <c r="BY39" i="13"/>
  <c r="S86" i="13" a="1"/>
  <c r="S86" i="13" s="1"/>
  <c r="S94" i="13" a="1"/>
  <c r="S94" i="13" s="1"/>
  <c r="S138" i="13" a="1"/>
  <c r="S138" i="13" s="1"/>
  <c r="S203" i="13" a="1"/>
  <c r="S203" i="13" s="1"/>
  <c r="AG159" i="13"/>
  <c r="S279" i="13" a="1"/>
  <c r="S279" i="13" s="1"/>
  <c r="AD152" i="13"/>
  <c r="AX288" i="12"/>
  <c r="AT423" i="12"/>
  <c r="S7" i="13" a="1"/>
  <c r="S7" i="13" s="1"/>
  <c r="S54" i="13" a="1"/>
  <c r="S54" i="13" s="1"/>
  <c r="BJ60" i="13"/>
  <c r="BJ61" i="13" s="1"/>
  <c r="S116" i="13" a="1"/>
  <c r="S116" i="13" s="1"/>
  <c r="AA159" i="13"/>
  <c r="AA151" i="13" s="1"/>
  <c r="S215" i="13" a="1"/>
  <c r="S215" i="13" s="1"/>
  <c r="AH159" i="13"/>
  <c r="S273" i="13" a="1"/>
  <c r="S273" i="13" s="1"/>
  <c r="AE160" i="13"/>
  <c r="AE152" i="13" s="1"/>
  <c r="DC25" i="13"/>
  <c r="H83" i="1" s="1"/>
  <c r="DC21" i="13"/>
  <c r="H79" i="1" s="1"/>
  <c r="DC27" i="13"/>
  <c r="H85" i="1" s="1"/>
  <c r="DC24" i="13"/>
  <c r="H82" i="1" s="1"/>
  <c r="DC15" i="13"/>
  <c r="H73" i="1" s="1"/>
  <c r="DC20" i="13"/>
  <c r="H78" i="1" s="1"/>
  <c r="DC7" i="13"/>
  <c r="DC171" i="13"/>
  <c r="DC37" i="13"/>
  <c r="H95" i="1" s="1"/>
  <c r="DC18" i="13"/>
  <c r="H76" i="1" s="1"/>
  <c r="DC12" i="13"/>
  <c r="S26" i="13" a="1"/>
  <c r="S26" i="13" s="1"/>
  <c r="S44" i="13" a="1"/>
  <c r="S44" i="13" s="1"/>
  <c r="S47" i="13" a="1"/>
  <c r="S47" i="13" s="1"/>
  <c r="AJ159" i="13"/>
  <c r="AI159" i="13"/>
  <c r="AI151" i="13" s="1"/>
  <c r="AI165" i="13"/>
  <c r="AI157" i="13" s="1"/>
  <c r="S83" i="13" a="1"/>
  <c r="S83" i="13" s="1"/>
  <c r="S103" i="13" a="1"/>
  <c r="S103" i="13" s="1"/>
  <c r="S165" i="13" a="1"/>
  <c r="S165" i="13" s="1"/>
  <c r="AK157" i="13"/>
  <c r="AI158" i="13"/>
  <c r="AR277" i="12"/>
  <c r="S65" i="13" a="1"/>
  <c r="S65" i="13" s="1"/>
  <c r="S275" i="13" a="1"/>
  <c r="S275" i="13" s="1"/>
  <c r="S98" i="13" a="1"/>
  <c r="S98" i="13" s="1"/>
  <c r="S210" i="13" a="1"/>
  <c r="S210" i="13" s="1"/>
  <c r="S259" i="13" a="1"/>
  <c r="S259" i="13" s="1"/>
  <c r="S243" i="13" a="1"/>
  <c r="S243" i="13" s="1"/>
  <c r="S179" i="13" a="1"/>
  <c r="S179" i="13" s="1"/>
  <c r="S42" i="13" a="1"/>
  <c r="S42" i="13" s="1"/>
  <c r="S191" i="13" a="1"/>
  <c r="S191" i="13" s="1"/>
  <c r="S46" i="13" a="1"/>
  <c r="S46" i="13" s="1"/>
  <c r="S245" i="13" a="1"/>
  <c r="S245" i="13" s="1"/>
  <c r="S222" i="13" a="1"/>
  <c r="S222" i="13" s="1"/>
  <c r="S148" i="13" a="1"/>
  <c r="S148" i="13" s="1"/>
  <c r="S125" i="13" a="1"/>
  <c r="S125" i="13" s="1"/>
  <c r="S121" i="13" a="1"/>
  <c r="S121" i="13" s="1"/>
  <c r="S60" i="13" a="1"/>
  <c r="S60" i="13" s="1"/>
  <c r="S52" i="13" a="1"/>
  <c r="S52" i="13" s="1"/>
  <c r="S19" i="13" a="1"/>
  <c r="S19" i="13" s="1"/>
  <c r="S270" i="13" a="1"/>
  <c r="S270" i="13" s="1"/>
  <c r="S151" i="13" a="1"/>
  <c r="S151" i="13" s="1"/>
  <c r="S136" i="13" a="1"/>
  <c r="S136" i="13" s="1"/>
  <c r="S113" i="13" a="1"/>
  <c r="S113" i="13" s="1"/>
  <c r="S75" i="13" a="1"/>
  <c r="S75" i="13" s="1"/>
  <c r="S36" i="13" a="1"/>
  <c r="S36" i="13" s="1"/>
  <c r="S10" i="13" a="1"/>
  <c r="S10" i="13" s="1"/>
  <c r="S166" i="13" a="1"/>
  <c r="S166" i="13" s="1"/>
  <c r="S262" i="13" a="1"/>
  <c r="S262" i="13" s="1"/>
  <c r="S255" i="13" a="1"/>
  <c r="S255" i="13" s="1"/>
  <c r="S239" i="13" a="1"/>
  <c r="S239" i="13" s="1"/>
  <c r="S271" i="13" a="1"/>
  <c r="S271" i="13" s="1"/>
  <c r="S223" i="13" a="1"/>
  <c r="S223" i="13" s="1"/>
  <c r="S156" i="13" a="1"/>
  <c r="S156" i="13" s="1"/>
  <c r="S24" i="13" a="1"/>
  <c r="S24" i="13" s="1"/>
  <c r="S180" i="13" a="1"/>
  <c r="S180" i="13" s="1"/>
  <c r="S134" i="13" a="1"/>
  <c r="S134" i="13" s="1"/>
  <c r="S127" i="13" a="1"/>
  <c r="S127" i="13" s="1"/>
  <c r="S119" i="13" a="1"/>
  <c r="S119" i="13" s="1"/>
  <c r="S45" i="13" a="1"/>
  <c r="S45" i="13" s="1"/>
  <c r="S25" i="13" a="1"/>
  <c r="S25" i="13" s="1"/>
  <c r="S225" i="13" a="1"/>
  <c r="S225" i="13" s="1"/>
  <c r="S276" i="13" a="1"/>
  <c r="S276" i="13" s="1"/>
  <c r="S9" i="13" a="1"/>
  <c r="S9" i="13" s="1"/>
  <c r="S40" i="13" a="1"/>
  <c r="S40" i="13" s="1"/>
  <c r="S272" i="13" a="1"/>
  <c r="S272" i="13" s="1"/>
  <c r="S278" i="13" a="1"/>
  <c r="S278" i="13" s="1"/>
  <c r="BY18" i="13"/>
  <c r="S130" i="13" a="1"/>
  <c r="S130" i="13" s="1"/>
  <c r="S235" i="13" a="1"/>
  <c r="S235" i="13" s="1"/>
  <c r="S51" i="13" a="1"/>
  <c r="S51" i="13" s="1"/>
  <c r="S58" i="13" a="1"/>
  <c r="S58" i="13" s="1"/>
  <c r="S13" i="13" a="1"/>
  <c r="S13" i="13" s="1"/>
  <c r="S55" i="13" a="1"/>
  <c r="S55" i="13" s="1"/>
  <c r="S61" i="13" a="1"/>
  <c r="S61" i="13" s="1"/>
  <c r="S95" i="13" a="1"/>
  <c r="S95" i="13" s="1"/>
  <c r="S139" i="13" a="1"/>
  <c r="S139" i="13" s="1"/>
  <c r="AR276" i="12"/>
  <c r="AR289" i="12"/>
  <c r="AR278" i="12"/>
  <c r="AR285" i="12"/>
  <c r="AR283" i="12"/>
  <c r="AR280" i="12"/>
  <c r="DC14" i="13"/>
  <c r="H72" i="1" s="1"/>
  <c r="DC16" i="13"/>
  <c r="H74" i="1" s="1"/>
  <c r="DC29" i="13"/>
  <c r="H87" i="1" s="1"/>
  <c r="DC31" i="13"/>
  <c r="H89" i="1" s="1"/>
  <c r="DC35" i="13"/>
  <c r="H93" i="1" s="1"/>
  <c r="S112" i="13" a="1"/>
  <c r="S112" i="13" s="1"/>
  <c r="S126" i="13" a="1"/>
  <c r="S126" i="13" s="1"/>
  <c r="S162" i="13" a="1"/>
  <c r="S162" i="13" s="1"/>
  <c r="Z198" i="13"/>
  <c r="H61" i="1" s="1"/>
  <c r="Z182" i="13"/>
  <c r="K63" i="1" s="1"/>
  <c r="Z169" i="13"/>
  <c r="K49" i="1" s="1"/>
  <c r="Z207" i="13"/>
  <c r="N55" i="1" s="1"/>
  <c r="Z209" i="13"/>
  <c r="N57" i="1" s="1"/>
  <c r="Z189" i="13"/>
  <c r="H52" i="1" s="1"/>
  <c r="Z180" i="13"/>
  <c r="K61" i="1" s="1"/>
  <c r="Z204" i="13"/>
  <c r="N52" i="1" s="1"/>
  <c r="Z195" i="13"/>
  <c r="H58" i="1" s="1"/>
  <c r="Z206" i="13"/>
  <c r="N54" i="1" s="1"/>
  <c r="Z192" i="13"/>
  <c r="H55" i="1" s="1"/>
  <c r="Z197" i="13"/>
  <c r="H60" i="1" s="1"/>
  <c r="Z187" i="13"/>
  <c r="H50" i="1" s="1"/>
  <c r="Z203" i="13"/>
  <c r="N51" i="1" s="1"/>
  <c r="Z176" i="13"/>
  <c r="K56" i="1" s="1"/>
  <c r="Z190" i="13"/>
  <c r="H53" i="1" s="1"/>
  <c r="Z172" i="13"/>
  <c r="K52" i="1" s="1"/>
  <c r="Z170" i="13"/>
  <c r="K50" i="1" s="1"/>
  <c r="Z210" i="13"/>
  <c r="N58" i="1" s="1"/>
  <c r="Z193" i="13"/>
  <c r="H56" i="1" s="1"/>
  <c r="Z175" i="13"/>
  <c r="K55" i="1" s="1"/>
  <c r="Z208" i="13"/>
  <c r="N56" i="1" s="1"/>
  <c r="Z178" i="13"/>
  <c r="K58" i="1" s="1"/>
  <c r="Z194" i="13"/>
  <c r="H57" i="1" s="1"/>
  <c r="Z191" i="13"/>
  <c r="H54" i="1" s="1"/>
  <c r="Z205" i="13"/>
  <c r="N53" i="1" s="1"/>
  <c r="Z181" i="13"/>
  <c r="K62" i="1" s="1"/>
  <c r="Z186" i="13"/>
  <c r="H49" i="1" s="1"/>
  <c r="Z173" i="13"/>
  <c r="K53" i="1" s="1"/>
  <c r="Z171" i="13"/>
  <c r="K51" i="1" s="1"/>
  <c r="AO218" i="13"/>
  <c r="AN165" i="13"/>
  <c r="AN159" i="13"/>
  <c r="S28" i="13" a="1"/>
  <c r="S28" i="13" s="1"/>
  <c r="S91" i="13" a="1"/>
  <c r="S91" i="13" s="1"/>
  <c r="S108" i="13" a="1"/>
  <c r="S108" i="13" s="1"/>
  <c r="S117" i="13" a="1"/>
  <c r="S117" i="13" s="1"/>
  <c r="S211" i="13" a="1"/>
  <c r="S211" i="13" s="1"/>
  <c r="S240" i="13" a="1"/>
  <c r="S240" i="13" s="1"/>
  <c r="S266" i="13" a="1"/>
  <c r="S266" i="13" s="1"/>
  <c r="AO161" i="13"/>
  <c r="AX283" i="12"/>
  <c r="S80" i="13" a="1"/>
  <c r="S80" i="13" s="1"/>
  <c r="S160" i="13" a="1"/>
  <c r="S160" i="13" s="1"/>
  <c r="AG165" i="13"/>
  <c r="AG157" i="13" s="1"/>
  <c r="S277" i="13" a="1"/>
  <c r="S277" i="13" s="1"/>
  <c r="S87" i="13" a="1"/>
  <c r="S87" i="13" s="1"/>
  <c r="AX286" i="12"/>
  <c r="S15" i="13" a="1"/>
  <c r="S15" i="13" s="1"/>
  <c r="S17" i="13" a="1"/>
  <c r="S17" i="13" s="1"/>
  <c r="S30" i="13" a="1"/>
  <c r="S30" i="13" s="1"/>
  <c r="S32" i="13" a="1"/>
  <c r="S32" i="13" s="1"/>
  <c r="S34" i="13" a="1"/>
  <c r="S34" i="13" s="1"/>
  <c r="BH61" i="13"/>
  <c r="S145" i="13" a="1"/>
  <c r="S145" i="13" s="1"/>
  <c r="S158" i="13" a="1"/>
  <c r="S158" i="13" s="1"/>
  <c r="S258" i="13" a="1"/>
  <c r="S258" i="13" s="1"/>
  <c r="S76" i="13" a="1"/>
  <c r="S76" i="13" s="1"/>
  <c r="AE156" i="13"/>
  <c r="S190" i="13" a="1"/>
  <c r="S190" i="13" s="1"/>
  <c r="S201" i="13" a="1"/>
  <c r="S201" i="13" s="1"/>
  <c r="S8" i="13" a="1"/>
  <c r="S8" i="13" s="1"/>
  <c r="S21" i="13" a="1"/>
  <c r="S21" i="13" s="1"/>
  <c r="AW282" i="12"/>
  <c r="AW287" i="12"/>
  <c r="AW280" i="12"/>
  <c r="AW290" i="12"/>
  <c r="AW285" i="12"/>
  <c r="AW277" i="12"/>
  <c r="AW278" i="12"/>
  <c r="AR287" i="12"/>
  <c r="DC11" i="13"/>
  <c r="S59" i="13" a="1"/>
  <c r="S59" i="13" s="1"/>
  <c r="BK61" i="13"/>
  <c r="BL61" i="13" s="1"/>
  <c r="S118" i="13" a="1"/>
  <c r="S118" i="13" s="1"/>
  <c r="S176" i="13" a="1"/>
  <c r="S176" i="13" s="1"/>
  <c r="Z196" i="13"/>
  <c r="H59" i="1" s="1"/>
  <c r="S228" i="13" a="1"/>
  <c r="S228" i="13" s="1"/>
  <c r="S265" i="13" a="1"/>
  <c r="S265" i="13" s="1"/>
  <c r="AI160" i="13"/>
  <c r="S6" i="13" a="1"/>
  <c r="S6" i="13" s="1"/>
  <c r="S96" i="13" a="1"/>
  <c r="S96" i="13" s="1"/>
  <c r="AX282" i="12"/>
  <c r="AX284" i="12"/>
  <c r="AX290" i="12"/>
  <c r="AX285" i="12"/>
  <c r="AX277" i="12"/>
  <c r="AX278" i="12"/>
  <c r="AY284" i="12"/>
  <c r="AY277" i="12"/>
  <c r="AY290" i="12"/>
  <c r="AY285" i="12"/>
  <c r="AY278" i="12"/>
  <c r="AR284" i="12"/>
  <c r="DC26" i="13"/>
  <c r="H84" i="1" s="1"/>
  <c r="DC36" i="13"/>
  <c r="H94" i="1" s="1"/>
  <c r="S105" i="13" a="1"/>
  <c r="S105" i="13" s="1"/>
  <c r="S150" i="13" a="1"/>
  <c r="S150" i="13" s="1"/>
  <c r="AG156" i="13"/>
  <c r="BY33" i="13"/>
  <c r="AO158" i="13"/>
  <c r="AA161" i="13"/>
  <c r="AA153" i="13" s="1"/>
  <c r="AE162" i="13"/>
  <c r="AN162" i="13"/>
  <c r="AM160" i="13"/>
  <c r="AD161" i="13"/>
  <c r="AM161" i="13"/>
  <c r="AJ162" i="13"/>
  <c r="AJ154" i="13" s="1"/>
  <c r="AD163" i="13"/>
  <c r="AN160" i="13"/>
  <c r="AN152" i="13" s="1"/>
  <c r="AO160" i="13"/>
  <c r="AB159" i="13"/>
  <c r="AB165" i="13"/>
  <c r="AC159" i="13"/>
  <c r="AC165" i="13"/>
  <c r="AD157" i="13" s="1"/>
  <c r="AT278" i="12"/>
  <c r="AT291" i="12"/>
  <c r="AT280" i="12"/>
  <c r="AT288" i="12"/>
  <c r="AD159" i="13"/>
  <c r="AO363" i="13"/>
  <c r="AN363" i="13"/>
  <c r="AN161" i="13" s="1"/>
  <c r="AK363" i="13"/>
  <c r="AJ363" i="13"/>
  <c r="AJ161" i="13" s="1"/>
  <c r="AI363" i="13"/>
  <c r="AI161" i="13" s="1"/>
  <c r="AM363" i="13"/>
  <c r="AL363" i="13"/>
  <c r="AL161" i="13" s="1"/>
  <c r="AF363" i="13"/>
  <c r="AH363" i="13"/>
  <c r="AG363" i="13"/>
  <c r="AG161" i="13" s="1"/>
  <c r="AC363" i="13"/>
  <c r="AC161" i="13" s="1"/>
  <c r="AB363" i="13"/>
  <c r="AB161" i="13" s="1"/>
  <c r="AB153" i="13" s="1"/>
  <c r="AU291" i="12"/>
  <c r="AU280" i="12"/>
  <c r="AU282" i="12"/>
  <c r="AU285" i="12"/>
  <c r="AU288" i="12"/>
  <c r="BY4" i="13"/>
  <c r="AV280" i="12"/>
  <c r="AV282" i="12"/>
  <c r="S253" i="13" a="1"/>
  <c r="S253" i="13" s="1"/>
  <c r="S238" i="13" a="1"/>
  <c r="S238" i="13" s="1"/>
  <c r="S237" i="13" a="1"/>
  <c r="S237" i="13" s="1"/>
  <c r="S220" i="13" a="1"/>
  <c r="S220" i="13" s="1"/>
  <c r="S214" i="13" a="1"/>
  <c r="S214" i="13" s="1"/>
  <c r="S186" i="13" a="1"/>
  <c r="S186" i="13" s="1"/>
  <c r="S171" i="13" a="1"/>
  <c r="S171" i="13" s="1"/>
  <c r="S164" i="13" a="1"/>
  <c r="S164" i="13" s="1"/>
  <c r="S131" i="13" a="1"/>
  <c r="S131" i="13" s="1"/>
  <c r="S100" i="13" a="1"/>
  <c r="S100" i="13" s="1"/>
  <c r="S252" i="13" a="1"/>
  <c r="S252" i="13" s="1"/>
  <c r="S219" i="13" a="1"/>
  <c r="S219" i="13" s="1"/>
  <c r="S196" i="13" a="1"/>
  <c r="S196" i="13" s="1"/>
  <c r="S159" i="13" a="1"/>
  <c r="S159" i="13" s="1"/>
  <c r="S140" i="13" a="1"/>
  <c r="S140" i="13" s="1"/>
  <c r="S120" i="13" a="1"/>
  <c r="S120" i="13" s="1"/>
  <c r="S109" i="13" a="1"/>
  <c r="S109" i="13" s="1"/>
  <c r="S251" i="13" a="1"/>
  <c r="S251" i="13" s="1"/>
  <c r="S218" i="13" a="1"/>
  <c r="S218" i="13" s="1"/>
  <c r="S205" i="13" a="1"/>
  <c r="S205" i="13" s="1"/>
  <c r="S184" i="13" a="1"/>
  <c r="S184" i="13" s="1"/>
  <c r="S154" i="13" a="1"/>
  <c r="S154" i="13" s="1"/>
  <c r="S133" i="13" a="1"/>
  <c r="S133" i="13" s="1"/>
  <c r="S102" i="13" a="1"/>
  <c r="S102" i="13" s="1"/>
  <c r="S250" i="13" a="1"/>
  <c r="S250" i="13" s="1"/>
  <c r="S217" i="13" a="1"/>
  <c r="S217" i="13" s="1"/>
  <c r="S198" i="13" a="1"/>
  <c r="S198" i="13" s="1"/>
  <c r="S182" i="13" a="1"/>
  <c r="S182" i="13" s="1"/>
  <c r="S169" i="13" a="1"/>
  <c r="S169" i="13" s="1"/>
  <c r="S142" i="13" a="1"/>
  <c r="S142" i="13" s="1"/>
  <c r="S122" i="13" a="1"/>
  <c r="S122" i="13" s="1"/>
  <c r="S111" i="13" a="1"/>
  <c r="S111" i="13" s="1"/>
  <c r="S249" i="13" a="1"/>
  <c r="S249" i="13" s="1"/>
  <c r="S216" i="13" a="1"/>
  <c r="S216" i="13" s="1"/>
  <c r="S207" i="13" a="1"/>
  <c r="S207" i="13" s="1"/>
  <c r="S135" i="13" a="1"/>
  <c r="S135" i="13" s="1"/>
  <c r="S104" i="13" a="1"/>
  <c r="S104" i="13" s="1"/>
  <c r="S202" i="13" a="1"/>
  <c r="S202" i="13" s="1"/>
  <c r="S174" i="13" a="1"/>
  <c r="S174" i="13" s="1"/>
  <c r="S152" i="13" a="1"/>
  <c r="S152" i="13" s="1"/>
  <c r="S128" i="13" a="1"/>
  <c r="S128" i="13" s="1"/>
  <c r="S106" i="13" a="1"/>
  <c r="S106" i="13" s="1"/>
  <c r="S244" i="13" a="1"/>
  <c r="S244" i="13" s="1"/>
  <c r="S209" i="13" a="1"/>
  <c r="S209" i="13" s="1"/>
  <c r="S149" i="13" a="1"/>
  <c r="S149" i="13" s="1"/>
  <c r="S99" i="13" a="1"/>
  <c r="S99" i="13" s="1"/>
  <c r="S82" i="13" a="1"/>
  <c r="S82" i="13" s="1"/>
  <c r="S64" i="13" a="1"/>
  <c r="S64" i="13" s="1"/>
  <c r="S62" i="13" a="1"/>
  <c r="S62" i="13" s="1"/>
  <c r="S57" i="13" a="1"/>
  <c r="S57" i="13" s="1"/>
  <c r="S281" i="13" a="1"/>
  <c r="S281" i="13" s="1"/>
  <c r="S212" i="13" a="1"/>
  <c r="S212" i="13" s="1"/>
  <c r="S183" i="13" a="1"/>
  <c r="S183" i="13" s="1"/>
  <c r="S146" i="13" a="1"/>
  <c r="S146" i="13" s="1"/>
  <c r="S107" i="13" a="1"/>
  <c r="S107" i="13" s="1"/>
  <c r="S48" i="13" a="1"/>
  <c r="S48" i="13" s="1"/>
  <c r="S29" i="13" a="1"/>
  <c r="S29" i="13" s="1"/>
  <c r="S153" i="13" a="1"/>
  <c r="S153" i="13" s="1"/>
  <c r="S143" i="13" a="1"/>
  <c r="S143" i="13" s="1"/>
  <c r="S282" i="13" a="1"/>
  <c r="S282" i="13" s="1"/>
  <c r="S206" i="13" a="1"/>
  <c r="S206" i="13" s="1"/>
  <c r="S200" i="13" a="1"/>
  <c r="S200" i="13" s="1"/>
  <c r="S189" i="13" a="1"/>
  <c r="S189" i="13" s="1"/>
  <c r="S263" i="13" a="1"/>
  <c r="S263" i="13" s="1"/>
  <c r="S192" i="13" a="1"/>
  <c r="S192" i="13" s="1"/>
  <c r="S187" i="13" a="1"/>
  <c r="S187" i="13" s="1"/>
  <c r="S185" i="13" a="1"/>
  <c r="S185" i="13" s="1"/>
  <c r="S167" i="13" a="1"/>
  <c r="S167" i="13" s="1"/>
  <c r="S155" i="13" a="1"/>
  <c r="S155" i="13" s="1"/>
  <c r="S115" i="13" a="1"/>
  <c r="S115" i="13" s="1"/>
  <c r="S84" i="13" a="1"/>
  <c r="S84" i="13" s="1"/>
  <c r="S68" i="13" a="1"/>
  <c r="S68" i="13" s="1"/>
  <c r="S41" i="13" a="1"/>
  <c r="S41" i="13" s="1"/>
  <c r="S175" i="13" a="1"/>
  <c r="S175" i="13" s="1"/>
  <c r="S168" i="13" a="1"/>
  <c r="S168" i="13" s="1"/>
  <c r="S90" i="13" a="1"/>
  <c r="S90" i="13" s="1"/>
  <c r="S38" i="13" a="1"/>
  <c r="S38" i="13" s="1"/>
  <c r="S33" i="13" a="1"/>
  <c r="S33" i="13" s="1"/>
  <c r="S20" i="13" a="1"/>
  <c r="S20" i="13" s="1"/>
  <c r="S141" i="13" a="1"/>
  <c r="S141" i="13" s="1"/>
  <c r="S129" i="13" a="1"/>
  <c r="S129" i="13" s="1"/>
  <c r="S114" i="13" a="1"/>
  <c r="S114" i="13" s="1"/>
  <c r="S23" i="13" a="1"/>
  <c r="S23" i="13" s="1"/>
  <c r="S280" i="13" a="1"/>
  <c r="S280" i="13" s="1"/>
  <c r="S256" i="13" a="1"/>
  <c r="S256" i="13" s="1"/>
  <c r="S144" i="13" a="1"/>
  <c r="S144" i="13" s="1"/>
  <c r="S85" i="13" a="1"/>
  <c r="S85" i="13" s="1"/>
  <c r="S77" i="13" a="1"/>
  <c r="S77" i="13" s="1"/>
  <c r="S72" i="13" a="1"/>
  <c r="S72" i="13" s="1"/>
  <c r="S67" i="13" a="1"/>
  <c r="S67" i="13" s="1"/>
  <c r="S260" i="13" a="1"/>
  <c r="S260" i="13" s="1"/>
  <c r="S195" i="13" a="1"/>
  <c r="S195" i="13" s="1"/>
  <c r="S234" i="13" a="1"/>
  <c r="S234" i="13" s="1"/>
  <c r="S233" i="13" a="1"/>
  <c r="S233" i="13" s="1"/>
  <c r="S254" i="13" a="1"/>
  <c r="S254" i="13" s="1"/>
  <c r="S248" i="13" a="1"/>
  <c r="S248" i="13" s="1"/>
  <c r="S246" i="13" a="1"/>
  <c r="S246" i="13" s="1"/>
  <c r="S194" i="13" a="1"/>
  <c r="S194" i="13" s="1"/>
  <c r="S178" i="13" a="1"/>
  <c r="S178" i="13" s="1"/>
  <c r="Z142" i="13"/>
  <c r="T42" i="1" s="1"/>
  <c r="Z122" i="13"/>
  <c r="T8" i="1" s="1"/>
  <c r="Z111" i="13"/>
  <c r="Q37" i="1" s="1"/>
  <c r="Z93" i="13"/>
  <c r="Q15" i="1" s="1"/>
  <c r="Z163" i="13"/>
  <c r="W25" i="1" s="1"/>
  <c r="Z124" i="13"/>
  <c r="T10" i="1" s="1"/>
  <c r="Z95" i="13"/>
  <c r="Q17" i="1" s="1"/>
  <c r="Z158" i="13"/>
  <c r="W20" i="1" s="1"/>
  <c r="Z126" i="13"/>
  <c r="T15" i="1" s="1"/>
  <c r="Z97" i="13"/>
  <c r="Q19" i="1" s="1"/>
  <c r="Z119" i="13"/>
  <c r="Q28" i="1" s="1"/>
  <c r="Z108" i="13"/>
  <c r="Q34" i="1" s="1"/>
  <c r="Z129" i="13"/>
  <c r="T23" i="1" s="1"/>
  <c r="Z118" i="13"/>
  <c r="Q27" i="1" s="1"/>
  <c r="Z50" i="13"/>
  <c r="K19" i="1" s="1"/>
  <c r="Z38" i="13"/>
  <c r="K7" i="1" s="1"/>
  <c r="Z115" i="13"/>
  <c r="Q24" i="1" s="1"/>
  <c r="Z84" i="13"/>
  <c r="Q7" i="1" s="1"/>
  <c r="Z68" i="13"/>
  <c r="N19" i="1" s="1"/>
  <c r="Z41" i="13"/>
  <c r="K10" i="1" s="1"/>
  <c r="Z156" i="13"/>
  <c r="W14" i="1" s="1"/>
  <c r="Z79" i="13"/>
  <c r="N30" i="1" s="1"/>
  <c r="Z138" i="13"/>
  <c r="T38" i="1" s="1"/>
  <c r="Z77" i="13"/>
  <c r="N28" i="1" s="1"/>
  <c r="Z49" i="13"/>
  <c r="K18" i="1" s="1"/>
  <c r="Z27" i="13"/>
  <c r="H25" i="1" s="1"/>
  <c r="Z110" i="13"/>
  <c r="Q36" i="1" s="1"/>
  <c r="Z56" i="13"/>
  <c r="N7" i="1" s="1"/>
  <c r="S63" i="13" a="1"/>
  <c r="S63" i="13" s="1"/>
  <c r="S71" i="13" a="1"/>
  <c r="S71" i="13" s="1"/>
  <c r="Z88" i="13"/>
  <c r="Q11" i="1" s="1"/>
  <c r="S97" i="13" a="1"/>
  <c r="S97" i="13" s="1"/>
  <c r="S123" i="13" a="1"/>
  <c r="S123" i="13" s="1"/>
  <c r="Z139" i="13"/>
  <c r="T39" i="1" s="1"/>
  <c r="S227" i="13" a="1"/>
  <c r="S227" i="13" s="1"/>
  <c r="AK160" i="13"/>
  <c r="AF163" i="13"/>
  <c r="AF155" i="13" s="1"/>
  <c r="S224" i="13" a="1"/>
  <c r="S224" i="13" s="1"/>
  <c r="S236" i="13" a="1"/>
  <c r="S236" i="13" s="1"/>
  <c r="S247" i="13" a="1"/>
  <c r="S247" i="13" s="1"/>
  <c r="S137" i="13" a="1"/>
  <c r="S137" i="13" s="1"/>
  <c r="S257" i="13" a="1"/>
  <c r="S257" i="13" s="1"/>
  <c r="Z62" i="13"/>
  <c r="N13" i="1" s="1"/>
  <c r="Z116" i="13"/>
  <c r="Q25" i="1" s="1"/>
  <c r="S132" i="13" a="1"/>
  <c r="S132" i="13" s="1"/>
  <c r="S232" i="13" a="1"/>
  <c r="S232" i="13" s="1"/>
  <c r="AG158" i="13"/>
  <c r="AB158" i="13"/>
  <c r="S269" i="13" a="1"/>
  <c r="S269" i="13" s="1"/>
  <c r="AF160" i="13"/>
  <c r="AF152" i="13" s="1"/>
  <c r="Z164" i="13"/>
  <c r="W27" i="1" s="1"/>
  <c r="S172" i="13" a="1"/>
  <c r="S172" i="13" s="1"/>
  <c r="S204" i="13" a="1"/>
  <c r="S204" i="13" s="1"/>
  <c r="S230" i="13" a="1"/>
  <c r="S230" i="13" s="1"/>
  <c r="S231" i="13" a="1"/>
  <c r="S231" i="13" s="1"/>
  <c r="S261" i="13" a="1"/>
  <c r="S261" i="13" s="1"/>
  <c r="S268" i="13" a="1"/>
  <c r="S268" i="13" s="1"/>
  <c r="AH161" i="13"/>
  <c r="AS289" i="12"/>
  <c r="AS278" i="12"/>
  <c r="AS291" i="12"/>
  <c r="AV277" i="12"/>
  <c r="Z20" i="13"/>
  <c r="H19" i="1" s="1"/>
  <c r="S56" i="13" a="1"/>
  <c r="S56" i="13" s="1"/>
  <c r="Z58" i="13"/>
  <c r="N9" i="1" s="1"/>
  <c r="Z76" i="13"/>
  <c r="N27" i="1" s="1"/>
  <c r="S79" i="13" a="1"/>
  <c r="S79" i="13" s="1"/>
  <c r="S88" i="13" a="1"/>
  <c r="S88" i="13" s="1"/>
  <c r="Z109" i="13"/>
  <c r="Q35" i="1" s="1"/>
  <c r="S157" i="13" a="1"/>
  <c r="S157" i="13" s="1"/>
  <c r="AM159" i="13"/>
  <c r="AM151" i="13" s="1"/>
  <c r="AM165" i="13"/>
  <c r="AM157" i="13" s="1"/>
  <c r="S229" i="13" a="1"/>
  <c r="S229" i="13" s="1"/>
  <c r="S241" i="13" a="1"/>
  <c r="S241" i="13" s="1"/>
  <c r="S267" i="13" a="1"/>
  <c r="S267" i="13" s="1"/>
  <c r="AH160" i="13"/>
  <c r="AH152" i="13" s="1"/>
  <c r="AC158" i="13"/>
  <c r="AC150" i="13" s="1"/>
  <c r="AL162" i="13"/>
  <c r="AL154" i="13" s="1"/>
  <c r="AL163" i="13"/>
  <c r="AL155" i="13" s="1"/>
  <c r="AM163" i="13"/>
  <c r="AM155" i="13" s="1"/>
  <c r="AN163" i="13"/>
  <c r="AB163" i="13"/>
  <c r="AB155" i="13" s="1"/>
  <c r="AE158" i="13"/>
  <c r="AE150" i="13" s="1"/>
  <c r="AB160" i="13"/>
  <c r="AB152" i="13" s="1"/>
  <c r="AE159" i="13"/>
  <c r="AF158" i="13"/>
  <c r="AH158" i="13"/>
  <c r="AD162" i="13"/>
  <c r="AM162" i="13"/>
  <c r="AE161" i="13"/>
  <c r="AF161" i="13"/>
  <c r="BM42" i="13"/>
  <c r="BJ42" i="13"/>
  <c r="BJ43" i="13" s="1"/>
  <c r="AK161" i="13"/>
  <c r="BU24" i="13"/>
  <c r="BV28" i="13"/>
  <c r="BW31" i="13"/>
  <c r="BY31" i="13" s="1"/>
  <c r="BV36" i="13"/>
  <c r="BW22" i="13"/>
  <c r="BY22" i="13" s="1"/>
  <c r="BW19" i="13"/>
  <c r="BY19" i="13" s="1"/>
  <c r="BW16" i="13"/>
  <c r="BY16" i="13" s="1"/>
  <c r="BV12" i="13"/>
  <c r="BY12" i="13" s="1"/>
  <c r="BU6" i="13"/>
  <c r="BY6" i="13" s="1"/>
  <c r="BV10" i="13"/>
  <c r="BY10" i="13" s="1"/>
  <c r="BW15" i="13"/>
  <c r="BY15" i="13" s="1"/>
  <c r="BV24" i="13"/>
  <c r="BW28" i="13"/>
  <c r="BW36" i="13"/>
  <c r="BV41" i="13"/>
  <c r="BY41" i="13" s="1"/>
  <c r="AC162" i="13"/>
  <c r="AC154" i="13" s="1"/>
  <c r="AI156" i="13"/>
  <c r="AK156" i="13"/>
  <c r="AM156" i="13"/>
  <c r="AL156" i="13"/>
  <c r="AA158" i="13"/>
  <c r="AA150" i="13" s="1"/>
  <c r="T161" i="13"/>
  <c r="T274" i="13"/>
  <c r="T65" i="13"/>
  <c r="T10" i="13"/>
  <c r="T51" i="13"/>
  <c r="T15" i="13"/>
  <c r="T133" i="13"/>
  <c r="T82" i="13"/>
  <c r="T84" i="13"/>
  <c r="T254" i="13"/>
  <c r="T236" i="13"/>
  <c r="T32" i="13"/>
  <c r="T57" i="13"/>
  <c r="T61" i="13"/>
  <c r="T281" i="13"/>
  <c r="T212" i="13"/>
  <c r="T107" i="13"/>
  <c r="T48" i="13"/>
  <c r="T89" i="13"/>
  <c r="T19" i="13"/>
  <c r="T261" i="13"/>
  <c r="T11" i="13"/>
  <c r="T173" i="13"/>
  <c r="T275" i="13"/>
  <c r="T166" i="13"/>
  <c r="T58" i="13"/>
  <c r="T17" i="13"/>
  <c r="T102" i="13"/>
  <c r="T64" i="13"/>
  <c r="T68" i="13"/>
  <c r="T248" i="13"/>
  <c r="T247" i="13"/>
  <c r="T255" i="13"/>
  <c r="T59" i="13"/>
  <c r="T238" i="13"/>
  <c r="T175" i="13"/>
  <c r="T257" i="13"/>
  <c r="T150" i="13"/>
  <c r="T198" i="13"/>
  <c r="T178" i="13"/>
  <c r="T90" i="13"/>
  <c r="T117" i="13"/>
  <c r="T27" i="13"/>
  <c r="T263" i="13"/>
  <c r="T40" i="13"/>
  <c r="T215" i="13"/>
  <c r="T226" i="13"/>
  <c r="T98" i="13"/>
  <c r="T262" i="13"/>
  <c r="T13" i="13"/>
  <c r="T30" i="13"/>
  <c r="T253" i="13"/>
  <c r="T250" i="13"/>
  <c r="T62" i="13"/>
  <c r="T41" i="13"/>
  <c r="T246" i="13"/>
  <c r="T137" i="13"/>
  <c r="T55" i="13"/>
  <c r="T105" i="13"/>
  <c r="T194" i="13"/>
  <c r="T34" i="13"/>
  <c r="T168" i="13"/>
  <c r="T91" i="13"/>
  <c r="T164" i="13"/>
  <c r="T76" i="13"/>
  <c r="T70" i="13"/>
  <c r="T72" i="13"/>
  <c r="T210" i="13"/>
  <c r="T217" i="13"/>
  <c r="T56" i="13"/>
  <c r="T237" i="13"/>
  <c r="T220" i="13"/>
  <c r="T232" i="13"/>
  <c r="T134" i="13"/>
  <c r="T131" i="13"/>
  <c r="T49" i="13"/>
  <c r="T231" i="13"/>
  <c r="T93" i="13"/>
  <c r="T213" i="13"/>
  <c r="T259" i="13"/>
  <c r="T239" i="13"/>
  <c r="T182" i="13"/>
  <c r="T122" i="13"/>
  <c r="T129" i="13"/>
  <c r="T120" i="13"/>
  <c r="T123" i="13"/>
  <c r="T199" i="13"/>
  <c r="T124" i="13"/>
  <c r="T243" i="13"/>
  <c r="T271" i="13"/>
  <c r="T95" i="13"/>
  <c r="T118" i="13"/>
  <c r="T265" i="13"/>
  <c r="T249" i="13"/>
  <c r="T230" i="13"/>
  <c r="T92" i="13"/>
  <c r="T170" i="13"/>
  <c r="T86" i="13"/>
  <c r="T179" i="13"/>
  <c r="T223" i="13"/>
  <c r="T139" i="13"/>
  <c r="T145" i="13"/>
  <c r="T176" i="13"/>
  <c r="T214" i="13"/>
  <c r="T169" i="13"/>
  <c r="T183" i="13"/>
  <c r="T38" i="13"/>
  <c r="T132" i="13"/>
  <c r="T79" i="13"/>
  <c r="T42" i="13"/>
  <c r="T28" i="13"/>
  <c r="T158" i="13"/>
  <c r="T186" i="13"/>
  <c r="T146" i="13"/>
  <c r="T33" i="13"/>
  <c r="T88" i="13"/>
  <c r="T228" i="13"/>
  <c r="T258" i="13"/>
  <c r="T29" i="13"/>
  <c r="T269" i="13"/>
  <c r="T83" i="13"/>
  <c r="T80" i="13"/>
  <c r="T188" i="13"/>
  <c r="T94" i="13"/>
  <c r="T156" i="13"/>
  <c r="T142" i="13"/>
  <c r="T20" i="13"/>
  <c r="T141" i="13"/>
  <c r="T218" i="13"/>
  <c r="T39" i="13"/>
  <c r="T193" i="13"/>
  <c r="T138" i="13"/>
  <c r="T191" i="13"/>
  <c r="T24" i="13"/>
  <c r="T171" i="13"/>
  <c r="T157" i="13"/>
  <c r="T245" i="13"/>
  <c r="T229" i="13"/>
  <c r="T81" i="13"/>
  <c r="T242" i="13"/>
  <c r="T203" i="13"/>
  <c r="T46" i="13"/>
  <c r="T180" i="13"/>
  <c r="T108" i="13"/>
  <c r="T111" i="13"/>
  <c r="T78" i="13"/>
  <c r="T77" i="13"/>
  <c r="T136" i="13"/>
  <c r="T69" i="13"/>
  <c r="T110" i="13"/>
  <c r="T279" i="13"/>
  <c r="T26" i="13"/>
  <c r="T222" i="13"/>
  <c r="T127" i="13"/>
  <c r="T211" i="13"/>
  <c r="T73" i="13"/>
  <c r="T12" i="13"/>
  <c r="T177" i="13"/>
  <c r="T101" i="13"/>
  <c r="T100" i="13"/>
  <c r="T216" i="13"/>
  <c r="T153" i="13"/>
  <c r="T114" i="13"/>
  <c r="T9" i="13"/>
  <c r="T128" i="13"/>
  <c r="T260" i="13"/>
  <c r="T163" i="13"/>
  <c r="T44" i="13"/>
  <c r="T148" i="13"/>
  <c r="T119" i="13"/>
  <c r="T240" i="13"/>
  <c r="T96" i="13"/>
  <c r="T252" i="13"/>
  <c r="T207" i="13"/>
  <c r="T143" i="13"/>
  <c r="T23" i="13"/>
  <c r="T97" i="13"/>
  <c r="T192" i="13"/>
  <c r="T208" i="13"/>
  <c r="T18" i="13"/>
  <c r="T47" i="13"/>
  <c r="T125" i="13"/>
  <c r="T45" i="13"/>
  <c r="T266" i="13"/>
  <c r="T190" i="13"/>
  <c r="T219" i="13"/>
  <c r="T135" i="13"/>
  <c r="T282" i="13"/>
  <c r="T280" i="13"/>
  <c r="T241" i="13"/>
  <c r="T202" i="13"/>
  <c r="T172" i="13"/>
  <c r="T189" i="13"/>
  <c r="T204" i="13"/>
  <c r="T109" i="13"/>
  <c r="T185" i="13"/>
  <c r="T264" i="13"/>
  <c r="T22" i="13"/>
  <c r="T121" i="13"/>
  <c r="T25" i="13"/>
  <c r="T201" i="13"/>
  <c r="T196" i="13"/>
  <c r="T104" i="13"/>
  <c r="T206" i="13"/>
  <c r="T256" i="13"/>
  <c r="T63" i="13"/>
  <c r="T267" i="13"/>
  <c r="T159" i="13"/>
  <c r="T144" i="13"/>
  <c r="T174" i="13"/>
  <c r="T116" i="13"/>
  <c r="T278" i="13"/>
  <c r="T43" i="13"/>
  <c r="T31" i="13"/>
  <c r="T7" i="13"/>
  <c r="T60" i="13"/>
  <c r="T225" i="13"/>
  <c r="T8" i="13"/>
  <c r="T200" i="13"/>
  <c r="T71" i="13"/>
  <c r="T140" i="13"/>
  <c r="T270" i="13"/>
  <c r="T227" i="13"/>
  <c r="T37" i="13"/>
  <c r="T53" i="13"/>
  <c r="T50" i="13"/>
  <c r="T54" i="13"/>
  <c r="T52" i="13"/>
  <c r="T276" i="13"/>
  <c r="T21" i="13"/>
  <c r="T85" i="13"/>
  <c r="T152" i="13"/>
  <c r="T244" i="13"/>
  <c r="T14" i="13"/>
  <c r="T181" i="13"/>
  <c r="T165" i="13"/>
  <c r="T151" i="13"/>
  <c r="T272" i="13"/>
  <c r="T126" i="13"/>
  <c r="T160" i="13"/>
  <c r="T251" i="13"/>
  <c r="T106" i="13"/>
  <c r="T187" i="13"/>
  <c r="T67" i="13"/>
  <c r="T35" i="13"/>
  <c r="T113" i="13"/>
  <c r="T277" i="13"/>
  <c r="T205" i="13"/>
  <c r="T209" i="13"/>
  <c r="T167" i="13"/>
  <c r="T195" i="13"/>
  <c r="T103" i="13"/>
  <c r="T268" i="13"/>
  <c r="T66" i="13"/>
  <c r="T221" i="13"/>
  <c r="T273" i="13"/>
  <c r="T75" i="13"/>
  <c r="T130" i="13"/>
  <c r="T87" i="13"/>
  <c r="T184" i="13"/>
  <c r="T149" i="13"/>
  <c r="T155" i="13"/>
  <c r="T234" i="13"/>
  <c r="T112" i="13"/>
  <c r="T16" i="13"/>
  <c r="T197" i="13"/>
  <c r="T74" i="13"/>
  <c r="T36" i="13"/>
  <c r="T235" i="13"/>
  <c r="T154" i="13"/>
  <c r="T99" i="13"/>
  <c r="T115" i="13"/>
  <c r="T233" i="13"/>
  <c r="T224" i="13"/>
  <c r="T147" i="13"/>
  <c r="T162" i="13"/>
  <c r="AB151" i="13" l="1"/>
  <c r="AN155" i="13"/>
  <c r="AM152" i="13"/>
  <c r="AD155" i="13"/>
  <c r="AG153" i="13"/>
  <c r="AE154" i="13"/>
  <c r="AN154" i="13"/>
  <c r="AI153" i="13"/>
  <c r="AN153" i="13"/>
  <c r="AG155" i="13"/>
  <c r="AO150" i="13"/>
  <c r="Z150" i="13" s="1"/>
  <c r="W8" i="1" s="1"/>
  <c r="AL150" i="13"/>
  <c r="AL153" i="13"/>
  <c r="AI150" i="13"/>
  <c r="AB150" i="13"/>
  <c r="AD151" i="13"/>
  <c r="AG150" i="13"/>
  <c r="AJ157" i="13"/>
  <c r="AC153" i="13"/>
  <c r="AJ153" i="13"/>
  <c r="AR444" i="12"/>
  <c r="AS444" i="12" s="1"/>
  <c r="AS445" i="12" s="1"/>
  <c r="AR445" i="12"/>
  <c r="BY24" i="13"/>
  <c r="AC151" i="13"/>
  <c r="AB157" i="13"/>
  <c r="AB164" i="13"/>
  <c r="AB156" i="13" s="1"/>
  <c r="AH153" i="13"/>
  <c r="AK152" i="13"/>
  <c r="AL152" i="13"/>
  <c r="AH151" i="13"/>
  <c r="AJ150" i="13"/>
  <c r="AO155" i="13"/>
  <c r="Z155" i="13" s="1"/>
  <c r="W13" i="1" s="1"/>
  <c r="AM153" i="13"/>
  <c r="AO153" i="13"/>
  <c r="Z153" i="13" s="1"/>
  <c r="W11" i="1" s="1"/>
  <c r="AD150" i="13"/>
  <c r="AJ151" i="13"/>
  <c r="AF154" i="13"/>
  <c r="AD153" i="13"/>
  <c r="CE20" i="13"/>
  <c r="CF19" i="13"/>
  <c r="DC61" i="13"/>
  <c r="K89" i="1" s="1"/>
  <c r="DC64" i="13"/>
  <c r="DC58" i="13"/>
  <c r="K86" i="1" s="1"/>
  <c r="DC50" i="13"/>
  <c r="K78" i="1" s="1"/>
  <c r="DC70" i="13"/>
  <c r="K98" i="1" s="1"/>
  <c r="K70" i="1"/>
  <c r="DC42" i="13"/>
  <c r="DC63" i="13" s="1"/>
  <c r="K91" i="1" s="1"/>
  <c r="AE155" i="13"/>
  <c r="BH12" i="13"/>
  <c r="D60" i="9" s="1"/>
  <c r="AH154" i="13"/>
  <c r="AH157" i="13"/>
  <c r="AK154" i="13"/>
  <c r="AJ152" i="13"/>
  <c r="AI152" i="13"/>
  <c r="AG151" i="13"/>
  <c r="Z161" i="13"/>
  <c r="W23" i="1" s="1"/>
  <c r="AF153" i="13"/>
  <c r="DC97" i="13"/>
  <c r="N93" i="1" s="1"/>
  <c r="DC99" i="13"/>
  <c r="N95" i="1" s="1"/>
  <c r="DC94" i="13"/>
  <c r="N90" i="1" s="1"/>
  <c r="DC101" i="13"/>
  <c r="DC79" i="13"/>
  <c r="N75" i="1" s="1"/>
  <c r="DC98" i="13"/>
  <c r="N94" i="1" s="1"/>
  <c r="DC81" i="13"/>
  <c r="N77" i="1" s="1"/>
  <c r="DC87" i="13"/>
  <c r="DC82" i="13"/>
  <c r="N78" i="1" s="1"/>
  <c r="DC74" i="13"/>
  <c r="DC95" i="13"/>
  <c r="DC92" i="13"/>
  <c r="N88" i="1" s="1"/>
  <c r="DC90" i="13"/>
  <c r="N86" i="1" s="1"/>
  <c r="DC96" i="13"/>
  <c r="DC93" i="13"/>
  <c r="N89" i="1" s="1"/>
  <c r="DC91" i="13"/>
  <c r="N87" i="1" s="1"/>
  <c r="N70" i="1"/>
  <c r="DC84" i="13"/>
  <c r="N80" i="1" s="1"/>
  <c r="DC100" i="13"/>
  <c r="DC76" i="13"/>
  <c r="N72" i="1" s="1"/>
  <c r="DC83" i="13"/>
  <c r="N79" i="1" s="1"/>
  <c r="DC103" i="13"/>
  <c r="N99" i="1" s="1"/>
  <c r="DC86" i="13"/>
  <c r="N82" i="1" s="1"/>
  <c r="DC89" i="13"/>
  <c r="DC78" i="13"/>
  <c r="N74" i="1" s="1"/>
  <c r="DC102" i="13"/>
  <c r="N98" i="1" s="1"/>
  <c r="DC77" i="13"/>
  <c r="N73" i="1" s="1"/>
  <c r="DC85" i="13"/>
  <c r="N81" i="1" s="1"/>
  <c r="DC80" i="13"/>
  <c r="N76" i="1" s="1"/>
  <c r="DC88" i="13"/>
  <c r="AN151" i="13"/>
  <c r="DC180" i="13"/>
  <c r="W79" i="1" s="1"/>
  <c r="DC191" i="13"/>
  <c r="DC174" i="13"/>
  <c r="W74" i="1" s="1"/>
  <c r="DC193" i="13"/>
  <c r="W93" i="1" s="1"/>
  <c r="DC187" i="13"/>
  <c r="W87" i="1" s="1"/>
  <c r="DC176" i="13"/>
  <c r="DC172" i="13"/>
  <c r="W72" i="1" s="1"/>
  <c r="DC178" i="13"/>
  <c r="W77" i="1" s="1"/>
  <c r="DC199" i="13"/>
  <c r="W99" i="1" s="1"/>
  <c r="DC183" i="13"/>
  <c r="DC189" i="13"/>
  <c r="W89" i="1" s="1"/>
  <c r="DC200" i="13"/>
  <c r="W100" i="1" s="1"/>
  <c r="DC194" i="13"/>
  <c r="W94" i="1" s="1"/>
  <c r="DC173" i="13"/>
  <c r="W73" i="1" s="1"/>
  <c r="DC177" i="13"/>
  <c r="W76" i="1" s="1"/>
  <c r="DC175" i="13"/>
  <c r="W75" i="1" s="1"/>
  <c r="DC184" i="13"/>
  <c r="DC195" i="13"/>
  <c r="W95" i="1" s="1"/>
  <c r="DC196" i="13"/>
  <c r="DC190" i="13"/>
  <c r="DC179" i="13"/>
  <c r="W78" i="1" s="1"/>
  <c r="DC186" i="13"/>
  <c r="W86" i="1" s="1"/>
  <c r="DC182" i="13"/>
  <c r="W81" i="1" s="1"/>
  <c r="DC188" i="13"/>
  <c r="W88" i="1" s="1"/>
  <c r="DC185" i="13"/>
  <c r="DC181" i="13"/>
  <c r="W80" i="1" s="1"/>
  <c r="DC170" i="13"/>
  <c r="DC198" i="13"/>
  <c r="W98" i="1" s="1"/>
  <c r="DC197" i="13"/>
  <c r="DC192" i="13"/>
  <c r="W70" i="1"/>
  <c r="AG152" i="13"/>
  <c r="DC165" i="13"/>
  <c r="DC146" i="13"/>
  <c r="T78" i="1" s="1"/>
  <c r="DC164" i="13"/>
  <c r="T96" i="1" s="1"/>
  <c r="DC159" i="13"/>
  <c r="DC148" i="13"/>
  <c r="T80" i="1" s="1"/>
  <c r="DC154" i="13"/>
  <c r="T86" i="1" s="1"/>
  <c r="DC153" i="13"/>
  <c r="DC143" i="13"/>
  <c r="T75" i="1" s="1"/>
  <c r="DC151" i="13"/>
  <c r="T83" i="1" s="1"/>
  <c r="DC167" i="13"/>
  <c r="T99" i="1" s="1"/>
  <c r="DC145" i="13"/>
  <c r="T77" i="1" s="1"/>
  <c r="DC156" i="13"/>
  <c r="T88" i="1" s="1"/>
  <c r="DC147" i="13"/>
  <c r="T79" i="1" s="1"/>
  <c r="DC144" i="13"/>
  <c r="T76" i="1" s="1"/>
  <c r="DC162" i="13"/>
  <c r="T94" i="1" s="1"/>
  <c r="DC155" i="13"/>
  <c r="T87" i="1" s="1"/>
  <c r="DC152" i="13"/>
  <c r="T84" i="1" s="1"/>
  <c r="DC149" i="13"/>
  <c r="T81" i="1" s="1"/>
  <c r="DC157" i="13"/>
  <c r="DC140" i="13"/>
  <c r="T72" i="1" s="1"/>
  <c r="T70" i="1"/>
  <c r="DC163" i="13"/>
  <c r="T95" i="1" s="1"/>
  <c r="DC138" i="13"/>
  <c r="DC161" i="13"/>
  <c r="T93" i="1" s="1"/>
  <c r="DC142" i="13"/>
  <c r="T74" i="1" s="1"/>
  <c r="DC150" i="13"/>
  <c r="T82" i="1" s="1"/>
  <c r="DC141" i="13"/>
  <c r="T73" i="1" s="1"/>
  <c r="DC166" i="13"/>
  <c r="T98" i="1" s="1"/>
  <c r="DC158" i="13"/>
  <c r="DC160" i="13"/>
  <c r="DC262" i="13"/>
  <c r="AC97" i="1" s="1"/>
  <c r="DC256" i="13"/>
  <c r="DC241" i="13"/>
  <c r="AC75" i="1" s="1"/>
  <c r="DC255" i="13"/>
  <c r="AC89" i="1" s="1"/>
  <c r="DC240" i="13"/>
  <c r="AC74" i="1" s="1"/>
  <c r="DC254" i="13"/>
  <c r="AC88" i="1" s="1"/>
  <c r="DC239" i="13"/>
  <c r="AC73" i="1" s="1"/>
  <c r="DC253" i="13"/>
  <c r="DC238" i="13"/>
  <c r="AC72" i="1" s="1"/>
  <c r="DC252" i="13"/>
  <c r="AC86" i="1" s="1"/>
  <c r="DC236" i="13"/>
  <c r="DC247" i="13"/>
  <c r="AC81" i="1" s="1"/>
  <c r="DC259" i="13"/>
  <c r="AC93" i="1" s="1"/>
  <c r="DC258" i="13"/>
  <c r="AC92" i="1" s="1"/>
  <c r="DC250" i="13"/>
  <c r="AC84" i="1" s="1"/>
  <c r="DC242" i="13"/>
  <c r="AC76" i="1" s="1"/>
  <c r="DC243" i="13"/>
  <c r="AC77" i="1" s="1"/>
  <c r="DC246" i="13"/>
  <c r="AC80" i="1" s="1"/>
  <c r="DC245" i="13"/>
  <c r="AC79" i="1" s="1"/>
  <c r="DC244" i="13"/>
  <c r="AC78" i="1" s="1"/>
  <c r="DC248" i="13"/>
  <c r="AC82" i="1" s="1"/>
  <c r="DC264" i="13"/>
  <c r="AC99" i="1" s="1"/>
  <c r="DC261" i="13"/>
  <c r="DC260" i="13"/>
  <c r="AC94" i="1" s="1"/>
  <c r="DC265" i="13"/>
  <c r="AC100" i="1" s="1"/>
  <c r="DC251" i="13"/>
  <c r="AC85" i="1" s="1"/>
  <c r="DC263" i="13"/>
  <c r="AC98" i="1" s="1"/>
  <c r="DC257" i="13"/>
  <c r="AC91" i="1" s="1"/>
  <c r="DC249" i="13"/>
  <c r="AC83" i="1" s="1"/>
  <c r="AC70" i="1"/>
  <c r="AE153" i="13"/>
  <c r="DC223" i="13"/>
  <c r="DC222" i="13"/>
  <c r="DC211" i="13"/>
  <c r="Z78" i="1" s="1"/>
  <c r="DC221" i="13"/>
  <c r="DC220" i="13"/>
  <c r="DC219" i="13"/>
  <c r="Z86" i="1" s="1"/>
  <c r="DC213" i="13"/>
  <c r="Z80" i="1" s="1"/>
  <c r="DC217" i="13"/>
  <c r="DC214" i="13"/>
  <c r="Z81" i="1" s="1"/>
  <c r="DC218" i="13"/>
  <c r="DC208" i="13"/>
  <c r="Z75" i="1" s="1"/>
  <c r="DC203" i="13"/>
  <c r="DC216" i="13"/>
  <c r="Z83" i="1" s="1"/>
  <c r="DC229" i="13"/>
  <c r="DC224" i="13"/>
  <c r="DC226" i="13"/>
  <c r="Z93" i="1" s="1"/>
  <c r="DC227" i="13"/>
  <c r="Z94" i="1" s="1"/>
  <c r="DC228" i="13"/>
  <c r="Z95" i="1" s="1"/>
  <c r="DC212" i="13"/>
  <c r="Z79" i="1" s="1"/>
  <c r="DC206" i="13"/>
  <c r="Z73" i="1" s="1"/>
  <c r="DC232" i="13"/>
  <c r="Z99" i="1" s="1"/>
  <c r="DC205" i="13"/>
  <c r="Z72" i="1" s="1"/>
  <c r="DC233" i="13"/>
  <c r="Z100" i="1" s="1"/>
  <c r="Z70" i="1"/>
  <c r="DC215" i="13"/>
  <c r="Z82" i="1" s="1"/>
  <c r="DC210" i="13"/>
  <c r="Z77" i="1" s="1"/>
  <c r="DC209" i="13"/>
  <c r="Z76" i="1" s="1"/>
  <c r="DC230" i="13"/>
  <c r="DC231" i="13"/>
  <c r="Z98" i="1" s="1"/>
  <c r="DC207" i="13"/>
  <c r="Z74" i="1" s="1"/>
  <c r="DC225" i="13"/>
  <c r="BN42" i="13"/>
  <c r="BM43" i="13"/>
  <c r="BN43" i="13" s="1"/>
  <c r="AM154" i="13"/>
  <c r="AN157" i="13"/>
  <c r="AO165" i="13"/>
  <c r="AO159" i="13"/>
  <c r="BY36" i="13"/>
  <c r="AF150" i="13"/>
  <c r="AC152" i="13"/>
  <c r="AC23" i="7"/>
  <c r="AD22" i="7"/>
  <c r="Z160" i="13"/>
  <c r="W22" i="1" s="1"/>
  <c r="AO152" i="13"/>
  <c r="Z152" i="13" s="1"/>
  <c r="W10" i="1" s="1"/>
  <c r="AK153" i="13"/>
  <c r="AD154" i="13"/>
  <c r="AH150" i="13"/>
  <c r="BY28" i="13"/>
  <c r="AE151" i="13"/>
  <c r="AC157" i="13"/>
  <c r="AC164" i="13"/>
  <c r="AM150" i="13"/>
  <c r="T6" i="13"/>
  <c r="S7" i="10"/>
  <c r="S6" i="10"/>
  <c r="S8" i="10"/>
  <c r="DC45" i="13" l="1"/>
  <c r="K73" i="1" s="1"/>
  <c r="DC53" i="13"/>
  <c r="K81" i="1" s="1"/>
  <c r="DC67" i="13"/>
  <c r="DC52" i="13"/>
  <c r="K80" i="1" s="1"/>
  <c r="DC59" i="13"/>
  <c r="K87" i="1" s="1"/>
  <c r="DC57" i="13"/>
  <c r="DC71" i="13"/>
  <c r="K99" i="1" s="1"/>
  <c r="DC60" i="13"/>
  <c r="K88" i="1" s="1"/>
  <c r="DC54" i="13"/>
  <c r="K82" i="1" s="1"/>
  <c r="DC62" i="13"/>
  <c r="K90" i="1" s="1"/>
  <c r="DC68" i="13"/>
  <c r="U6" i="13"/>
  <c r="U162" i="13"/>
  <c r="U147" i="13"/>
  <c r="U195" i="13"/>
  <c r="U54" i="13"/>
  <c r="U104" i="13"/>
  <c r="U208" i="13"/>
  <c r="U211" i="13"/>
  <c r="U193" i="13"/>
  <c r="U38" i="13"/>
  <c r="U122" i="13"/>
  <c r="U105" i="13"/>
  <c r="U238" i="13"/>
  <c r="U236" i="13"/>
  <c r="U167" i="13"/>
  <c r="U50" i="13"/>
  <c r="U196" i="13"/>
  <c r="U192" i="13"/>
  <c r="U127" i="13"/>
  <c r="U39" i="13"/>
  <c r="U183" i="13"/>
  <c r="U182" i="13"/>
  <c r="U55" i="13"/>
  <c r="U59" i="13"/>
  <c r="U254" i="13"/>
  <c r="U111" i="13"/>
  <c r="U75" i="13"/>
  <c r="U243" i="13"/>
  <c r="U224" i="13"/>
  <c r="U233" i="13"/>
  <c r="U209" i="13"/>
  <c r="U53" i="13"/>
  <c r="U201" i="13"/>
  <c r="U97" i="13"/>
  <c r="U222" i="13"/>
  <c r="U218" i="13"/>
  <c r="U169" i="13"/>
  <c r="U239" i="13"/>
  <c r="U137" i="13"/>
  <c r="U255" i="13"/>
  <c r="U84" i="13"/>
  <c r="U139" i="13"/>
  <c r="U71" i="13"/>
  <c r="U223" i="13"/>
  <c r="U10" i="13"/>
  <c r="U200" i="13"/>
  <c r="U106" i="13"/>
  <c r="U204" i="13"/>
  <c r="U78" i="13"/>
  <c r="U86" i="13"/>
  <c r="U13" i="13"/>
  <c r="U190" i="13"/>
  <c r="U115" i="13"/>
  <c r="U205" i="13"/>
  <c r="U37" i="13"/>
  <c r="U25" i="13"/>
  <c r="U23" i="13"/>
  <c r="U26" i="13"/>
  <c r="U141" i="13"/>
  <c r="U214" i="13"/>
  <c r="U259" i="13"/>
  <c r="U246" i="13"/>
  <c r="U247" i="13"/>
  <c r="U82" i="13"/>
  <c r="U35" i="13"/>
  <c r="U252" i="13"/>
  <c r="U69" i="13"/>
  <c r="U231" i="13"/>
  <c r="U64" i="13"/>
  <c r="U36" i="13"/>
  <c r="U136" i="13"/>
  <c r="U49" i="13"/>
  <c r="U102" i="13"/>
  <c r="U74" i="13"/>
  <c r="U109" i="13"/>
  <c r="U240" i="13"/>
  <c r="U188" i="13"/>
  <c r="U131" i="13"/>
  <c r="U17" i="13"/>
  <c r="U99" i="13"/>
  <c r="U277" i="13"/>
  <c r="U227" i="13"/>
  <c r="U121" i="13"/>
  <c r="U143" i="13"/>
  <c r="U279" i="13"/>
  <c r="U20" i="13"/>
  <c r="U176" i="13"/>
  <c r="U213" i="13"/>
  <c r="U41" i="13"/>
  <c r="U248" i="13"/>
  <c r="U133" i="13"/>
  <c r="U140" i="13"/>
  <c r="U67" i="13"/>
  <c r="U96" i="13"/>
  <c r="U94" i="13"/>
  <c r="U253" i="13"/>
  <c r="U77" i="13"/>
  <c r="U197" i="13"/>
  <c r="U119" i="13"/>
  <c r="U80" i="13"/>
  <c r="U134" i="13"/>
  <c r="U16" i="13"/>
  <c r="U225" i="13"/>
  <c r="U189" i="13"/>
  <c r="U148" i="13"/>
  <c r="U83" i="13"/>
  <c r="U232" i="13"/>
  <c r="U262" i="13"/>
  <c r="U166" i="13"/>
  <c r="U161" i="13"/>
  <c r="U107" i="13"/>
  <c r="U154" i="13"/>
  <c r="U113" i="13"/>
  <c r="U270" i="13"/>
  <c r="U22" i="13"/>
  <c r="U207" i="13"/>
  <c r="U110" i="13"/>
  <c r="U142" i="13"/>
  <c r="U145" i="13"/>
  <c r="U93" i="13"/>
  <c r="U62" i="13"/>
  <c r="U68" i="13"/>
  <c r="U15" i="13"/>
  <c r="U235" i="13"/>
  <c r="U264" i="13"/>
  <c r="U156" i="13"/>
  <c r="U250" i="13"/>
  <c r="U51" i="13"/>
  <c r="U185" i="13"/>
  <c r="U187" i="13"/>
  <c r="U179" i="13"/>
  <c r="U30" i="13"/>
  <c r="U65" i="13"/>
  <c r="U8" i="13"/>
  <c r="U274" i="13"/>
  <c r="U170" i="13"/>
  <c r="U244" i="13"/>
  <c r="U76" i="13"/>
  <c r="U58" i="13"/>
  <c r="U251" i="13"/>
  <c r="U144" i="13"/>
  <c r="U112" i="13"/>
  <c r="U160" i="13"/>
  <c r="U60" i="13"/>
  <c r="U172" i="13"/>
  <c r="U44" i="13"/>
  <c r="U108" i="13"/>
  <c r="U269" i="13"/>
  <c r="U92" i="13"/>
  <c r="U220" i="13"/>
  <c r="U98" i="13"/>
  <c r="U275" i="13"/>
  <c r="U234" i="13"/>
  <c r="U126" i="13"/>
  <c r="U7" i="13"/>
  <c r="U202" i="13"/>
  <c r="U163" i="13"/>
  <c r="U180" i="13"/>
  <c r="U29" i="13"/>
  <c r="U230" i="13"/>
  <c r="U237" i="13"/>
  <c r="U226" i="13"/>
  <c r="U173" i="13"/>
  <c r="U90" i="13"/>
  <c r="U155" i="13"/>
  <c r="U272" i="13"/>
  <c r="U31" i="13"/>
  <c r="U241" i="13"/>
  <c r="U260" i="13"/>
  <c r="U46" i="13"/>
  <c r="U258" i="13"/>
  <c r="U249" i="13"/>
  <c r="U56" i="13"/>
  <c r="U215" i="13"/>
  <c r="U11" i="13"/>
  <c r="U263" i="13"/>
  <c r="U33" i="13"/>
  <c r="U130" i="13"/>
  <c r="U219" i="13"/>
  <c r="U229" i="13"/>
  <c r="U146" i="13"/>
  <c r="U271" i="13"/>
  <c r="U117" i="13"/>
  <c r="U48" i="13"/>
  <c r="U149" i="13"/>
  <c r="U151" i="13"/>
  <c r="U43" i="13"/>
  <c r="U280" i="13"/>
  <c r="U128" i="13"/>
  <c r="U203" i="13"/>
  <c r="U228" i="13"/>
  <c r="U265" i="13"/>
  <c r="U217" i="13"/>
  <c r="U40" i="13"/>
  <c r="U261" i="13"/>
  <c r="U184" i="13"/>
  <c r="U165" i="13"/>
  <c r="U278" i="13"/>
  <c r="U282" i="13"/>
  <c r="U9" i="13"/>
  <c r="U242" i="13"/>
  <c r="U88" i="13"/>
  <c r="U118" i="13"/>
  <c r="U210" i="13"/>
  <c r="U19" i="13"/>
  <c r="U95" i="13"/>
  <c r="U14" i="13"/>
  <c r="U70" i="13"/>
  <c r="U174" i="13"/>
  <c r="U216" i="13"/>
  <c r="U87" i="13"/>
  <c r="U181" i="13"/>
  <c r="U116" i="13"/>
  <c r="U135" i="13"/>
  <c r="U114" i="13"/>
  <c r="U81" i="13"/>
  <c r="U72" i="13"/>
  <c r="U27" i="13"/>
  <c r="U89" i="13"/>
  <c r="U153" i="13"/>
  <c r="U186" i="13"/>
  <c r="U273" i="13"/>
  <c r="U152" i="13"/>
  <c r="U159" i="13"/>
  <c r="U266" i="13"/>
  <c r="U100" i="13"/>
  <c r="U157" i="13"/>
  <c r="U158" i="13"/>
  <c r="U124" i="13"/>
  <c r="U164" i="13"/>
  <c r="U178" i="13"/>
  <c r="U212" i="13"/>
  <c r="U221" i="13"/>
  <c r="U85" i="13"/>
  <c r="U267" i="13"/>
  <c r="U45" i="13"/>
  <c r="U101" i="13"/>
  <c r="U171" i="13"/>
  <c r="U28" i="13"/>
  <c r="U199" i="13"/>
  <c r="U91" i="13"/>
  <c r="U198" i="13"/>
  <c r="U281" i="13"/>
  <c r="U66" i="13"/>
  <c r="U21" i="13"/>
  <c r="U63" i="13"/>
  <c r="U125" i="13"/>
  <c r="U177" i="13"/>
  <c r="U24" i="13"/>
  <c r="U42" i="13"/>
  <c r="U123" i="13"/>
  <c r="U168" i="13"/>
  <c r="U150" i="13"/>
  <c r="U61" i="13"/>
  <c r="U52" i="13"/>
  <c r="U73" i="13"/>
  <c r="U132" i="13"/>
  <c r="U129" i="13"/>
  <c r="U175" i="13"/>
  <c r="U32" i="13"/>
  <c r="U245" i="13"/>
  <c r="U268" i="13"/>
  <c r="U276" i="13"/>
  <c r="U256" i="13"/>
  <c r="U47" i="13"/>
  <c r="U12" i="13"/>
  <c r="U191" i="13"/>
  <c r="U79" i="13"/>
  <c r="U120" i="13"/>
  <c r="U34" i="13"/>
  <c r="U257" i="13"/>
  <c r="U57" i="13"/>
  <c r="U103" i="13"/>
  <c r="U206" i="13"/>
  <c r="U18" i="13"/>
  <c r="U138" i="13"/>
  <c r="U194" i="13"/>
  <c r="DC47" i="13"/>
  <c r="K75" i="1" s="1"/>
  <c r="CE21" i="13"/>
  <c r="CF20" i="13"/>
  <c r="AD23" i="7"/>
  <c r="AC24" i="7"/>
  <c r="DC55" i="13"/>
  <c r="K83" i="1" s="1"/>
  <c r="AO151" i="13"/>
  <c r="Z151" i="13" s="1"/>
  <c r="W9" i="1" s="1"/>
  <c r="Z159" i="13"/>
  <c r="W21" i="1" s="1"/>
  <c r="DC48" i="13"/>
  <c r="K76" i="1" s="1"/>
  <c r="Z165" i="13"/>
  <c r="W28" i="1" s="1"/>
  <c r="AO157" i="13"/>
  <c r="Z157" i="13" s="1"/>
  <c r="W15" i="1" s="1"/>
  <c r="DC65" i="13"/>
  <c r="K93" i="1" s="1"/>
  <c r="DC44" i="13"/>
  <c r="K72" i="1" s="1"/>
  <c r="DC51" i="13"/>
  <c r="K79" i="1" s="1"/>
  <c r="DC49" i="13"/>
  <c r="K77" i="1" s="1"/>
  <c r="DC69" i="13"/>
  <c r="AC156" i="13"/>
  <c r="AD156" i="13"/>
  <c r="DC46" i="13"/>
  <c r="K74" i="1" s="1"/>
  <c r="DC56" i="13"/>
  <c r="K84" i="1" s="1"/>
  <c r="DC66" i="13"/>
  <c r="K94" i="1" s="1"/>
  <c r="E17" i="1"/>
  <c r="E14" i="1"/>
  <c r="E11" i="1"/>
  <c r="B17" i="1"/>
  <c r="B14" i="1"/>
  <c r="B11" i="1"/>
  <c r="CE22" i="13" l="1"/>
  <c r="CF21" i="13"/>
  <c r="AC25" i="7"/>
  <c r="AD24" i="7"/>
  <c r="AC26" i="7" l="1"/>
  <c r="AD25" i="7"/>
  <c r="CE23" i="13"/>
  <c r="CF22" i="13"/>
  <c r="AD26" i="7" l="1"/>
  <c r="AC27" i="7"/>
  <c r="CE24" i="13"/>
  <c r="CF23" i="13"/>
  <c r="CE25" i="13" l="1"/>
  <c r="CF24" i="13"/>
  <c r="AD27" i="7"/>
  <c r="AC28" i="7"/>
  <c r="AC29" i="7" l="1"/>
  <c r="AD28" i="7"/>
  <c r="CE26" i="13"/>
  <c r="CF25" i="13"/>
  <c r="CE27" i="13" l="1"/>
  <c r="CF26" i="13"/>
  <c r="AC30" i="7"/>
  <c r="AD29" i="7"/>
  <c r="CE28" i="13" l="1"/>
  <c r="CF27" i="13"/>
  <c r="AC31" i="7"/>
  <c r="AD30" i="7"/>
  <c r="AC32" i="7" l="1"/>
  <c r="AD31" i="7"/>
  <c r="CE29" i="13"/>
  <c r="CF28" i="13"/>
  <c r="CE30" i="13" l="1"/>
  <c r="CF29" i="13"/>
  <c r="AC33" i="7"/>
  <c r="AD32" i="7"/>
  <c r="CE31" i="13" l="1"/>
  <c r="CF30" i="13"/>
  <c r="AD33" i="7"/>
  <c r="AC34" i="7"/>
  <c r="AC35" i="7" l="1"/>
  <c r="AD34" i="7"/>
  <c r="CE32" i="13"/>
  <c r="CF31" i="13"/>
  <c r="CE33" i="13" l="1"/>
  <c r="CF32" i="13"/>
  <c r="AD35" i="7"/>
  <c r="AC36" i="7"/>
  <c r="CE34" i="13" l="1"/>
  <c r="CF33" i="13"/>
  <c r="AC37" i="7"/>
  <c r="AD36" i="7"/>
  <c r="AC38" i="7" l="1"/>
  <c r="AD37" i="7"/>
  <c r="CE35" i="13"/>
  <c r="CF34" i="13"/>
  <c r="CE36" i="13" l="1"/>
  <c r="CF35" i="13"/>
  <c r="AC39" i="7"/>
  <c r="AD38" i="7"/>
  <c r="CE37" i="13" l="1"/>
  <c r="CF36" i="13"/>
  <c r="AD39" i="7"/>
  <c r="AC40" i="7"/>
  <c r="AC41" i="7" l="1"/>
  <c r="AD40" i="7"/>
  <c r="CE38" i="13"/>
  <c r="CF37" i="13"/>
  <c r="CE39" i="13" l="1"/>
  <c r="CF38" i="13"/>
  <c r="AC42" i="7"/>
  <c r="AD41" i="7"/>
  <c r="CE40" i="13" l="1"/>
  <c r="CF39" i="13"/>
  <c r="AC43" i="7"/>
  <c r="AD42" i="7"/>
  <c r="AD43" i="7" l="1"/>
  <c r="AC44" i="7"/>
  <c r="CE41" i="13"/>
  <c r="CF40" i="13"/>
  <c r="CE42" i="13" l="1"/>
  <c r="CF41" i="13"/>
  <c r="AD44" i="7"/>
  <c r="AC45" i="7"/>
  <c r="AC46" i="7" l="1"/>
  <c r="AD45" i="7"/>
  <c r="CE43" i="13"/>
  <c r="CF42" i="13"/>
  <c r="CE44" i="13" l="1"/>
  <c r="CF43" i="13"/>
  <c r="AC47" i="7"/>
  <c r="AD46" i="7"/>
  <c r="AC48" i="7" l="1"/>
  <c r="AD47" i="7"/>
  <c r="CE45" i="13"/>
  <c r="CF44" i="13"/>
  <c r="CE46" i="13" l="1"/>
  <c r="CF45" i="13"/>
  <c r="AC49" i="7"/>
  <c r="AD48" i="7"/>
  <c r="CE47" i="13" l="1"/>
  <c r="CF46" i="13"/>
  <c r="AD49" i="7"/>
  <c r="AC50" i="7"/>
  <c r="AD50" i="7" l="1"/>
  <c r="AC51" i="7"/>
  <c r="CE48" i="13"/>
  <c r="CF47" i="13"/>
  <c r="CE49" i="13" l="1"/>
  <c r="CF48" i="13"/>
  <c r="AD51" i="7"/>
  <c r="AC52" i="7"/>
  <c r="AC53" i="7" l="1"/>
  <c r="AD52" i="7"/>
  <c r="CE50" i="13"/>
  <c r="CF49" i="13"/>
  <c r="CE51" i="13" l="1"/>
  <c r="CF50" i="13"/>
  <c r="AD53" i="7"/>
  <c r="AC54" i="7"/>
  <c r="AC55" i="7" l="1"/>
  <c r="AD54" i="7"/>
  <c r="CE52" i="13"/>
  <c r="CF51" i="13"/>
  <c r="CE53" i="13" l="1"/>
  <c r="CF52" i="13"/>
  <c r="AC56" i="7"/>
  <c r="AD55" i="7"/>
  <c r="AD56" i="7" l="1"/>
  <c r="AC57" i="7"/>
  <c r="CE54" i="13"/>
  <c r="CF53" i="13"/>
  <c r="CE55" i="13" l="1"/>
  <c r="CF54" i="13"/>
  <c r="AC58" i="7"/>
  <c r="AD57" i="7"/>
  <c r="CE56" i="13" l="1"/>
  <c r="CF55" i="13"/>
  <c r="AC59" i="7"/>
  <c r="AD58" i="7"/>
  <c r="AD59" i="7" l="1"/>
  <c r="AC60" i="7"/>
  <c r="CE57" i="13"/>
  <c r="CF56" i="13"/>
  <c r="CE58" i="13" l="1"/>
  <c r="CF57" i="13"/>
  <c r="AC61" i="7"/>
  <c r="AD60" i="7"/>
  <c r="AC62" i="7" l="1"/>
  <c r="AD61" i="7"/>
  <c r="CE59" i="13"/>
  <c r="CF58" i="13"/>
  <c r="CE60" i="13" l="1"/>
  <c r="CF59" i="13"/>
  <c r="AC63" i="7"/>
  <c r="AD62" i="7"/>
  <c r="AD63" i="7" l="1"/>
  <c r="AC64" i="7"/>
  <c r="CE61" i="13"/>
  <c r="CF60" i="13"/>
  <c r="CE62" i="13" l="1"/>
  <c r="CF61" i="13"/>
  <c r="AC65" i="7"/>
  <c r="AD64" i="7"/>
  <c r="AD65" i="7" l="1"/>
  <c r="AC66" i="7"/>
  <c r="CE63" i="13"/>
  <c r="CF62" i="13"/>
  <c r="CE64" i="13" l="1"/>
  <c r="CF63" i="13"/>
  <c r="AC67" i="7"/>
  <c r="AD66" i="7"/>
  <c r="AD67" i="7" l="1"/>
  <c r="AC68" i="7"/>
  <c r="CE65" i="13"/>
  <c r="CF64" i="13"/>
  <c r="CE66" i="13" l="1"/>
  <c r="CF65" i="13"/>
  <c r="AD68" i="7"/>
  <c r="AC69" i="7"/>
  <c r="AD69" i="7" l="1"/>
  <c r="AC70" i="7"/>
  <c r="CE67" i="13"/>
  <c r="CF66" i="13"/>
  <c r="CE68" i="13" l="1"/>
  <c r="CF67" i="13"/>
  <c r="AD70" i="7"/>
  <c r="AC71" i="7"/>
  <c r="CE69" i="13" l="1"/>
  <c r="CF68" i="13"/>
  <c r="AC72" i="7"/>
  <c r="AD71" i="7"/>
  <c r="CE70" i="13" l="1"/>
  <c r="CF69" i="13"/>
  <c r="AC73" i="7"/>
  <c r="AD72" i="7"/>
  <c r="AD73" i="7" l="1"/>
  <c r="AC74" i="7"/>
  <c r="CE71" i="13"/>
  <c r="CF70" i="13"/>
  <c r="CE72" i="13" l="1"/>
  <c r="CF71" i="13"/>
  <c r="AC75" i="7"/>
  <c r="AD74" i="7"/>
  <c r="AC76" i="7" l="1"/>
  <c r="AD75" i="7"/>
  <c r="CE73" i="13"/>
  <c r="CF72" i="13"/>
  <c r="CE74" i="13" l="1"/>
  <c r="CF73" i="13"/>
  <c r="AC77" i="7"/>
  <c r="AD76" i="7"/>
  <c r="AC78" i="7" l="1"/>
  <c r="AD77" i="7"/>
  <c r="CE75" i="13"/>
  <c r="CF74" i="13"/>
  <c r="CE76" i="13" l="1"/>
  <c r="CF75" i="13"/>
  <c r="AD78" i="7"/>
  <c r="AC79" i="7"/>
  <c r="AC80" i="7" l="1"/>
  <c r="AD79" i="7"/>
  <c r="CE77" i="13"/>
  <c r="CF76" i="13"/>
  <c r="CE78" i="13" l="1"/>
  <c r="CF77" i="13"/>
  <c r="AD80" i="7"/>
  <c r="AC81" i="7"/>
  <c r="AC82" i="7" l="1"/>
  <c r="AD81" i="7"/>
  <c r="CE79" i="13"/>
  <c r="CF78" i="13"/>
  <c r="CE80" i="13" l="1"/>
  <c r="CF79" i="13"/>
  <c r="AC83" i="7"/>
  <c r="AD82" i="7"/>
  <c r="AC84" i="7" l="1"/>
  <c r="AD83" i="7"/>
  <c r="CE81" i="13"/>
  <c r="CF80" i="13"/>
  <c r="AD84" i="7" l="1"/>
  <c r="AC85" i="7"/>
  <c r="CE82" i="13"/>
  <c r="CF81" i="13"/>
  <c r="CE83" i="13" l="1"/>
  <c r="CF82" i="13"/>
  <c r="AC86" i="7"/>
  <c r="AD85" i="7"/>
  <c r="AC87" i="7" l="1"/>
  <c r="AD86" i="7"/>
  <c r="CE84" i="13"/>
  <c r="CF83" i="13"/>
  <c r="AC88" i="7" l="1"/>
  <c r="AD87" i="7"/>
  <c r="CE85" i="13"/>
  <c r="CF84" i="13"/>
  <c r="CE86" i="13" l="1"/>
  <c r="CF85" i="13"/>
  <c r="AC89" i="7"/>
  <c r="AD88" i="7"/>
  <c r="AC90" i="7" l="1"/>
  <c r="AD89" i="7"/>
  <c r="CE87" i="13"/>
  <c r="CF86" i="13"/>
  <c r="CE88" i="13" l="1"/>
  <c r="CF87" i="13"/>
  <c r="AC91" i="7"/>
  <c r="AD90" i="7"/>
  <c r="AC92" i="7" l="1"/>
  <c r="AD91" i="7"/>
  <c r="CE89" i="13"/>
  <c r="CF88" i="13"/>
  <c r="AD92" i="7" l="1"/>
  <c r="AC93" i="7"/>
  <c r="CE90" i="13"/>
  <c r="CF89" i="13"/>
  <c r="CE91" i="13" l="1"/>
  <c r="CF90" i="13"/>
  <c r="AD93" i="7"/>
  <c r="AC94" i="7"/>
  <c r="AC95" i="7" l="1"/>
  <c r="AD94" i="7"/>
  <c r="CE92" i="13"/>
  <c r="CF91" i="13"/>
  <c r="CE93" i="13" l="1"/>
  <c r="CF92" i="13"/>
  <c r="AC96" i="7"/>
  <c r="AD95" i="7"/>
  <c r="AC97" i="7" l="1"/>
  <c r="AD96" i="7"/>
  <c r="CE94" i="13"/>
  <c r="CF93" i="13"/>
  <c r="AC98" i="7" l="1"/>
  <c r="AD97" i="7"/>
  <c r="CE95" i="13"/>
  <c r="CF94" i="13"/>
  <c r="CE96" i="13" l="1"/>
  <c r="CF95" i="13"/>
  <c r="AC99" i="7"/>
  <c r="AD98" i="7"/>
  <c r="AD99" i="7" l="1"/>
  <c r="AC100" i="7"/>
  <c r="CE97" i="13"/>
  <c r="CF96" i="13"/>
  <c r="CE98" i="13" l="1"/>
  <c r="CF97" i="13"/>
  <c r="AC101" i="7"/>
  <c r="AD100" i="7"/>
  <c r="AC102" i="7" l="1"/>
  <c r="AD101" i="7"/>
  <c r="CE99" i="13"/>
  <c r="CF98" i="13"/>
  <c r="AC103" i="7" l="1"/>
  <c r="AD102" i="7"/>
  <c r="CE100" i="13"/>
  <c r="CF99" i="13"/>
  <c r="CE101" i="13" l="1"/>
  <c r="CF100" i="13"/>
  <c r="AC104" i="7"/>
  <c r="AD103" i="7"/>
  <c r="AC105" i="7" l="1"/>
  <c r="AD104" i="7"/>
  <c r="CE102" i="13"/>
  <c r="CF101" i="13"/>
  <c r="CE103" i="13" l="1"/>
  <c r="CF102" i="13"/>
  <c r="AC106" i="7"/>
  <c r="AD105" i="7"/>
  <c r="AD106" i="7" l="1"/>
  <c r="AC107" i="7"/>
  <c r="CE104" i="13"/>
  <c r="CF103" i="13"/>
  <c r="CE105" i="13" l="1"/>
  <c r="CF104" i="13"/>
  <c r="AC108" i="7"/>
  <c r="AD107" i="7"/>
  <c r="AC109" i="7" l="1"/>
  <c r="AD108" i="7"/>
  <c r="CE106" i="13"/>
  <c r="CF105" i="13"/>
  <c r="CE107" i="13" l="1"/>
  <c r="CF106" i="13"/>
  <c r="AD109" i="7"/>
  <c r="AC110" i="7"/>
  <c r="AC111" i="7" l="1"/>
  <c r="AD110" i="7"/>
  <c r="CE108" i="13"/>
  <c r="CF107" i="13"/>
  <c r="CE109" i="13" l="1"/>
  <c r="CF108" i="13"/>
  <c r="AC112" i="7"/>
  <c r="AD111" i="7"/>
  <c r="CE110" i="13" l="1"/>
  <c r="CF109" i="13"/>
  <c r="AC113" i="7"/>
  <c r="AD112" i="7"/>
  <c r="CE111" i="13" l="1"/>
  <c r="CF110" i="13"/>
  <c r="AD113" i="7"/>
  <c r="AC114" i="7"/>
  <c r="AD114" i="7" l="1"/>
  <c r="AC115" i="7"/>
  <c r="CE112" i="13"/>
  <c r="CF111" i="13"/>
  <c r="AC116" i="7" l="1"/>
  <c r="AD115" i="7"/>
  <c r="CE113" i="13"/>
  <c r="CF112" i="13"/>
  <c r="CE114" i="13" l="1"/>
  <c r="CF113" i="13"/>
  <c r="AD116" i="7"/>
  <c r="AC117" i="7"/>
  <c r="AD117" i="7" s="1"/>
  <c r="CE115" i="13" l="1"/>
  <c r="CF114" i="13"/>
  <c r="CE116" i="13" l="1"/>
  <c r="CF115" i="13"/>
  <c r="CE117" i="13" l="1"/>
  <c r="CF116" i="13"/>
  <c r="CE118" i="13" l="1"/>
  <c r="CF117" i="13"/>
  <c r="CE119" i="13" l="1"/>
  <c r="CF118" i="13"/>
  <c r="CE120" i="13" l="1"/>
  <c r="CF119" i="13"/>
  <c r="CE121" i="13" l="1"/>
  <c r="CF120" i="13"/>
  <c r="CE122" i="13" l="1"/>
  <c r="CF121" i="13"/>
  <c r="CE123" i="13" l="1"/>
  <c r="CF122" i="13"/>
  <c r="CE124" i="13" l="1"/>
  <c r="CF123" i="13"/>
  <c r="CE125" i="13" l="1"/>
  <c r="CF124" i="13"/>
  <c r="CE126" i="13" l="1"/>
  <c r="CF125" i="13"/>
  <c r="CE127" i="13" l="1"/>
  <c r="CF126" i="13"/>
  <c r="CE128" i="13" l="1"/>
  <c r="CF127" i="13"/>
  <c r="CE129" i="13" l="1"/>
  <c r="CF128" i="13"/>
  <c r="CE130" i="13" l="1"/>
  <c r="CF129" i="13"/>
  <c r="CE131" i="13" l="1"/>
  <c r="CF130" i="13"/>
  <c r="CE132" i="13" l="1"/>
  <c r="CF131" i="13"/>
  <c r="CE133" i="13" l="1"/>
  <c r="CF132" i="13"/>
  <c r="CE134" i="13" l="1"/>
  <c r="CF133" i="13"/>
  <c r="CE135" i="13" l="1"/>
  <c r="CF134" i="13"/>
  <c r="CE136" i="13" l="1"/>
  <c r="CF135" i="13"/>
  <c r="CE137" i="13" l="1"/>
  <c r="CF136" i="13"/>
  <c r="CE138" i="13" l="1"/>
  <c r="CF137" i="13"/>
  <c r="CE139" i="13" l="1"/>
  <c r="CF138" i="13"/>
  <c r="CE140" i="13" l="1"/>
  <c r="CF139" i="13"/>
  <c r="CE141" i="13" l="1"/>
  <c r="CF140" i="13"/>
  <c r="CE142" i="13" l="1"/>
  <c r="CF141" i="13"/>
  <c r="CE143" i="13" l="1"/>
  <c r="CF142" i="13"/>
  <c r="CE144" i="13" l="1"/>
  <c r="CF143" i="13"/>
  <c r="CE145" i="13" l="1"/>
  <c r="CF144" i="13"/>
  <c r="CE146" i="13" l="1"/>
  <c r="CF145" i="13"/>
  <c r="CE147" i="13" l="1"/>
  <c r="CF146" i="13"/>
  <c r="CE148" i="13" l="1"/>
  <c r="CF147" i="13"/>
  <c r="CE149" i="13" l="1"/>
  <c r="CF148" i="13"/>
  <c r="CE150" i="13" l="1"/>
  <c r="CF149" i="13"/>
  <c r="CE151" i="13" l="1"/>
  <c r="CF150" i="13"/>
  <c r="CE152" i="13" l="1"/>
  <c r="CF151" i="13"/>
  <c r="CE153" i="13" l="1"/>
  <c r="CF152" i="13"/>
  <c r="CE154" i="13" l="1"/>
  <c r="CF153" i="13"/>
  <c r="CE155" i="13" l="1"/>
  <c r="CF154" i="13"/>
  <c r="CE156" i="13" l="1"/>
  <c r="CF155" i="13"/>
  <c r="CE157" i="13" l="1"/>
  <c r="CF156" i="13"/>
  <c r="CE158" i="13" l="1"/>
  <c r="CF157" i="13"/>
  <c r="CE159" i="13" l="1"/>
  <c r="CF158" i="13"/>
  <c r="CE160" i="13" l="1"/>
  <c r="CF159" i="13"/>
  <c r="CE161" i="13" l="1"/>
  <c r="CF160" i="13"/>
  <c r="CE162" i="13" l="1"/>
  <c r="CF161" i="13"/>
  <c r="CE163" i="13" l="1"/>
  <c r="CF162" i="13"/>
  <c r="CE164" i="13" l="1"/>
  <c r="CF163" i="13"/>
  <c r="CE165" i="13" l="1"/>
  <c r="CF164" i="13"/>
  <c r="CE166" i="13" l="1"/>
  <c r="CF165" i="13"/>
  <c r="CE167" i="13" l="1"/>
  <c r="CF166" i="13"/>
  <c r="CE168" i="13" l="1"/>
  <c r="CF167" i="13"/>
  <c r="CE169" i="13" l="1"/>
  <c r="CF168" i="13"/>
  <c r="CE170" i="13" l="1"/>
  <c r="CF169" i="13"/>
  <c r="CE171" i="13" l="1"/>
  <c r="CF170" i="13"/>
  <c r="CE172" i="13" l="1"/>
  <c r="CF171" i="13"/>
  <c r="CE173" i="13" l="1"/>
  <c r="CF172" i="13"/>
  <c r="CE174" i="13" l="1"/>
  <c r="CF173" i="13"/>
  <c r="CE175" i="13" l="1"/>
  <c r="CF174" i="13"/>
  <c r="CE176" i="13" l="1"/>
  <c r="CF175" i="13"/>
  <c r="CE177" i="13" l="1"/>
  <c r="CF176" i="13"/>
  <c r="CE178" i="13" l="1"/>
  <c r="CF177" i="13"/>
  <c r="CE179" i="13" l="1"/>
  <c r="CF178" i="13"/>
  <c r="CE180" i="13" l="1"/>
  <c r="CF179" i="13"/>
  <c r="CE181" i="13" l="1"/>
  <c r="CF180" i="13"/>
  <c r="CE182" i="13" l="1"/>
  <c r="CF181" i="13"/>
  <c r="CE183" i="13" l="1"/>
  <c r="CF182" i="13"/>
  <c r="CE184" i="13" l="1"/>
  <c r="CF183" i="13"/>
  <c r="CE185" i="13" l="1"/>
  <c r="CF184" i="13"/>
  <c r="CE186" i="13" l="1"/>
  <c r="CF185" i="13"/>
  <c r="CE187" i="13" l="1"/>
  <c r="CF186" i="13"/>
  <c r="CE188" i="13" l="1"/>
  <c r="CF187" i="13"/>
  <c r="CE189" i="13" l="1"/>
  <c r="CF188" i="13"/>
  <c r="CE190" i="13" l="1"/>
  <c r="CF189" i="13"/>
  <c r="CE191" i="13" l="1"/>
  <c r="CF190" i="13"/>
  <c r="CE192" i="13" l="1"/>
  <c r="CF191" i="13"/>
  <c r="CE193" i="13" l="1"/>
  <c r="CF192" i="13"/>
  <c r="CE194" i="13" l="1"/>
  <c r="CF193" i="13"/>
  <c r="CE195" i="13" l="1"/>
  <c r="CF194" i="13"/>
  <c r="CE196" i="13" l="1"/>
  <c r="CF195" i="13"/>
  <c r="CE197" i="13" l="1"/>
  <c r="CF196" i="13"/>
  <c r="CE198" i="13" l="1"/>
  <c r="CF197" i="13"/>
  <c r="CE199" i="13" l="1"/>
  <c r="CF198" i="13"/>
  <c r="CE200" i="13" l="1"/>
  <c r="CF199" i="13"/>
  <c r="CE201" i="13" l="1"/>
  <c r="CF200" i="13"/>
  <c r="CE202" i="13" l="1"/>
  <c r="CF201" i="13"/>
  <c r="CE203" i="13" l="1"/>
  <c r="CF202" i="13"/>
  <c r="CE204" i="13" l="1"/>
  <c r="CF203" i="13"/>
  <c r="CE205" i="13" l="1"/>
  <c r="CF204" i="13"/>
  <c r="CE206" i="13" l="1"/>
  <c r="CF205" i="13"/>
  <c r="CE207" i="13" l="1"/>
  <c r="CF206" i="13"/>
  <c r="CE208" i="13" l="1"/>
  <c r="CF207" i="13"/>
  <c r="CE209" i="13" l="1"/>
  <c r="CF208" i="13"/>
  <c r="CE210" i="13" l="1"/>
  <c r="CF209" i="13"/>
  <c r="CE211" i="13" l="1"/>
  <c r="CF210" i="13"/>
  <c r="CE212" i="13" l="1"/>
  <c r="CF211" i="13"/>
  <c r="CE213" i="13" l="1"/>
  <c r="CF212" i="13"/>
  <c r="CE214" i="13" l="1"/>
  <c r="CF213" i="13"/>
  <c r="CE215" i="13" l="1"/>
  <c r="CF214" i="13"/>
  <c r="CE216" i="13" l="1"/>
  <c r="CF215" i="13"/>
  <c r="CE217" i="13" l="1"/>
  <c r="CF216" i="13"/>
  <c r="CE218" i="13" l="1"/>
  <c r="CF217" i="13"/>
  <c r="CE219" i="13" l="1"/>
  <c r="CF218" i="13"/>
  <c r="CE220" i="13" l="1"/>
  <c r="CF219" i="13"/>
  <c r="CE221" i="13" l="1"/>
  <c r="CF220" i="13"/>
  <c r="CE222" i="13" l="1"/>
  <c r="CF221" i="13"/>
  <c r="CE223" i="13" l="1"/>
  <c r="CF222" i="13"/>
  <c r="CE224" i="13" l="1"/>
  <c r="CF223" i="13"/>
  <c r="CE225" i="13" l="1"/>
  <c r="CF224" i="13"/>
  <c r="CE226" i="13" l="1"/>
  <c r="CF225" i="13"/>
  <c r="CE227" i="13" l="1"/>
  <c r="CF226" i="13"/>
  <c r="CE228" i="13" l="1"/>
  <c r="CF227" i="13"/>
  <c r="CE229" i="13" l="1"/>
  <c r="CF228" i="13"/>
  <c r="CE230" i="13" l="1"/>
  <c r="CF229" i="13"/>
  <c r="CE231" i="13" l="1"/>
  <c r="CF230" i="13"/>
  <c r="CE232" i="13" l="1"/>
  <c r="CF231" i="13"/>
  <c r="CE233" i="13" l="1"/>
  <c r="CF232" i="13"/>
  <c r="CE234" i="13" l="1"/>
  <c r="CF233" i="13"/>
  <c r="CE235" i="13" l="1"/>
  <c r="CF234" i="13"/>
  <c r="CE236" i="13" l="1"/>
  <c r="CF235" i="13"/>
  <c r="CE237" i="13" l="1"/>
  <c r="CF236" i="13"/>
  <c r="CE238" i="13" l="1"/>
  <c r="CF237" i="13"/>
  <c r="CE239" i="13" l="1"/>
  <c r="CF238" i="13"/>
  <c r="CE240" i="13" l="1"/>
  <c r="CF239" i="13"/>
  <c r="CE241" i="13" l="1"/>
  <c r="CF240" i="13"/>
  <c r="CE242" i="13" l="1"/>
  <c r="CF241" i="13"/>
  <c r="CE243" i="13" l="1"/>
  <c r="CF242" i="13"/>
  <c r="CE244" i="13" l="1"/>
  <c r="CF243" i="13"/>
  <c r="CE245" i="13" l="1"/>
  <c r="CF244" i="13"/>
  <c r="CE246" i="13" l="1"/>
  <c r="CF245" i="13"/>
  <c r="CE247" i="13" l="1"/>
  <c r="CF246" i="13"/>
  <c r="CE248" i="13" l="1"/>
  <c r="CF247" i="13"/>
  <c r="CE249" i="13" l="1"/>
  <c r="CF248" i="13"/>
  <c r="CE250" i="13" l="1"/>
  <c r="CF249" i="13"/>
  <c r="CE251" i="13" l="1"/>
  <c r="CF250" i="13"/>
  <c r="CE252" i="13" l="1"/>
  <c r="CF251" i="13"/>
  <c r="CE253" i="13" l="1"/>
  <c r="CF252" i="13"/>
  <c r="CE254" i="13" l="1"/>
  <c r="CF253" i="13"/>
  <c r="CE255" i="13" l="1"/>
  <c r="CF254" i="13"/>
  <c r="CE256" i="13" l="1"/>
  <c r="CF255" i="13"/>
  <c r="CE257" i="13" l="1"/>
  <c r="CF256" i="13"/>
  <c r="CE258" i="13" l="1"/>
  <c r="CF257" i="13"/>
  <c r="CE259" i="13" l="1"/>
  <c r="CF258" i="13"/>
  <c r="CE260" i="13" l="1"/>
  <c r="CF259" i="13"/>
  <c r="CE261" i="13" l="1"/>
  <c r="CF260" i="13"/>
  <c r="CE262" i="13" l="1"/>
  <c r="CF261" i="13"/>
  <c r="CE263" i="13" l="1"/>
  <c r="CF262" i="13"/>
  <c r="CE264" i="13" l="1"/>
  <c r="CF263" i="13"/>
  <c r="CE265" i="13" l="1"/>
  <c r="CF264" i="13"/>
  <c r="CE266" i="13" l="1"/>
  <c r="CF265" i="13"/>
  <c r="CE267" i="13" l="1"/>
  <c r="CF266" i="13"/>
  <c r="CE268" i="13" l="1"/>
  <c r="CF267" i="13"/>
  <c r="CE269" i="13" l="1"/>
  <c r="CF268" i="13"/>
  <c r="CE270" i="13" l="1"/>
  <c r="CF269" i="13"/>
  <c r="CE271" i="13" l="1"/>
  <c r="CF270" i="13"/>
  <c r="CE272" i="13" l="1"/>
  <c r="CF271" i="13"/>
  <c r="CE273" i="13" l="1"/>
  <c r="CF272" i="13"/>
  <c r="CE274" i="13" l="1"/>
  <c r="CF273" i="13"/>
  <c r="CE275" i="13" l="1"/>
  <c r="CF274" i="13"/>
  <c r="CE276" i="13" l="1"/>
  <c r="CF275" i="13"/>
  <c r="CE277" i="13" l="1"/>
  <c r="CF276" i="13"/>
  <c r="CE278" i="13" l="1"/>
  <c r="CF277" i="13"/>
  <c r="CE279" i="13" l="1"/>
  <c r="CF278" i="13"/>
  <c r="CE280" i="13" l="1"/>
  <c r="CF279" i="13"/>
  <c r="CE281" i="13" l="1"/>
  <c r="CF280" i="13"/>
  <c r="CE282" i="13" l="1"/>
  <c r="CF281" i="13"/>
  <c r="CE283" i="13" l="1"/>
  <c r="CF282" i="13"/>
  <c r="CE284" i="13" l="1"/>
  <c r="CF283" i="13"/>
  <c r="CE285" i="13" l="1"/>
  <c r="CF284" i="13"/>
  <c r="CE286" i="13" l="1"/>
  <c r="CF285" i="13"/>
  <c r="CE287" i="13" l="1"/>
  <c r="CF286" i="13"/>
  <c r="CE288" i="13" l="1"/>
  <c r="CF287" i="13"/>
  <c r="CE289" i="13" l="1"/>
  <c r="CF288" i="13"/>
  <c r="CE290" i="13" l="1"/>
  <c r="CF289" i="13"/>
  <c r="CE291" i="13" l="1"/>
  <c r="CF290" i="13"/>
  <c r="CE292" i="13" l="1"/>
  <c r="CF291" i="13"/>
  <c r="CE293" i="13" l="1"/>
  <c r="CF292" i="13"/>
  <c r="CE294" i="13" l="1"/>
  <c r="CF293" i="13"/>
  <c r="CE295" i="13" l="1"/>
  <c r="CF294" i="13"/>
  <c r="CE296" i="13" l="1"/>
  <c r="CF295" i="13"/>
  <c r="CE297" i="13" l="1"/>
  <c r="CF296" i="13"/>
  <c r="CE298" i="13" l="1"/>
  <c r="CF297" i="13"/>
  <c r="CE299" i="13" l="1"/>
  <c r="CF298" i="13"/>
  <c r="CE300" i="13" l="1"/>
  <c r="CF299" i="13"/>
  <c r="CE301" i="13" l="1"/>
  <c r="CF300" i="13"/>
  <c r="CE302" i="13" l="1"/>
  <c r="CF301" i="13"/>
  <c r="CE303" i="13" l="1"/>
  <c r="CF302" i="13"/>
  <c r="CE304" i="13" l="1"/>
  <c r="CF303" i="13"/>
  <c r="CE305" i="13" l="1"/>
  <c r="CF305" i="13" s="1"/>
  <c r="CF304" i="13"/>
  <c r="CG304" i="13" s="1"/>
  <c r="CG300" i="13" l="1"/>
  <c r="CG298" i="13"/>
  <c r="CG299" i="13"/>
  <c r="CG302" i="13"/>
  <c r="CG301" i="13"/>
  <c r="CG305" i="13"/>
  <c r="CG12" i="13"/>
  <c r="CG18" i="13"/>
  <c r="CG15" i="13"/>
  <c r="CG14" i="13"/>
  <c r="CG6" i="13"/>
  <c r="CG9" i="13"/>
  <c r="CG5" i="13"/>
  <c r="CG17" i="13"/>
  <c r="CG11" i="13"/>
  <c r="CG13" i="13"/>
  <c r="CG19" i="13"/>
  <c r="CG7" i="13"/>
  <c r="CG20" i="13"/>
  <c r="CG8" i="13"/>
  <c r="CG16" i="13"/>
  <c r="CG10" i="13"/>
  <c r="CG4" i="13"/>
  <c r="CC11" i="13"/>
  <c r="CG22" i="13"/>
  <c r="CG21" i="13"/>
  <c r="CG23" i="13"/>
  <c r="CG24" i="13"/>
  <c r="CG27" i="13"/>
  <c r="CG25" i="13"/>
  <c r="CG26" i="13"/>
  <c r="CG29" i="13"/>
  <c r="CG30" i="13"/>
  <c r="CG28" i="13"/>
  <c r="CG31" i="13"/>
  <c r="CG33" i="13"/>
  <c r="CG35" i="13"/>
  <c r="CG34" i="13"/>
  <c r="CG32" i="13"/>
  <c r="CG38" i="13"/>
  <c r="CG37" i="13"/>
  <c r="CG36" i="13"/>
  <c r="CG39" i="13"/>
  <c r="CG40" i="13"/>
  <c r="CG42" i="13"/>
  <c r="CG41" i="13"/>
  <c r="CG44" i="13"/>
  <c r="CG43" i="13"/>
  <c r="CG45" i="13"/>
  <c r="CG47" i="13"/>
  <c r="CG46" i="13"/>
  <c r="CG50" i="13"/>
  <c r="CG48" i="13"/>
  <c r="CG52" i="13"/>
  <c r="CG51" i="13"/>
  <c r="CG49" i="13"/>
  <c r="CG55" i="13"/>
  <c r="CG57" i="13"/>
  <c r="CG53" i="13"/>
  <c r="CG54" i="13"/>
  <c r="CG56" i="13"/>
  <c r="CG58" i="13"/>
  <c r="CG59" i="13"/>
  <c r="CG60" i="13"/>
  <c r="CG61" i="13"/>
  <c r="CG62" i="13"/>
  <c r="CG63" i="13"/>
  <c r="CG64" i="13"/>
  <c r="CG65" i="13"/>
  <c r="CG66" i="13"/>
  <c r="CG67" i="13"/>
  <c r="CG70" i="13"/>
  <c r="CG68" i="13"/>
  <c r="CG69" i="13"/>
  <c r="CG71" i="13"/>
  <c r="CG72" i="13"/>
  <c r="CG73" i="13"/>
  <c r="CG75" i="13"/>
  <c r="CG74" i="13"/>
  <c r="CG76" i="13"/>
  <c r="CG78" i="13"/>
  <c r="CG77" i="13"/>
  <c r="CG80" i="13"/>
  <c r="CG79" i="13"/>
  <c r="CG81" i="13"/>
  <c r="CG82" i="13"/>
  <c r="CG84" i="13"/>
  <c r="CG83" i="13"/>
  <c r="CG87" i="13"/>
  <c r="CG85" i="13"/>
  <c r="CG86" i="13"/>
  <c r="CG88" i="13"/>
  <c r="CG89" i="13"/>
  <c r="CG90" i="13"/>
  <c r="CG94" i="13"/>
  <c r="CG91" i="13"/>
  <c r="CG95" i="13"/>
  <c r="CG93" i="13"/>
  <c r="CG92" i="13"/>
  <c r="CG97" i="13"/>
  <c r="CG96" i="13"/>
  <c r="CG100" i="13"/>
  <c r="CG99" i="13"/>
  <c r="CG98" i="13"/>
  <c r="CG102" i="13"/>
  <c r="CG101" i="13"/>
  <c r="CG103" i="13"/>
  <c r="CG104" i="13"/>
  <c r="CG106" i="13"/>
  <c r="CG105" i="13"/>
  <c r="CG107" i="13"/>
  <c r="CG110" i="13"/>
  <c r="CG112" i="13"/>
  <c r="CG108" i="13"/>
  <c r="CG109" i="13"/>
  <c r="CG113" i="13"/>
  <c r="CG111" i="13"/>
  <c r="CG115" i="13"/>
  <c r="CG116" i="13"/>
  <c r="CG114" i="13"/>
  <c r="CG118" i="13"/>
  <c r="CG117" i="13"/>
  <c r="CG120" i="13"/>
  <c r="CG121" i="13"/>
  <c r="CG119" i="13"/>
  <c r="CG122" i="13"/>
  <c r="CG124" i="13"/>
  <c r="CG123" i="13"/>
  <c r="CG125" i="13"/>
  <c r="CG127" i="13"/>
  <c r="CG126" i="13"/>
  <c r="CG129" i="13"/>
  <c r="CG128" i="13"/>
  <c r="CG130" i="13"/>
  <c r="CG131" i="13"/>
  <c r="CG132" i="13"/>
  <c r="CG135" i="13"/>
  <c r="CG133" i="13"/>
  <c r="CG134" i="13"/>
  <c r="CG137" i="13"/>
  <c r="CG136" i="13"/>
  <c r="CG138" i="13"/>
  <c r="CG140" i="13"/>
  <c r="CG141" i="13"/>
  <c r="CG139" i="13"/>
  <c r="CG142" i="13"/>
  <c r="CG144" i="13"/>
  <c r="CG143" i="13"/>
  <c r="CG145" i="13"/>
  <c r="CG146" i="13"/>
  <c r="CG147" i="13"/>
  <c r="CG149" i="13"/>
  <c r="CG148" i="13"/>
  <c r="CG150" i="13"/>
  <c r="CG152" i="13"/>
  <c r="CG151" i="13"/>
  <c r="CG153" i="13"/>
  <c r="CG155" i="13"/>
  <c r="CG156" i="13"/>
  <c r="CG154" i="13"/>
  <c r="CG157" i="13"/>
  <c r="CG158" i="13"/>
  <c r="CG160" i="13"/>
  <c r="CG159" i="13"/>
  <c r="CG163" i="13"/>
  <c r="CG161" i="13"/>
  <c r="CG164" i="13"/>
  <c r="CG165" i="13"/>
  <c r="CG162" i="13"/>
  <c r="CG166" i="13"/>
  <c r="CG167" i="13"/>
  <c r="CG168" i="13"/>
  <c r="CG171" i="13"/>
  <c r="CG169" i="13"/>
  <c r="CG170" i="13"/>
  <c r="CG174" i="13"/>
  <c r="CG172" i="13"/>
  <c r="CG173" i="13"/>
  <c r="CG176" i="13"/>
  <c r="CG175" i="13"/>
  <c r="CG180" i="13"/>
  <c r="CG177" i="13"/>
  <c r="CG178" i="13"/>
  <c r="CG179" i="13"/>
  <c r="CG181" i="13"/>
  <c r="CG182" i="13"/>
  <c r="CG184" i="13"/>
  <c r="CG183" i="13"/>
  <c r="CG186" i="13"/>
  <c r="CG188" i="13"/>
  <c r="CG185" i="13"/>
  <c r="CG187" i="13"/>
  <c r="CG189" i="13"/>
  <c r="CG191" i="13"/>
  <c r="CG192" i="13"/>
  <c r="CG190" i="13"/>
  <c r="CG193" i="13"/>
  <c r="CG194" i="13"/>
  <c r="CG197" i="13"/>
  <c r="CG195" i="13"/>
  <c r="CG196" i="13"/>
  <c r="CG199" i="13"/>
  <c r="CG198" i="13"/>
  <c r="CG200" i="13"/>
  <c r="CG202" i="13"/>
  <c r="CG203" i="13"/>
  <c r="CG201" i="13"/>
  <c r="CG204" i="13"/>
  <c r="CG205" i="13"/>
  <c r="CG208" i="13"/>
  <c r="CG206" i="13"/>
  <c r="CG207" i="13"/>
  <c r="CG209" i="13"/>
  <c r="CG211" i="13"/>
  <c r="CG210" i="13"/>
  <c r="CG213" i="13"/>
  <c r="CG212" i="13"/>
  <c r="CG215" i="13"/>
  <c r="CG214" i="13"/>
  <c r="CG216" i="13"/>
  <c r="CG218" i="13"/>
  <c r="CG219" i="13"/>
  <c r="CG217" i="13"/>
  <c r="CG221" i="13"/>
  <c r="CG220" i="13"/>
  <c r="CG222" i="13"/>
  <c r="CG224" i="13"/>
  <c r="CG225" i="13"/>
  <c r="CG223" i="13"/>
  <c r="CG226" i="13"/>
  <c r="CG227" i="13"/>
  <c r="CG228" i="13"/>
  <c r="CG229" i="13"/>
  <c r="CG230" i="13"/>
  <c r="CG233" i="13"/>
  <c r="CG232" i="13"/>
  <c r="CG231" i="13"/>
  <c r="CG234" i="13"/>
  <c r="CG235" i="13"/>
  <c r="CG236" i="13"/>
  <c r="CG237" i="13"/>
  <c r="CG240" i="13"/>
  <c r="CG239" i="13"/>
  <c r="CG238" i="13"/>
  <c r="CG241" i="13"/>
  <c r="CG243" i="13"/>
  <c r="CG244" i="13"/>
  <c r="CG242" i="13"/>
  <c r="CG245" i="13"/>
  <c r="CG246" i="13"/>
  <c r="CG247" i="13"/>
  <c r="CG248" i="13"/>
  <c r="CG249" i="13"/>
  <c r="CG251" i="13"/>
  <c r="CG250" i="13"/>
  <c r="CG252" i="13"/>
  <c r="CG253" i="13"/>
  <c r="CG254" i="13"/>
  <c r="CG255" i="13"/>
  <c r="CG256" i="13"/>
  <c r="CG258" i="13"/>
  <c r="CG257" i="13"/>
  <c r="CG260" i="13"/>
  <c r="CG261" i="13"/>
  <c r="CG259" i="13"/>
  <c r="CG262" i="13"/>
  <c r="CG263" i="13"/>
  <c r="CG265" i="13"/>
  <c r="CG264" i="13"/>
  <c r="CG266" i="13"/>
  <c r="CG269" i="13"/>
  <c r="CG267" i="13"/>
  <c r="CG268" i="13"/>
  <c r="CG271" i="13"/>
  <c r="CG270" i="13"/>
  <c r="CG272" i="13"/>
  <c r="CG274" i="13"/>
  <c r="CG273" i="13"/>
  <c r="CG276" i="13"/>
  <c r="CG277" i="13"/>
  <c r="CG275" i="13"/>
  <c r="CG278" i="13"/>
  <c r="CG279" i="13"/>
  <c r="CG281" i="13"/>
  <c r="CG280" i="13"/>
  <c r="CG282" i="13"/>
  <c r="CG283" i="13"/>
  <c r="CG286" i="13"/>
  <c r="CG284" i="13"/>
  <c r="CG285" i="13"/>
  <c r="CG287" i="13"/>
  <c r="CG289" i="13"/>
  <c r="CG288" i="13"/>
  <c r="CG290" i="13"/>
  <c r="CG291" i="13"/>
  <c r="CG292" i="13"/>
  <c r="CG293" i="13"/>
  <c r="CG294" i="13"/>
  <c r="CG295" i="13"/>
  <c r="CG296" i="13"/>
  <c r="CG297" i="13"/>
  <c r="CG303" i="13"/>
  <c r="CI12" i="13" l="1"/>
  <c r="CI8" i="13"/>
  <c r="CI7" i="13"/>
  <c r="CI10" i="13"/>
  <c r="CI5" i="13"/>
  <c r="CI11" i="13"/>
  <c r="CI4" i="13"/>
  <c r="CI6" i="13"/>
  <c r="CI9" i="13"/>
  <c r="CI13" i="13"/>
  <c r="CK6" i="13" l="1"/>
  <c r="CJ6" i="13"/>
  <c r="D93" i="9" s="1"/>
  <c r="CK5" i="13"/>
  <c r="CJ5" i="13"/>
  <c r="D92" i="9" s="1"/>
  <c r="CK10" i="13"/>
  <c r="CJ10" i="13"/>
  <c r="D97" i="9" s="1"/>
  <c r="CK9" i="13"/>
  <c r="CJ9" i="13"/>
  <c r="D96" i="9" s="1"/>
  <c r="CK7" i="13"/>
  <c r="CJ7" i="13"/>
  <c r="D94" i="9" s="1"/>
  <c r="CK13" i="13"/>
  <c r="CJ13" i="13"/>
  <c r="D100" i="9" s="1"/>
  <c r="CJ4" i="13"/>
  <c r="D84" i="9" s="1"/>
  <c r="CK4" i="13"/>
  <c r="CK8" i="13"/>
  <c r="CJ8" i="13"/>
  <c r="D95" i="9" s="1"/>
  <c r="CK11" i="13"/>
  <c r="CJ11" i="13"/>
  <c r="D98" i="9" s="1"/>
  <c r="CK12" i="13"/>
  <c r="CJ12" i="13"/>
  <c r="D99" i="9" s="1"/>
  <c r="F84" i="9" l="1"/>
  <c r="F87" i="9" s="1"/>
  <c r="CL4" i="13"/>
  <c r="CL9" i="13"/>
  <c r="G96" i="9" s="1"/>
  <c r="E96" i="9"/>
  <c r="F96" i="9" s="1"/>
  <c r="D87" i="9"/>
  <c r="I84" i="9"/>
  <c r="CL13" i="13"/>
  <c r="G100" i="9" s="1"/>
  <c r="E100" i="9"/>
  <c r="F100" i="9" s="1"/>
  <c r="E97" i="9"/>
  <c r="F97" i="9" s="1"/>
  <c r="CL10" i="13"/>
  <c r="G97" i="9" s="1"/>
  <c r="E99" i="9"/>
  <c r="F99" i="9" s="1"/>
  <c r="CL12" i="13"/>
  <c r="G99" i="9" s="1"/>
  <c r="E94" i="9"/>
  <c r="F94" i="9" s="1"/>
  <c r="CL7" i="13"/>
  <c r="G94" i="9" s="1"/>
  <c r="CL5" i="13"/>
  <c r="G92" i="9" s="1"/>
  <c r="E92" i="9"/>
  <c r="F92" i="9" s="1"/>
  <c r="F98" i="9"/>
  <c r="CL8" i="13"/>
  <c r="G95" i="9" s="1"/>
  <c r="E95" i="9"/>
  <c r="F95" i="9" s="1"/>
  <c r="CL11" i="13"/>
  <c r="G98" i="9" s="1"/>
  <c r="E98" i="9"/>
  <c r="E93" i="9"/>
  <c r="F93" i="9" s="1"/>
  <c r="CL6" i="13"/>
  <c r="G93" i="9" s="1"/>
  <c r="I87" i="9" l="1"/>
  <c r="K87"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张玉</author>
  </authors>
  <commentList>
    <comment ref="I29" authorId="0" shapeId="0" xr:uid="{00000000-0006-0000-0800-000001000000}">
      <text>
        <r>
          <rPr>
            <sz val="12"/>
            <color indexed="51"/>
            <rFont val="宋体"/>
            <charset val="134"/>
          </rPr>
          <t xml:space="preserve">指未报名参加传奇联赛！
</t>
        </r>
      </text>
    </comment>
  </commentList>
</comments>
</file>

<file path=xl/sharedStrings.xml><?xml version="1.0" encoding="utf-8"?>
<sst xmlns="http://schemas.openxmlformats.org/spreadsheetml/2006/main" count="19828" uniqueCount="6292">
  <si>
    <t>部落冲突研究笔记</t>
  </si>
  <si>
    <t>家乡大本营</t>
  </si>
  <si>
    <t>加农炮</t>
  </si>
  <si>
    <t>大本营</t>
  </si>
  <si>
    <t>野蛮人</t>
  </si>
  <si>
    <t>雷电法术</t>
  </si>
  <si>
    <t>====联机模式====</t>
  </si>
  <si>
    <t>当前本升级数据</t>
  </si>
  <si>
    <t>地狱飞龙</t>
  </si>
  <si>
    <t>箭塔</t>
  </si>
  <si>
    <t>部落城堡</t>
  </si>
  <si>
    <t>弓箭手</t>
  </si>
  <si>
    <t>疗伤法术</t>
  </si>
  <si>
    <t>搜索费用</t>
  </si>
  <si>
    <t>城墙</t>
  </si>
  <si>
    <t>实验室</t>
  </si>
  <si>
    <t>巨人</t>
  </si>
  <si>
    <t>狂暴法术</t>
  </si>
  <si>
    <t>金水比例</t>
  </si>
  <si>
    <t>圣水</t>
  </si>
  <si>
    <t>迫击炮</t>
  </si>
  <si>
    <t>训练营</t>
  </si>
  <si>
    <t>哥布林</t>
  </si>
  <si>
    <t>弹跳法术</t>
  </si>
  <si>
    <t>黑油比例</t>
  </si>
  <si>
    <t>金币</t>
  </si>
  <si>
    <t>防空火箭</t>
  </si>
  <si>
    <t>暗黑训练营</t>
  </si>
  <si>
    <t>炸弹人</t>
  </si>
  <si>
    <t>冰冻法术</t>
  </si>
  <si>
    <t>金水上限</t>
  </si>
  <si>
    <t>黑油</t>
  </si>
  <si>
    <t>法师塔</t>
  </si>
  <si>
    <t>兵营</t>
  </si>
  <si>
    <t>气球兵</t>
  </si>
  <si>
    <t>镜像法术</t>
  </si>
  <si>
    <t>黑油上限</t>
  </si>
  <si>
    <t>单个工人时间</t>
  </si>
  <si>
    <t>空气炮</t>
  </si>
  <si>
    <t>法术工厂</t>
  </si>
  <si>
    <t>法师</t>
  </si>
  <si>
    <t>隐形法术</t>
  </si>
  <si>
    <t>科技时间</t>
  </si>
  <si>
    <t>伏击电塔</t>
  </si>
  <si>
    <t>暗黑工厂</t>
  </si>
  <si>
    <t>天使</t>
  </si>
  <si>
    <t>召回法术</t>
  </si>
  <si>
    <t>====部落对战====</t>
  </si>
  <si>
    <t>战宠时间</t>
  </si>
  <si>
    <t>炸弹塔</t>
  </si>
  <si>
    <t>攻城工坊</t>
  </si>
  <si>
    <t>飞龙</t>
  </si>
  <si>
    <t>对战经验</t>
  </si>
  <si>
    <t>刷墙金币</t>
  </si>
  <si>
    <t>X连弩</t>
  </si>
  <si>
    <t>圣水泵</t>
  </si>
  <si>
    <t>皮卡超人</t>
  </si>
  <si>
    <t>毒药法术</t>
  </si>
  <si>
    <t>刷墙金水</t>
  </si>
  <si>
    <t>地狱之塔</t>
  </si>
  <si>
    <t>圣水瓶</t>
  </si>
  <si>
    <t>飞龙宝宝</t>
  </si>
  <si>
    <t>地震法术</t>
  </si>
  <si>
    <t>天鹰火炮</t>
  </si>
  <si>
    <t>采金场</t>
  </si>
  <si>
    <t>掘地矿工</t>
  </si>
  <si>
    <t>急速法术</t>
  </si>
  <si>
    <t>巨型电磁组件</t>
  </si>
  <si>
    <t>储金罐</t>
  </si>
  <si>
    <t>雷电飞龙</t>
  </si>
  <si>
    <t>骷髅法术</t>
  </si>
  <si>
    <t>====城堡宝库====</t>
  </si>
  <si>
    <t>从一本至当大本全满</t>
  </si>
  <si>
    <t>投石炮</t>
  </si>
  <si>
    <t>黑油钻井</t>
  </si>
  <si>
    <t>雪怪</t>
  </si>
  <si>
    <t>蝙蝠法术</t>
  </si>
  <si>
    <r>
      <rPr>
        <sz val="11"/>
        <color rgb="FFFFFFFF"/>
        <rFont val="黑体"/>
        <charset val="134"/>
      </rPr>
      <t>注意："&gt;&gt;进入"按钮仅</t>
    </r>
    <r>
      <rPr>
        <b/>
        <sz val="11"/>
        <color rgb="FFFFFFFF"/>
        <rFont val="黑体"/>
        <charset val="134"/>
      </rPr>
      <t>电脑</t>
    </r>
    <r>
      <rPr>
        <sz val="11"/>
        <color rgb="FFFFFFFF"/>
        <rFont val="黑体"/>
        <charset val="134"/>
      </rPr>
      <t>有效</t>
    </r>
  </si>
  <si>
    <t>连弩小屋组件</t>
  </si>
  <si>
    <t>黑油罐</t>
  </si>
  <si>
    <t>龙骑士</t>
  </si>
  <si>
    <t>法术塔</t>
  </si>
  <si>
    <t>战宠小屋</t>
  </si>
  <si>
    <t>雷霆泰坦</t>
  </si>
  <si>
    <t>巨石碑</t>
  </si>
  <si>
    <t>====资源车====</t>
  </si>
  <si>
    <t>冰爆地狱组件</t>
  </si>
  <si>
    <t>亡灵</t>
  </si>
  <si>
    <t>攻城战车</t>
  </si>
  <si>
    <t>毒爆地狱组件</t>
  </si>
  <si>
    <t>野猪骑士</t>
  </si>
  <si>
    <t>攻城飞艇</t>
  </si>
  <si>
    <t>魔能地狱组件</t>
  </si>
  <si>
    <t>武神</t>
  </si>
  <si>
    <t>攻城气球</t>
  </si>
  <si>
    <t>金水填充</t>
  </si>
  <si>
    <t>戈仑石人</t>
  </si>
  <si>
    <t>攻城训练营</t>
  </si>
  <si>
    <t>黑油填充</t>
  </si>
  <si>
    <t>颜色主题</t>
  </si>
  <si>
    <t>魔法</t>
  </si>
  <si>
    <t>女巫</t>
  </si>
  <si>
    <t>滚木战车</t>
  </si>
  <si>
    <t>隐形炸弹</t>
  </si>
  <si>
    <t>野蛮人之王</t>
  </si>
  <si>
    <t>熔岩猎犬</t>
  </si>
  <si>
    <t>投石战车</t>
  </si>
  <si>
    <t>空中炸弹</t>
  </si>
  <si>
    <t>弓箭女皇</t>
  </si>
  <si>
    <t>巨石投手</t>
  </si>
  <si>
    <t>攻城钻机</t>
  </si>
  <si>
    <t>====升本激励====</t>
  </si>
  <si>
    <t>搜空地雷</t>
  </si>
  <si>
    <t>大守护者</t>
  </si>
  <si>
    <t>戈仑冰人</t>
  </si>
  <si>
    <t>英雄等级+5</t>
  </si>
  <si>
    <t>隐形弹簧</t>
  </si>
  <si>
    <t>飞盾战神</t>
  </si>
  <si>
    <t>英雄猎手</t>
  </si>
  <si>
    <t>莱希</t>
  </si>
  <si>
    <t>科技至满</t>
  </si>
  <si>
    <t>巨型炸弹</t>
  </si>
  <si>
    <t>大牦</t>
  </si>
  <si>
    <t>采集器*2</t>
  </si>
  <si>
    <t>骷髅陷阱</t>
  </si>
  <si>
    <t>闪枭</t>
  </si>
  <si>
    <t>胜利之星*4</t>
  </si>
  <si>
    <t>飓风陷阱</t>
  </si>
  <si>
    <t>独角</t>
  </si>
  <si>
    <t>冰牙</t>
  </si>
  <si>
    <t>====回归奖励====</t>
  </si>
  <si>
    <t>地兽</t>
  </si>
  <si>
    <t>建筑预算</t>
  </si>
  <si>
    <t>猛蜥</t>
  </si>
  <si>
    <t>英雄预算</t>
  </si>
  <si>
    <t>凤凰</t>
  </si>
  <si>
    <t>城墙预算</t>
  </si>
  <si>
    <t>科技预算</t>
  </si>
  <si>
    <t>夜本大本营</t>
  </si>
  <si>
    <t>联排城墙</t>
  </si>
  <si>
    <t>狂暴野蛮人</t>
  </si>
  <si>
    <t>隐秘弓箭手</t>
  </si>
  <si>
    <t>双管加农炮</t>
  </si>
  <si>
    <t>小型兵营</t>
  </si>
  <si>
    <t>巨人拳击手</t>
  </si>
  <si>
    <t>多功能箭塔</t>
  </si>
  <si>
    <t>异变亡灵</t>
  </si>
  <si>
    <t>炸弹兵</t>
  </si>
  <si>
    <t>防空火炮</t>
  </si>
  <si>
    <t>撼地巨石</t>
  </si>
  <si>
    <t>加农炮战车</t>
  </si>
  <si>
    <t>守卫岗哨</t>
  </si>
  <si>
    <t>暗夜女巫</t>
  </si>
  <si>
    <t>空中炸弹发射器</t>
  </si>
  <si>
    <t>宝石矿井</t>
  </si>
  <si>
    <t>骷髅气球</t>
  </si>
  <si>
    <t>多管迫击炮</t>
  </si>
  <si>
    <t>时光钟楼</t>
  </si>
  <si>
    <t>超级皮卡</t>
  </si>
  <si>
    <t>熔岩火炮</t>
  </si>
  <si>
    <t>野猪飞骑</t>
  </si>
  <si>
    <t>巨型大炮</t>
  </si>
  <si>
    <t>弹射陷阱</t>
  </si>
  <si>
    <t/>
  </si>
  <si>
    <t>超级电塔</t>
  </si>
  <si>
    <t>战争机器</t>
  </si>
  <si>
    <t>小型地雷</t>
  </si>
  <si>
    <t>大型地雷</t>
  </si>
  <si>
    <t>部落都城</t>
  </si>
  <si>
    <t>都城之巅</t>
  </si>
  <si>
    <t>野蛮人营地</t>
  </si>
  <si>
    <t>法师山谷</t>
  </si>
  <si>
    <t>气球环焦</t>
  </si>
  <si>
    <t>建筑工人工坊</t>
  </si>
  <si>
    <t>飞龙悬崖</t>
  </si>
  <si>
    <t>戈仑石场</t>
  </si>
  <si>
    <t>骷髅公园</t>
  </si>
  <si>
    <t>投矛器</t>
  </si>
  <si>
    <t>多管加农炮</t>
  </si>
  <si>
    <t>超级法师塔</t>
  </si>
  <si>
    <t>超级特斯拉电塔</t>
  </si>
  <si>
    <t>疾速火箭</t>
  </si>
  <si>
    <t>巨型加农炮</t>
  </si>
  <si>
    <t>爆炸强弩</t>
  </si>
  <si>
    <t>超级飞龙岗哨</t>
  </si>
  <si>
    <t>突袭炮车岗哨</t>
  </si>
  <si>
    <t>火箭炮</t>
  </si>
  <si>
    <t>特斯拉电塔</t>
  </si>
  <si>
    <t>超级巨人岗哨</t>
  </si>
  <si>
    <t>迷你亡灵巢穴</t>
  </si>
  <si>
    <t>火箭气球兵训练营</t>
  </si>
  <si>
    <t>突袭炮车训练营</t>
  </si>
  <si>
    <t>高山戈仑石场</t>
  </si>
  <si>
    <t>反弹机</t>
  </si>
  <si>
    <t>超级野蛮人训练营</t>
  </si>
  <si>
    <t>法术仓库</t>
  </si>
  <si>
    <t>骷髅飞桶训练营</t>
  </si>
  <si>
    <t>超级皮卡训练营</t>
  </si>
  <si>
    <t>野猪特工队训练营</t>
  </si>
  <si>
    <t>隐秘弓箭手训练营</t>
  </si>
  <si>
    <t>超级法师训练营</t>
  </si>
  <si>
    <t>空中堡垒工坊</t>
  </si>
  <si>
    <t>冰霜法术工厂</t>
  </si>
  <si>
    <t>超级飞龙训练营</t>
  </si>
  <si>
    <t>地狱飞龙训练营</t>
  </si>
  <si>
    <t>超级巨人训练营</t>
  </si>
  <si>
    <t>疗伤法术工厂</t>
  </si>
  <si>
    <t>雷电法术工厂</t>
  </si>
  <si>
    <t>狂暴法术工厂</t>
  </si>
  <si>
    <t>骷髅召唤法术工厂</t>
  </si>
  <si>
    <t>野蛮人攻城槌训练营</t>
  </si>
  <si>
    <t>弹跳法术工厂</t>
  </si>
  <si>
    <t>亡灵训练营</t>
  </si>
  <si>
    <t>地雷</t>
  </si>
  <si>
    <t>巨型地雷</t>
  </si>
  <si>
    <t>滚木陷阱</t>
  </si>
  <si>
    <t>电击陷阱</t>
  </si>
  <si>
    <t>平顶屋</t>
  </si>
  <si>
    <t>部落营房</t>
  </si>
  <si>
    <t>小屋</t>
  </si>
  <si>
    <t>稻草屋</t>
  </si>
  <si>
    <t>木屋</t>
  </si>
  <si>
    <t>平顶木屋</t>
  </si>
  <si>
    <t>斜顶屋</t>
  </si>
  <si>
    <t>点我进入小羊的小窝，可私信反馈&gt;&gt;&gt;</t>
  </si>
  <si>
    <t>开发者：斫冰扬灵、拥抱鲜花的小羊</t>
  </si>
  <si>
    <t>2.1 家乡主力军</t>
  </si>
  <si>
    <t>圣水军队</t>
  </si>
  <si>
    <t>无畏英雄</t>
  </si>
  <si>
    <t>备注：所有英雄都会在临死前放出自己的技能</t>
  </si>
  <si>
    <t>一场战斗中必不可少的军队，是战争体系的流砥柱。</t>
  </si>
  <si>
    <t>索引：</t>
  </si>
  <si>
    <t>01.野蛮人</t>
  </si>
  <si>
    <t>野蛮人 Barbarian</t>
  </si>
  <si>
    <t>弓箭手 Archer</t>
  </si>
  <si>
    <t>箭矢</t>
  </si>
  <si>
    <t>巨人 Giant</t>
  </si>
  <si>
    <t>01.野蛮人之王</t>
  </si>
  <si>
    <t>大本等级</t>
  </si>
  <si>
    <t>图例样式</t>
  </si>
  <si>
    <t>简介</t>
  </si>
  <si>
    <t>02.弓箭手</t>
  </si>
  <si>
    <t>攻击任何陆军</t>
  </si>
  <si>
    <t>等级</t>
  </si>
  <si>
    <t>生命值</t>
  </si>
  <si>
    <t>每秒伤害</t>
  </si>
  <si>
    <t>升级成本</t>
  </si>
  <si>
    <t>升级时间</t>
  </si>
  <si>
    <t>攻击任何陆空</t>
  </si>
  <si>
    <t>优先攻击防御</t>
  </si>
  <si>
    <t>每次伤害</t>
  </si>
  <si>
    <t>02.弓箭女皇</t>
  </si>
  <si>
    <t>野蛮人之王 Barbarian King</t>
  </si>
  <si>
    <t>弓箭女皇 Archer Queen</t>
  </si>
  <si>
    <t>霰弹弩箭</t>
  </si>
  <si>
    <t>1~6本</t>
  </si>
  <si>
    <t>新手诞生</t>
  </si>
  <si>
    <t>03.巨人</t>
  </si>
  <si>
    <t>射程：0.4格</t>
  </si>
  <si>
    <t>射程：3.5格</t>
  </si>
  <si>
    <t>射程：1格</t>
  </si>
  <si>
    <t>03.大守护者</t>
  </si>
  <si>
    <t>恢复时间</t>
  </si>
  <si>
    <t>技能等级</t>
  </si>
  <si>
    <t>生命恢复</t>
  </si>
  <si>
    <t>移速增加</t>
  </si>
  <si>
    <t>秒伤增加</t>
  </si>
  <si>
    <t>召唤数量</t>
  </si>
  <si>
    <t>隐身时长</t>
  </si>
  <si>
    <t>07本</t>
  </si>
  <si>
    <t>游戏开始</t>
  </si>
  <si>
    <t>04.哥布林</t>
  </si>
  <si>
    <t>攻速：1秒/次</t>
  </si>
  <si>
    <t>攻速：2秒/次</t>
  </si>
  <si>
    <t>04.飞盾战神</t>
  </si>
  <si>
    <t>射程：5格</t>
  </si>
  <si>
    <t>08本</t>
  </si>
  <si>
    <t>游戏渐进</t>
  </si>
  <si>
    <t>05.炸弹人</t>
  </si>
  <si>
    <t>移速：2.0格/秒</t>
  </si>
  <si>
    <t>移速：3.0格/秒</t>
  </si>
  <si>
    <t>移速：1.5格/秒</t>
  </si>
  <si>
    <t>攻速：1.2秒/次</t>
  </si>
  <si>
    <t>攻速：0.75秒/次</t>
  </si>
  <si>
    <t>09本</t>
  </si>
  <si>
    <t>渐入高潮</t>
  </si>
  <si>
    <t>06.气球兵</t>
  </si>
  <si>
    <t>单体攻击</t>
  </si>
  <si>
    <t>&gt;&gt;圣水军队</t>
  </si>
  <si>
    <t>10本</t>
  </si>
  <si>
    <t>炽热之心</t>
  </si>
  <si>
    <t>07.法师</t>
  </si>
  <si>
    <t>&gt;&gt;黑油军队</t>
  </si>
  <si>
    <t>巡逻半径:</t>
  </si>
  <si>
    <t>3格</t>
  </si>
  <si>
    <t>11本</t>
  </si>
  <si>
    <t>重锤出击</t>
  </si>
  <si>
    <t>08.天使</t>
  </si>
  <si>
    <t>&gt;&gt;战争宠物</t>
  </si>
  <si>
    <t>警戒半径:</t>
  </si>
  <si>
    <t>12格</t>
  </si>
  <si>
    <t>13格</t>
  </si>
  <si>
    <t>12本</t>
  </si>
  <si>
    <t>绝地反击</t>
  </si>
  <si>
    <t>09.飞龙</t>
  </si>
  <si>
    <t>占用空间：1</t>
  </si>
  <si>
    <t>占用空间：5</t>
  </si>
  <si>
    <t>○主界面</t>
  </si>
  <si>
    <t>搜索半径:</t>
  </si>
  <si>
    <t>9格</t>
  </si>
  <si>
    <t>10格</t>
  </si>
  <si>
    <r>
      <rPr>
        <sz val="11"/>
        <color rgb="FFFFFFFF"/>
        <rFont val="黑体"/>
        <charset val="134"/>
      </rPr>
      <t>1</t>
    </r>
    <r>
      <rPr>
        <sz val="11"/>
        <color rgb="FFFFFFFF"/>
        <rFont val="黑体"/>
        <charset val="134"/>
      </rPr>
      <t>3</t>
    </r>
    <r>
      <rPr>
        <sz val="11"/>
        <color rgb="FFFFFFFF"/>
        <rFont val="黑体"/>
        <charset val="134"/>
      </rPr>
      <t>本</t>
    </r>
  </si>
  <si>
    <t>冰火合奏</t>
  </si>
  <si>
    <t>10.皮卡超人</t>
  </si>
  <si>
    <t>训练时间：5秒</t>
  </si>
  <si>
    <t>训练时间：6秒</t>
  </si>
  <si>
    <t>训练时间：30秒</t>
  </si>
  <si>
    <t>技能持续</t>
  </si>
  <si>
    <t>10秒</t>
  </si>
  <si>
    <t>可变</t>
  </si>
  <si>
    <t>14本</t>
  </si>
  <si>
    <t>远古结晶</t>
  </si>
  <si>
    <t>11.飞龙宝宝</t>
  </si>
  <si>
    <t>权重：50/100</t>
  </si>
  <si>
    <t>权重：600/500</t>
  </si>
  <si>
    <t>技能半径</t>
  </si>
  <si>
    <t>2.5格</t>
  </si>
  <si>
    <t>召唤兵种</t>
  </si>
  <si>
    <t>15本</t>
  </si>
  <si>
    <t>魔法挑战</t>
  </si>
  <si>
    <t>12.掘地矿工</t>
  </si>
  <si>
    <t>权重：2100/500</t>
  </si>
  <si>
    <t>13.雷电飞龙</t>
  </si>
  <si>
    <t>王座生命值</t>
  </si>
  <si>
    <t>14.雪怪</t>
  </si>
  <si>
    <t>权重：2100/2500</t>
  </si>
  <si>
    <t>可用皮肤</t>
  </si>
  <si>
    <t>15.龙骑士</t>
  </si>
  <si>
    <t>哥布林 Goblin</t>
  </si>
  <si>
    <t>气球兵 Balloon</t>
  </si>
  <si>
    <t>气球炸弹</t>
  </si>
  <si>
    <t>角斗士女皇 May 21</t>
  </si>
  <si>
    <t>16.雷霆泰坦</t>
  </si>
  <si>
    <t>优先攻击资源</t>
  </si>
  <si>
    <t>资源伤害</t>
  </si>
  <si>
    <t>坠落伤害</t>
  </si>
  <si>
    <t>角斗士之王 Apr 19</t>
  </si>
  <si>
    <t>瓦基丽女皇 Jul 19</t>
  </si>
  <si>
    <t>炸弹人 Wall Breaker</t>
  </si>
  <si>
    <t>射程：0.5格</t>
  </si>
  <si>
    <t>皮卡蛮王 Jun 19</t>
  </si>
  <si>
    <t>金秋女皇 Sep 19</t>
  </si>
  <si>
    <t>优先攻击城墙</t>
  </si>
  <si>
    <t>伤害</t>
  </si>
  <si>
    <t>死亡伤害</t>
  </si>
  <si>
    <t>对墙伤害</t>
  </si>
  <si>
    <t>攻速：3秒/次</t>
  </si>
  <si>
    <t>骷髅蛮王 Oct 19</t>
  </si>
  <si>
    <t>冰雪女皇 Nov 19</t>
  </si>
  <si>
    <t>&gt;&gt;无畏英雄</t>
  </si>
  <si>
    <t>移速：4.0格/秒</t>
  </si>
  <si>
    <t>移速：1.3格/秒</t>
  </si>
  <si>
    <t>圣诞蛮王 Dec 19</t>
  </si>
  <si>
    <t>巾帼木兰 Dec 19</t>
  </si>
  <si>
    <t>克资源(伤害*2)</t>
  </si>
  <si>
    <t>攻速：1秒</t>
  </si>
  <si>
    <t>溅射半径：1.2格</t>
  </si>
  <si>
    <t>原始蛮王 Feb 20</t>
  </si>
  <si>
    <t>原始女皇 Mar 20</t>
  </si>
  <si>
    <t>出手时间：0.75秒</t>
  </si>
  <si>
    <t>发条木偶蛮王 May 20</t>
  </si>
  <si>
    <t>发条木偶女皇 Jun 20</t>
  </si>
  <si>
    <t>克城墙*40</t>
  </si>
  <si>
    <t>自爆半径：1.2格</t>
  </si>
  <si>
    <t>派对蛮王 Aug 20</t>
  </si>
  <si>
    <t>海盗女皇 Sep 20</t>
  </si>
  <si>
    <t>溅射半径：0.8格</t>
  </si>
  <si>
    <t>坠落时长：0.416秒</t>
  </si>
  <si>
    <t>冠军蛮王 Oct 20</t>
  </si>
  <si>
    <t>绿林女皇 Feb 21</t>
  </si>
  <si>
    <t>训练时间：7秒</t>
  </si>
  <si>
    <t>自爆半径：1.5格</t>
  </si>
  <si>
    <t>海盗蛮王 Nov 20</t>
  </si>
  <si>
    <t>丛林女皇 Jun 21</t>
  </si>
  <si>
    <t>权重：50/50</t>
  </si>
  <si>
    <t>占用空间：2</t>
  </si>
  <si>
    <t>武将蛮王 Feb 21</t>
  </si>
  <si>
    <t>派对女皇 Aug 21</t>
  </si>
  <si>
    <t>训练时间：15秒</t>
  </si>
  <si>
    <t>绿林蛮王 Mar 21</t>
  </si>
  <si>
    <t>冠军女皇 Nov 21</t>
  </si>
  <si>
    <t>猛武蛮王 Jun 21</t>
  </si>
  <si>
    <t>暗夜女皇 Jan 22</t>
  </si>
  <si>
    <t>法师 Wizard</t>
  </si>
  <si>
    <t>魔法火球</t>
  </si>
  <si>
    <t>飞龙 Dragon</t>
  </si>
  <si>
    <t>龙息</t>
  </si>
  <si>
    <t>丛林蛮王 Jul 21</t>
  </si>
  <si>
    <t>矿工女皇 May 22</t>
  </si>
  <si>
    <t>警告：死亡伤害无法被狂暴提升！</t>
  </si>
  <si>
    <t>律动蛮王 Aug 21</t>
  </si>
  <si>
    <t>夏日女皇 Jun 22</t>
  </si>
  <si>
    <t>射程：3格</t>
  </si>
  <si>
    <t>戈仑蛮王 Nov 21</t>
  </si>
  <si>
    <t>像素女皇 Aug 22</t>
  </si>
  <si>
    <t>攻速：1.5秒/次</t>
  </si>
  <si>
    <t>天使 Healer</t>
  </si>
  <si>
    <t>医疗波</t>
  </si>
  <si>
    <t>攻速：1.25秒/次</t>
  </si>
  <si>
    <t>冰雪蛮王 Dec 21</t>
  </si>
  <si>
    <t>惊魂女皇 Oct 22</t>
  </si>
  <si>
    <t>治疗附近陆军</t>
  </si>
  <si>
    <t>军队秒疗</t>
  </si>
  <si>
    <t>英雄秒疗</t>
  </si>
  <si>
    <t>威虎蛮王 Feb 22</t>
  </si>
  <si>
    <t>魔法女皇 Oct 22</t>
  </si>
  <si>
    <t>溅射半径：0.3格</t>
  </si>
  <si>
    <t>暗黑蛮王 Apr 22</t>
  </si>
  <si>
    <t>圣诞女皇 Dec 22</t>
  </si>
  <si>
    <t>攻速：0.7秒/次</t>
  </si>
  <si>
    <t>夏日蛮王 Jun 22</t>
  </si>
  <si>
    <t>像素蛮王 Aug 22</t>
  </si>
  <si>
    <t>占用空间：4</t>
  </si>
  <si>
    <t>治疗半径：1.5格</t>
  </si>
  <si>
    <t>占用空间：20</t>
  </si>
  <si>
    <t>盛典蛮王 Sep 22</t>
  </si>
  <si>
    <t>训练时间：3分钟</t>
  </si>
  <si>
    <t>魔法蛮王 Oct 22</t>
  </si>
  <si>
    <t>权重：600/200</t>
  </si>
  <si>
    <t>权重：2000/2000</t>
  </si>
  <si>
    <t>占用空间：14</t>
  </si>
  <si>
    <t>训练时间：2分钟</t>
  </si>
  <si>
    <t>治疗叠加效果为100%,100%,90%,90%,70%,40%,10%,0</t>
  </si>
  <si>
    <t>皮卡超人 PEKKA</t>
  </si>
  <si>
    <t>权重：200/30</t>
  </si>
  <si>
    <t>由于每次治疗相对意义不大，这里没有列出。</t>
  </si>
  <si>
    <t>掘地矿工 Miner</t>
  </si>
  <si>
    <t>射程：0.8格</t>
  </si>
  <si>
    <t>射程：0.6格</t>
  </si>
  <si>
    <t>攻速：1.8秒/次</t>
  </si>
  <si>
    <t>飞龙宝宝 BabyDragon</t>
  </si>
  <si>
    <t>小火球</t>
  </si>
  <si>
    <t>攻速：1.7秒/次</t>
  </si>
  <si>
    <t>狂暴秒伤</t>
  </si>
  <si>
    <t>射程：2.75格</t>
  </si>
  <si>
    <t>移速：2.5格/秒</t>
  </si>
  <si>
    <t>占用空间：25</t>
  </si>
  <si>
    <t>占用空间：6</t>
  </si>
  <si>
    <t>权重：2500/2000</t>
  </si>
  <si>
    <t>占用空间：10</t>
  </si>
  <si>
    <t>备注1：切换目标需要1到1.25秒的钻地时间</t>
  </si>
  <si>
    <t>雷电飞龙 Electro Dragon</t>
  </si>
  <si>
    <t>连锁闪电</t>
  </si>
  <si>
    <t>训练时间：90秒</t>
  </si>
  <si>
    <t>备注2：作为防守援兵时不会钻地，移速为2.5格/秒</t>
  </si>
  <si>
    <t>最终雷电</t>
  </si>
  <si>
    <t>权重：1000/1000</t>
  </si>
  <si>
    <t>备注：4.5格附近无飞行友军时，每次伤害*2、攻速0.67秒/次</t>
  </si>
  <si>
    <t>65*6</t>
  </si>
  <si>
    <t>每秒伤害相当于原来的3倍</t>
  </si>
  <si>
    <t>攻速：3.5秒/次</t>
  </si>
  <si>
    <t>75*6</t>
  </si>
  <si>
    <t>雪怪 Yeti</t>
  </si>
  <si>
    <t>小雪怪 Yetimite</t>
  </si>
  <si>
    <t>热情拥抱</t>
  </si>
  <si>
    <t>移速：1.6格/秒</t>
  </si>
  <si>
    <t>85*6</t>
  </si>
  <si>
    <t>生成单位</t>
  </si>
  <si>
    <t>防御伤害</t>
  </si>
  <si>
    <t>大本伤害</t>
  </si>
  <si>
    <t>连锁极限：3格</t>
  </si>
  <si>
    <t>95*6</t>
  </si>
  <si>
    <t>射程：2.0格</t>
  </si>
  <si>
    <t>连锁衰减：20%</t>
  </si>
  <si>
    <t>105*6</t>
  </si>
  <si>
    <t>连锁延迟：0.128秒</t>
  </si>
  <si>
    <t>115*6</t>
  </si>
  <si>
    <t>出手时间：0.5秒</t>
  </si>
  <si>
    <t>占用空间：30</t>
  </si>
  <si>
    <t>备注1：闪电下一次连锁的伤害是上一次的80%，最多攻击5个目标。</t>
  </si>
  <si>
    <t>克防御*4</t>
  </si>
  <si>
    <t>训练时间：6分钟</t>
  </si>
  <si>
    <t>备注2：电龙被消灭后会释放闪电，伤害机制等同于旧版雷电法术（可攻击资源建筑）。</t>
  </si>
  <si>
    <t>投放距离：1格</t>
  </si>
  <si>
    <t>权重：3000/2000</t>
  </si>
  <si>
    <t>备注3：电流优先连锁近距离目标，而距离相同时选择当前生命值（实测上限）最高目标。</t>
  </si>
  <si>
    <t>可以跳墙</t>
  </si>
  <si>
    <t>备注：小雪怪再也不能触发陷阱和援军了.....</t>
  </si>
  <si>
    <t>占用空间：18</t>
  </si>
  <si>
    <t>备注1：生存时每受到600伤害投放一个雪怪</t>
  </si>
  <si>
    <t>占用空间：3</t>
  </si>
  <si>
    <t>备注2：因为资源建筑的特殊的结构，小雪怪对资源伤害尤其是大本营只有50%（*4*50%）了</t>
  </si>
  <si>
    <t>备注2：被消灭后一次性投出余下未投放的小雪怪</t>
  </si>
  <si>
    <t>权重：100/100</t>
  </si>
  <si>
    <t>龙骑士 Dragon Rider</t>
  </si>
  <si>
    <t>炮弹</t>
  </si>
  <si>
    <t>权重：1800/1800</t>
  </si>
  <si>
    <t>射程：4.0格</t>
  </si>
  <si>
    <t>雷霆泰坦 Electro Titan</t>
  </si>
  <si>
    <t>光环每秒伤害</t>
  </si>
  <si>
    <t>光环英雄秒伤</t>
  </si>
  <si>
    <t>射程：1.25格</t>
  </si>
  <si>
    <t>自爆半径：2格</t>
  </si>
  <si>
    <t>坠落时长：0.6秒</t>
  </si>
  <si>
    <t>光环半径：3.5格</t>
  </si>
  <si>
    <t>训练时间：1000秒</t>
  </si>
  <si>
    <t>光环攻速：0.4秒/次</t>
  </si>
  <si>
    <t>权重：2500/2500</t>
  </si>
  <si>
    <t>占用空间：32</t>
  </si>
  <si>
    <t>黑油军队</t>
  </si>
  <si>
    <t>权重：3000/3000</t>
  </si>
  <si>
    <t>备注：光环对英雄25%伤害</t>
  </si>
  <si>
    <t>01.亡灵</t>
  </si>
  <si>
    <t>02.野猪骑士</t>
  </si>
  <si>
    <t>亡灵 Gargoyle</t>
  </si>
  <si>
    <t>谢特</t>
  </si>
  <si>
    <t>野猪骑士 Boar Rider</t>
  </si>
  <si>
    <t>武神 Valkyrie</t>
  </si>
  <si>
    <t>03.武神</t>
  </si>
  <si>
    <t>04.戈仑石人</t>
  </si>
  <si>
    <t>05.女巫</t>
  </si>
  <si>
    <t>06.熔岩猎犬</t>
  </si>
  <si>
    <t>07.巨石投手</t>
  </si>
  <si>
    <t>溅射半径：1格</t>
  </si>
  <si>
    <t>08.戈仑冰人</t>
  </si>
  <si>
    <t>出手时间：0.6秒</t>
  </si>
  <si>
    <t>09.英雄猎手</t>
  </si>
  <si>
    <t>占用空间：8</t>
  </si>
  <si>
    <t>训练时间：18秒</t>
  </si>
  <si>
    <t>训练时间：45秒</t>
  </si>
  <si>
    <t>训练时间：1分30秒</t>
  </si>
  <si>
    <t>权重：150/100</t>
  </si>
  <si>
    <t>戈仑石人 Golem</t>
  </si>
  <si>
    <t>女巫 Warlock</t>
  </si>
  <si>
    <t>黑魔法</t>
  </si>
  <si>
    <t>熔岩猎犬 AirDefenceSeeker</t>
  </si>
  <si>
    <t>大熔岩块</t>
  </si>
  <si>
    <t>大守护者 Grand Warden</t>
  </si>
  <si>
    <t>审判光束</t>
  </si>
  <si>
    <t>生命光环</t>
  </si>
  <si>
    <t>永恒书卷</t>
  </si>
  <si>
    <t>飞盾战神 Warrior Princess</t>
  </si>
  <si>
    <t>亚马孙矛</t>
  </si>
  <si>
    <t>牛盾</t>
  </si>
  <si>
    <t xml:space="preserve">每秒伤害 </t>
  </si>
  <si>
    <t>自爆伤害</t>
  </si>
  <si>
    <t>召唤上限</t>
  </si>
  <si>
    <t>优先攻击火箭</t>
  </si>
  <si>
    <t>分裂数量</t>
  </si>
  <si>
    <t>提升生命</t>
  </si>
  <si>
    <t>提升上限</t>
  </si>
  <si>
    <t>无敌时长</t>
  </si>
  <si>
    <t>飞盘伤害</t>
  </si>
  <si>
    <t>弹射数量</t>
  </si>
  <si>
    <t>射程：4格</t>
  </si>
  <si>
    <t>射程：0.75格</t>
  </si>
  <si>
    <t>射程：7格/6.6格</t>
  </si>
  <si>
    <t>攻速：2.4秒/次</t>
  </si>
  <si>
    <t>溅射半径：0.3</t>
  </si>
  <si>
    <t>生命光环：</t>
  </si>
  <si>
    <t>死亡分裂：小石人</t>
  </si>
  <si>
    <t>召唤间隔：7.0秒</t>
  </si>
  <si>
    <t>永恒书卷：</t>
  </si>
  <si>
    <t>6格</t>
  </si>
  <si>
    <t>召唤数量：4个</t>
  </si>
  <si>
    <t>防守半径:</t>
  </si>
  <si>
    <t>占用空间：12</t>
  </si>
  <si>
    <t>出手时间：0.4秒</t>
  </si>
  <si>
    <t>训练时间：5分钟</t>
  </si>
  <si>
    <t>备注：开始召唤后骷髅将会在女巫自身半径1.5格内生成。</t>
  </si>
  <si>
    <t>备注：熔岩猎犬被消灭后在3.5格内生成小熔岩犬</t>
  </si>
  <si>
    <t>权重：1000/3000</t>
  </si>
  <si>
    <t>权重：1200/200</t>
  </si>
  <si>
    <t>权重：950/3000</t>
  </si>
  <si>
    <t>权重：2100/1000</t>
  </si>
  <si>
    <t>派对守护者 Aug 19</t>
  </si>
  <si>
    <t>凛冬战神 Dec 20</t>
  </si>
  <si>
    <t>原始守护者 Jan 20</t>
  </si>
  <si>
    <t>绿林战神 Apr 21</t>
  </si>
  <si>
    <t>发条木偶守护者 Apr 20</t>
  </si>
  <si>
    <t>丛林战神 Apr 21</t>
  </si>
  <si>
    <t>小石人 Golem Secondary</t>
  </si>
  <si>
    <t>骷髅兵 Skeleton</t>
  </si>
  <si>
    <t>小熔岩犬 AirDefenceSeekerFragment</t>
  </si>
  <si>
    <t>小熔岩块</t>
  </si>
  <si>
    <t>角斗士守护者 Jul 20</t>
  </si>
  <si>
    <t>角斗士战神 Sep 21</t>
  </si>
  <si>
    <t>死亡爆炸</t>
  </si>
  <si>
    <t>生命值：30</t>
  </si>
  <si>
    <t>生命值：50</t>
  </si>
  <si>
    <t>海盗守护者 Oct 20</t>
  </si>
  <si>
    <t>暗黑战神 Mar 22</t>
  </si>
  <si>
    <t>每秒伤害：25</t>
  </si>
  <si>
    <t>每秒伤害：35</t>
  </si>
  <si>
    <t>北境守护者 Jan 21</t>
  </si>
  <si>
    <t>原始战神 Mar 22</t>
  </si>
  <si>
    <t>丛林守护者 May 21</t>
  </si>
  <si>
    <t>夏日战神 Jun 22</t>
  </si>
  <si>
    <t>宗师守护者 Oct 21</t>
  </si>
  <si>
    <t>像素战神 Aug 22</t>
  </si>
  <si>
    <t>圣诞守护者 Dec 21</t>
  </si>
  <si>
    <t>派对战神 Aug 22</t>
  </si>
  <si>
    <t>勇武守护者 Feb 22</t>
  </si>
  <si>
    <t>魔法战神 Oct 22</t>
  </si>
  <si>
    <t>占用空间：15</t>
  </si>
  <si>
    <t>暗黑守护者 Apr 22</t>
  </si>
  <si>
    <t>海上战神 Nov 22</t>
  </si>
  <si>
    <t>权重：200/600</t>
  </si>
  <si>
    <t>夏日守护者 Jun 22</t>
  </si>
  <si>
    <t>像素守护者 Aug 22</t>
  </si>
  <si>
    <t>冠军守护者 Sep 22</t>
  </si>
  <si>
    <t>魔法守护者 Oct 22</t>
  </si>
  <si>
    <t>巨石投手 Bowler</t>
  </si>
  <si>
    <t>弹跳石</t>
  </si>
  <si>
    <t>戈仑冰人 Ice Golem</t>
  </si>
  <si>
    <t>土块</t>
  </si>
  <si>
    <t>进攻冰冻</t>
  </si>
  <si>
    <t>防守冰冻</t>
  </si>
  <si>
    <t>优先攻击英雄</t>
  </si>
  <si>
    <t>英雄伤害</t>
  </si>
  <si>
    <t>移速削弱</t>
  </si>
  <si>
    <t>攻速削弱</t>
  </si>
  <si>
    <t>射程：3.0格</t>
  </si>
  <si>
    <t>攻速：2.2秒/次</t>
  </si>
  <si>
    <t>攻速：0.6秒/次</t>
  </si>
  <si>
    <t>移速：1.75格/秒</t>
  </si>
  <si>
    <t>出手时间：1.1秒</t>
  </si>
  <si>
    <t>死亡冰冻敌军</t>
  </si>
  <si>
    <t>克英雄*4</t>
  </si>
  <si>
    <t>备注1：被这家伙击中的人在2秒内同时降低50%的移速和攻速。</t>
  </si>
  <si>
    <t>备注1：战神从释放技能到扔出盾牌需要1.2秒，如果期间被杀死则无法放出盾牌</t>
  </si>
  <si>
    <t>训练时间：1分钟</t>
  </si>
  <si>
    <t>备注：蓝胖投出的石头会向后跳跃4格距离。</t>
  </si>
  <si>
    <t>训练时间：2分30秒</t>
  </si>
  <si>
    <t>备注2：死亡释放冰冻，进攻时范围7.5格，防守时则为5.5格。</t>
  </si>
  <si>
    <t>被英雄猎手击中的非建筑单位会受到3秒毒药的减速效果。</t>
  </si>
  <si>
    <t>备注2：飞盘会冲向最近的防御建筑，几乎无距离限制(71格)，总伤害量=飞盘伤害*4</t>
  </si>
  <si>
    <t>战争宠物</t>
  </si>
  <si>
    <t>01.莱希</t>
  </si>
  <si>
    <t>莱希 Barky</t>
  </si>
  <si>
    <t>大牦 Bulldozer</t>
  </si>
  <si>
    <t>冰牙 Frosty</t>
  </si>
  <si>
    <t>召唤小冰怪，时间间隔：8秒</t>
  </si>
  <si>
    <t>02.大牦</t>
  </si>
  <si>
    <t>城墙伤害</t>
  </si>
  <si>
    <t>攻击英雄目标</t>
  </si>
  <si>
    <t>小冰怪数量</t>
  </si>
  <si>
    <t>小冰怪极限</t>
  </si>
  <si>
    <t>03.闪枭</t>
  </si>
  <si>
    <t>射程：1.2格</t>
  </si>
  <si>
    <t>2 350</t>
  </si>
  <si>
    <t>04.独角</t>
  </si>
  <si>
    <t>攻速：0.9秒/次</t>
  </si>
  <si>
    <t>攻速：2.1秒/次</t>
  </si>
  <si>
    <t>2 450</t>
  </si>
  <si>
    <t>05.冰牙</t>
  </si>
  <si>
    <t>2 550</t>
  </si>
  <si>
    <t>06.地兽</t>
  </si>
  <si>
    <t>2 650</t>
  </si>
  <si>
    <t>07.猛蜥</t>
  </si>
  <si>
    <t>2 800</t>
  </si>
  <si>
    <t>08.凤凰</t>
  </si>
  <si>
    <t>克城墙*20</t>
  </si>
  <si>
    <t>2 900</t>
  </si>
  <si>
    <t>行动半径:1格</t>
  </si>
  <si>
    <t>3 000</t>
  </si>
  <si>
    <t>行动半径:2格</t>
  </si>
  <si>
    <t>行动半径:5.81格</t>
  </si>
  <si>
    <t>权重：300/400</t>
  </si>
  <si>
    <t>3 100</t>
  </si>
  <si>
    <t>3 200</t>
  </si>
  <si>
    <t>小冰怪</t>
  </si>
  <si>
    <t>3 300</t>
  </si>
  <si>
    <t>注意：咏王在被放出前可以切换陆地和空军模式（尽量和大部队的类型一致），但是生命光环对永王自己无效。</t>
  </si>
  <si>
    <t>英雄死亡后自身进入8秒狂暴，秒伤170%，速度5.0格/秒</t>
  </si>
  <si>
    <t>攻击防御建筑</t>
  </si>
  <si>
    <t>攻击距离</t>
  </si>
  <si>
    <t>溅射距离</t>
  </si>
  <si>
    <t>减速持续时间</t>
  </si>
  <si>
    <t>减速比例</t>
  </si>
  <si>
    <t>闪枭 Electrowl</t>
  </si>
  <si>
    <t>独角 Unipony</t>
  </si>
  <si>
    <t>2格</t>
  </si>
  <si>
    <t>0.8格</t>
  </si>
  <si>
    <t>4秒</t>
  </si>
  <si>
    <t>治疗英雄</t>
  </si>
  <si>
    <t>每秒治疗</t>
  </si>
  <si>
    <t>新目标延迟：0.5秒</t>
  </si>
  <si>
    <t>射程：6.0格</t>
  </si>
  <si>
    <t>射程：2.5格</t>
  </si>
  <si>
    <t>攻速：1.4秒/次</t>
  </si>
  <si>
    <t>攻速：1.0秒/次</t>
  </si>
  <si>
    <t>地兽（挖挖） Diggy</t>
  </si>
  <si>
    <t>攻击英雄目标(地面)</t>
  </si>
  <si>
    <t>致瘫秒数</t>
  </si>
  <si>
    <t>单体治疗</t>
  </si>
  <si>
    <t>3 650</t>
  </si>
  <si>
    <t>出手时间：1.3秒</t>
  </si>
  <si>
    <t>攻速：1.1秒/次</t>
  </si>
  <si>
    <t>3 800</t>
  </si>
  <si>
    <t>移速：4格/秒</t>
  </si>
  <si>
    <t>3 950</t>
  </si>
  <si>
    <t>4 100</t>
  </si>
  <si>
    <t>地下惊喜</t>
  </si>
  <si>
    <t>4 250</t>
  </si>
  <si>
    <t>4 400</t>
  </si>
  <si>
    <t>4 550</t>
  </si>
  <si>
    <t>一次最多伤害2个单位</t>
  </si>
  <si>
    <t>治疗对英雄100%</t>
  </si>
  <si>
    <t>4 700</t>
  </si>
  <si>
    <t>4 850</t>
  </si>
  <si>
    <t>猛蜥（猛毒蜥） Poison Lizard</t>
  </si>
  <si>
    <t>5 000</t>
  </si>
  <si>
    <t>最高伤害</t>
  </si>
  <si>
    <t>移动速度降低</t>
  </si>
  <si>
    <t>攻击速度降低</t>
  </si>
  <si>
    <t>1 250</t>
  </si>
  <si>
    <t>攻速：0.35秒/次</t>
  </si>
  <si>
    <t>1 300</t>
  </si>
  <si>
    <t>移速：4.5格/秒</t>
  </si>
  <si>
    <t>1 350</t>
  </si>
  <si>
    <t>1 400</t>
  </si>
  <si>
    <t>1 450</t>
  </si>
  <si>
    <t>1 500</t>
  </si>
  <si>
    <t>1 550</t>
  </si>
  <si>
    <t>行动半径:4格</t>
  </si>
  <si>
    <t>1 600</t>
  </si>
  <si>
    <t>1 650</t>
  </si>
  <si>
    <t>1 700</t>
  </si>
  <si>
    <t>注：1. 猛蜥的毒药效果和毒药法术、英雄猎手叠加时取效果最强的那个。</t>
  </si>
  <si>
    <t>2. 当猛蜥附近没有部队和英雄时，猛蜥会攻击建筑，但它无法减缓防御建筑的攻速。</t>
  </si>
  <si>
    <t>凤凰 Phoenix</t>
  </si>
  <si>
    <t>任何目标</t>
  </si>
  <si>
    <t>无敌秒数</t>
  </si>
  <si>
    <t>3 120</t>
  </si>
  <si>
    <t>3 240</t>
  </si>
  <si>
    <t>移速：2格/秒</t>
  </si>
  <si>
    <t>3 360</t>
  </si>
  <si>
    <t>范围溅射r0.3</t>
  </si>
  <si>
    <t>3 480</t>
  </si>
  <si>
    <t>3 600</t>
  </si>
  <si>
    <t>3 720</t>
  </si>
  <si>
    <t>3 840</t>
  </si>
  <si>
    <t>3 960</t>
  </si>
  <si>
    <t>4 080</t>
  </si>
  <si>
    <t>4 200</t>
  </si>
  <si>
    <t>2.2 家乡支援军</t>
  </si>
  <si>
    <t>圣水法术</t>
  </si>
  <si>
    <t>攻城载具</t>
  </si>
  <si>
    <t>所有载具均免疫除大守护者以外的正面效果，但可以被敌对负面效果作用（如13本冰冻、英雄猎手、戈仑冰人）</t>
  </si>
  <si>
    <t>所有攻城载具的训练时间都是20分钟。它装载援兵，当载具完成任务，被摧毁或者手动摧毁都会释放援兵！（备注：载具计入天鹰的触发人口1个单位，援兵不会被计入）</t>
  </si>
  <si>
    <t>锦上添花，亦或者雪中送炭。配合主力军行动，唇齿相依。</t>
  </si>
  <si>
    <t>01.雷电法术</t>
  </si>
  <si>
    <t>01.攻城战车</t>
  </si>
  <si>
    <t>攻城战车 Siege Machine Ram</t>
  </si>
  <si>
    <t>攻城飞艇 Siege Machine Flyer</t>
  </si>
  <si>
    <t>飞艇炸弹</t>
  </si>
  <si>
    <t>02.疗伤法术</t>
  </si>
  <si>
    <t>雷电法术 LighningStorm</t>
  </si>
  <si>
    <t>疗伤法术 HealingWave</t>
  </si>
  <si>
    <t>02.攻城飞艇</t>
  </si>
  <si>
    <t>射程：2格</t>
  </si>
  <si>
    <t>03.狂暴法术</t>
  </si>
  <si>
    <t>电击溅射：2格</t>
  </si>
  <si>
    <t>总伤害</t>
  </si>
  <si>
    <t>治疗半径：5格</t>
  </si>
  <si>
    <t>总治疗</t>
  </si>
  <si>
    <t>英雄治疗</t>
  </si>
  <si>
    <t>每次治疗</t>
  </si>
  <si>
    <t>03.攻城气球</t>
  </si>
  <si>
    <t>攻速：1.3秒/次</t>
  </si>
  <si>
    <t>04.弹跳法术</t>
  </si>
  <si>
    <t>攻击次数：1次</t>
  </si>
  <si>
    <t>持续时长：12秒</t>
  </si>
  <si>
    <t>04.攻城训练营</t>
  </si>
  <si>
    <t>移速：2.25格/秒</t>
  </si>
  <si>
    <t>05.冰冻法术</t>
  </si>
  <si>
    <t>击晕时长：0.1秒</t>
  </si>
  <si>
    <t>治疗次数：40次</t>
  </si>
  <si>
    <t>05.滚木战车</t>
  </si>
  <si>
    <t>克城墙*10</t>
  </si>
  <si>
    <t>溅射半径：2格</t>
  </si>
  <si>
    <t>06.镜像法术</t>
  </si>
  <si>
    <t>治疗间隔：0.3秒</t>
  </si>
  <si>
    <t>06.投石战车</t>
  </si>
  <si>
    <t>溅射半径：1.5格</t>
  </si>
  <si>
    <t>权重：0/100</t>
  </si>
  <si>
    <t>07.隐形法术</t>
  </si>
  <si>
    <t>放置时长：0.8秒</t>
  </si>
  <si>
    <t>07.攻城钻机</t>
  </si>
  <si>
    <t>直线冲大本营</t>
  </si>
  <si>
    <t>攻城飞艇直线冲大本营，且被摧毁后自爆半径3格，延迟0.7秒</t>
  </si>
  <si>
    <t>08.召回法术</t>
  </si>
  <si>
    <t>生效延迟：0.1秒</t>
  </si>
  <si>
    <t>生效延迟：0.3秒</t>
  </si>
  <si>
    <t>注意：这里采用的是每次伤害！</t>
  </si>
  <si>
    <t>&gt;&gt;圣水法术</t>
  </si>
  <si>
    <t>13本</t>
  </si>
  <si>
    <t>&gt;&gt;黑油法术</t>
  </si>
  <si>
    <t>攻城气球 Siege Bowler Balloon</t>
  </si>
  <si>
    <t>巨型石头</t>
  </si>
  <si>
    <t>攻城训练营 Siege Machine Carrier</t>
  </si>
  <si>
    <t>&gt;&gt;攻城载具</t>
  </si>
  <si>
    <t>配置时间：3分钟</t>
  </si>
  <si>
    <t>&gt;&gt;超级兵种</t>
  </si>
  <si>
    <t>二次伤害</t>
  </si>
  <si>
    <t>持续时间：30秒</t>
  </si>
  <si>
    <t>皮卡数量</t>
  </si>
  <si>
    <t>法师数量</t>
  </si>
  <si>
    <t>攻速：2.5秒/次</t>
  </si>
  <si>
    <t>移动速度：0</t>
  </si>
  <si>
    <t>治疗效果：军队 100% 英雄 55% 载具 1%</t>
  </si>
  <si>
    <t>降落时间：1.3秒</t>
  </si>
  <si>
    <t>警告：雷电法术无法对大本营、部落城堡、仓库产生伤害</t>
  </si>
  <si>
    <t>二次溅射：4格</t>
  </si>
  <si>
    <t>狂暴法术 Haste</t>
  </si>
  <si>
    <t>弹跳法术 Jump</t>
  </si>
  <si>
    <t>出手时间：2.25秒</t>
  </si>
  <si>
    <t>备注1：在持续时间内，训练营每秒会损耗自身上限1/30的生命值</t>
  </si>
  <si>
    <t>狂暴半径：5格</t>
  </si>
  <si>
    <t>弹跳半径：3.5格</t>
  </si>
  <si>
    <t>持续时长</t>
  </si>
  <si>
    <t>增益次数</t>
  </si>
  <si>
    <t>气球坠落后会有500的伤害，半径3格，延迟0.416秒</t>
  </si>
  <si>
    <t>备注2：攻城训练营出来的军队等级取决于你的村庄所对应的等级</t>
  </si>
  <si>
    <t>持续时长：18秒</t>
  </si>
  <si>
    <t>增益间隔：0.3秒</t>
  </si>
  <si>
    <t>备注：攻城气球目标防御，克城墙*25，伤害机制极其复杂，可以在研究笔记里查看详细机制</t>
  </si>
  <si>
    <t>增益次数：60次</t>
  </si>
  <si>
    <t>增益效果：0.4秒</t>
  </si>
  <si>
    <t>滚木战车 Siege Log Launcher</t>
  </si>
  <si>
    <t>复仇滚木</t>
  </si>
  <si>
    <r>
      <rPr>
        <sz val="11"/>
        <color rgb="FFFFFFFF"/>
        <rFont val="黑体"/>
        <charset val="134"/>
      </rPr>
      <t>投石战车</t>
    </r>
    <r>
      <rPr>
        <sz val="11"/>
        <color rgb="FFFFFFFF"/>
        <rFont val="黑体"/>
        <charset val="134"/>
      </rPr>
      <t xml:space="preserve"> </t>
    </r>
    <r>
      <rPr>
        <sz val="11"/>
        <color rgb="FFFFFFFF"/>
        <rFont val="黑体"/>
        <charset val="134"/>
      </rPr>
      <t>Siege Catapult</t>
    </r>
  </si>
  <si>
    <t>火焰精灵</t>
  </si>
  <si>
    <t>射程：1.0格</t>
  </si>
  <si>
    <t>碾压伤害</t>
  </si>
  <si>
    <t>射程：11格</t>
  </si>
  <si>
    <t>最大存活秒数</t>
  </si>
  <si>
    <t>最高火伤</t>
  </si>
  <si>
    <t>增益效果：1秒</t>
  </si>
  <si>
    <t>攻速：3.0秒/次</t>
  </si>
  <si>
    <t>攻速：5.0秒/次</t>
  </si>
  <si>
    <t>狂暴效果：军队 100% 英雄 50% 载具 0%</t>
  </si>
  <si>
    <t>移速：0.7格/秒</t>
  </si>
  <si>
    <t>移速：0.75格/秒</t>
  </si>
  <si>
    <t>配置时间：6分钟</t>
  </si>
  <si>
    <t>警告：多瓶狂暴效果叠加取加成最高</t>
  </si>
  <si>
    <t>备注：弹跳效果是让部队有跳墙的能力，而不是暂时抹去城墙。</t>
  </si>
  <si>
    <r>
      <rPr>
        <sz val="11"/>
        <color rgb="FFFFFFFF"/>
        <rFont val="黑体"/>
        <charset val="134"/>
      </rPr>
      <t>克城墙*</t>
    </r>
    <r>
      <rPr>
        <sz val="11"/>
        <color rgb="FFFFFFFF"/>
        <rFont val="黑体"/>
        <charset val="134"/>
      </rPr>
      <t>8</t>
    </r>
  </si>
  <si>
    <r>
      <rPr>
        <sz val="11"/>
        <color rgb="FFFFFFFF"/>
        <rFont val="黑体"/>
        <charset val="134"/>
      </rPr>
      <t>溅射半径：2</t>
    </r>
    <r>
      <rPr>
        <sz val="11"/>
        <color rgb="FFFFFFFF"/>
        <rFont val="黑体"/>
        <charset val="134"/>
      </rPr>
      <t>.5</t>
    </r>
    <r>
      <rPr>
        <sz val="11"/>
        <color rgb="FFFFFFFF"/>
        <rFont val="黑体"/>
        <charset val="134"/>
      </rPr>
      <t>格</t>
    </r>
  </si>
  <si>
    <t>飞行极限：19格</t>
  </si>
  <si>
    <t>直线冲大本营，移动中攻击，滚木机制类似于巨型大炮，滚木最多攻击4个建筑</t>
  </si>
  <si>
    <t>熔岩时间：30秒</t>
  </si>
  <si>
    <t>攻击防御，每秒掉16生命值</t>
  </si>
  <si>
    <t>每隔1秒掉150生命值</t>
  </si>
  <si>
    <r>
      <rPr>
        <sz val="11"/>
        <color rgb="FFFFFFFF"/>
        <rFont val="黑体"/>
        <charset val="134"/>
      </rPr>
      <t>权重：1</t>
    </r>
    <r>
      <rPr>
        <sz val="11"/>
        <color rgb="FFFFFFFF"/>
        <rFont val="黑体"/>
        <charset val="134"/>
      </rPr>
      <t>00</t>
    </r>
    <r>
      <rPr>
        <sz val="11"/>
        <color rgb="FFFFFFFF"/>
        <rFont val="黑体"/>
        <charset val="134"/>
      </rPr>
      <t>/100</t>
    </r>
  </si>
  <si>
    <t>击中目标后延迟0.8秒释放持续30秒半径2.5格的火焰灼烧</t>
  </si>
  <si>
    <t>冰冻法术 Freeze</t>
  </si>
  <si>
    <t>镜像法术 Duplicate</t>
  </si>
  <si>
    <t>如果滚木战车被阻挡，会打出一次性的高额“碾压伤害”，范围1格？</t>
  </si>
  <si>
    <t>冰冻半径：3.5格</t>
  </si>
  <si>
    <t>冰冻时长</t>
  </si>
  <si>
    <t>法术半径：3.5格</t>
  </si>
  <si>
    <t>复制人口</t>
  </si>
  <si>
    <t>作用次数：1次</t>
  </si>
  <si>
    <t>复制间隔：0.3秒</t>
  </si>
  <si>
    <t>攻城钻机 Battle Drill</t>
  </si>
  <si>
    <t>法术持续：18秒</t>
  </si>
  <si>
    <t>镜像持续：30秒</t>
  </si>
  <si>
    <r>
      <rPr>
        <sz val="11"/>
        <color rgb="FFFFFFFF"/>
        <rFont val="黑体"/>
        <charset val="134"/>
      </rPr>
      <t>攻速：1</t>
    </r>
    <r>
      <rPr>
        <sz val="11"/>
        <color rgb="FFFFFFFF"/>
        <rFont val="黑体"/>
        <charset val="134"/>
      </rPr>
      <t>.7</t>
    </r>
    <r>
      <rPr>
        <sz val="11"/>
        <color rgb="FFFFFFFF"/>
        <rFont val="黑体"/>
        <charset val="134"/>
      </rPr>
      <t>秒/次</t>
    </r>
  </si>
  <si>
    <t>移速：3格/秒</t>
  </si>
  <si>
    <t>地面目标</t>
  </si>
  <si>
    <t>眩晕时间：2秒</t>
  </si>
  <si>
    <t>备注：必须冻住中心点才能完全瘫痪建筑或敌军。</t>
  </si>
  <si>
    <t>配置时间：9分钟</t>
  </si>
  <si>
    <t>隐形法术 Invisibility</t>
  </si>
  <si>
    <t>召回法术 Recall Spell</t>
  </si>
  <si>
    <t>超级兵种</t>
  </si>
  <si>
    <t>隐身半径：4格</t>
  </si>
  <si>
    <t>持续时间</t>
  </si>
  <si>
    <t>法术半径：5格</t>
  </si>
  <si>
    <t>召回人口</t>
  </si>
  <si>
    <t>通过黑油临时强化的可怕单位，所有超级兵种强化需要25000黑油，持续3天，且一次可以选择2个</t>
  </si>
  <si>
    <t>增益间隔：0.25秒</t>
  </si>
  <si>
    <t>隐身效果：0.6秒</t>
  </si>
  <si>
    <t>01.超级野蛮人</t>
  </si>
  <si>
    <t>超级野蛮人 EliteBarbarian</t>
  </si>
  <si>
    <t>隐秘哥布林 EliteGoblin</t>
  </si>
  <si>
    <t>隐形披风：在部署后的5秒隐身，不会被锁定为攻击目标</t>
  </si>
  <si>
    <t>超级炸弹人 EliteWallBreaker</t>
  </si>
  <si>
    <t>超级炸弹：一定会引爆的大炸弹</t>
  </si>
  <si>
    <t>02.隐秘哥布林</t>
  </si>
  <si>
    <t>死亡自爆</t>
  </si>
  <si>
    <t>03.超级炸弹人</t>
  </si>
  <si>
    <t>04.超级巨人</t>
  </si>
  <si>
    <t>攻速：0.8秒/次</t>
  </si>
  <si>
    <t>05.地狱飞龙</t>
  </si>
  <si>
    <t>移速：3.5格/秒</t>
  </si>
  <si>
    <t>备注：隐身法术可作用于自己和敌人，但无法隐身城墙和攻城载具</t>
  </si>
  <si>
    <t>06.超级女巫</t>
  </si>
  <si>
    <t>出手时间：0.7秒</t>
  </si>
  <si>
    <t>07.超级弓箭手</t>
  </si>
  <si>
    <t>狂暴移速:4.5格/秒</t>
  </si>
  <si>
    <t>暗黑法术</t>
  </si>
  <si>
    <t>08.超级武神</t>
  </si>
  <si>
    <t>狂暴秒伤:170%</t>
  </si>
  <si>
    <t>死亡半径：1.6格</t>
  </si>
  <si>
    <t>09.超级亡灵</t>
  </si>
  <si>
    <t>10.超级法师</t>
  </si>
  <si>
    <t>训练时间：25秒</t>
  </si>
  <si>
    <t>训练时间：21秒</t>
  </si>
  <si>
    <t>01.毒药法术</t>
  </si>
  <si>
    <t>11.寒冰猎犬</t>
  </si>
  <si>
    <t>野蛮人等级要求：8</t>
  </si>
  <si>
    <t>野蛮狂暴：在部署后的8秒狂暴，获得额外的移动速度和伤害</t>
  </si>
  <si>
    <t>哥布林等级要求：7</t>
  </si>
  <si>
    <t>备注：隐身状态下可以防止援兵被引出，但仍能触发陷阱。</t>
  </si>
  <si>
    <t>炸弹人等级要求：7</t>
  </si>
  <si>
    <t>警告：死亡伤害无法通过狂暴提升</t>
  </si>
  <si>
    <t>02.地震法术</t>
  </si>
  <si>
    <t>毒药法术 Poison</t>
  </si>
  <si>
    <t>地震法术 Earthquake</t>
  </si>
  <si>
    <t>12.气球火箭兵</t>
  </si>
  <si>
    <t>权重：500/400</t>
  </si>
  <si>
    <t>权重：300/200</t>
  </si>
  <si>
    <t>03.急速法术</t>
  </si>
  <si>
    <t>毒药半径：4格</t>
  </si>
  <si>
    <t>移速减慢</t>
  </si>
  <si>
    <t>最大秒伤</t>
  </si>
  <si>
    <t>地震半径：可变</t>
  </si>
  <si>
    <t>总计伤害</t>
  </si>
  <si>
    <t>作用半径</t>
  </si>
  <si>
    <t>13.超级巨石投手</t>
  </si>
  <si>
    <t>04.骷髅法术</t>
  </si>
  <si>
    <t>持续时长：16秒</t>
  </si>
  <si>
    <t>持续时长：2秒</t>
  </si>
  <si>
    <t>14.超级飞龙</t>
  </si>
  <si>
    <t>05.蝙蝠法术</t>
  </si>
  <si>
    <t>作用次数：40次</t>
  </si>
  <si>
    <t>地震次数：5次</t>
  </si>
  <si>
    <t>15.超级矿工</t>
  </si>
  <si>
    <t>超级巨人 EliteGiant</t>
  </si>
  <si>
    <t>城墙克星：对城墙造成500%伤害</t>
  </si>
  <si>
    <t>地狱飞龙 InfernoDragon</t>
  </si>
  <si>
    <t>超级女巫 Head Witch</t>
  </si>
  <si>
    <t>作用间隔：0.4秒</t>
  </si>
  <si>
    <t>地震间隔：0.4秒</t>
  </si>
  <si>
    <t>一阶秒伤</t>
  </si>
  <si>
    <t>二阶秒伤</t>
  </si>
  <si>
    <t>三阶秒伤</t>
  </si>
  <si>
    <t>召唤上限？</t>
  </si>
  <si>
    <t>攻速：0.128秒/次</t>
  </si>
  <si>
    <t>1？</t>
  </si>
  <si>
    <t>备注：第n瓶地震对建筑效果为1/(2n-1)*k，其中k为单瓶伤害</t>
  </si>
  <si>
    <t>一至二阶：1.7秒</t>
  </si>
  <si>
    <t>保证四瓶地震可以摧毁任何城墙</t>
  </si>
  <si>
    <t>克城墙*5</t>
  </si>
  <si>
    <t>二至三阶：1.5秒</t>
  </si>
  <si>
    <t>召唤间隔：30秒(首个5秒)</t>
  </si>
  <si>
    <t>充能时间：0.6秒</t>
  </si>
  <si>
    <t>召唤数量：1个</t>
  </si>
  <si>
    <t>备注：毒药法术需要作用12秒才能达到最高秒伤，对英雄为5%。</t>
  </si>
  <si>
    <t>占用空间：40</t>
  </si>
  <si>
    <t>援兵会主动离开法术范围，离开后伤害递减，递减速度是递增的2倍。</t>
  </si>
  <si>
    <t>骷髅法术 SpawnSkele</t>
  </si>
  <si>
    <t>训练时间：2分15秒</t>
  </si>
  <si>
    <t>地狱飞龙切换3阶的速度比地狱塔快，但无法飞行中充能</t>
  </si>
  <si>
    <t>训练时间：6分40秒</t>
  </si>
  <si>
    <t>召唤巨型骷髅，生命值4100，秒伤350，占用空间20，移速1.5格/秒，攻速2秒/次，射程1格</t>
  </si>
  <si>
    <t>急速法术 SpeedUp</t>
  </si>
  <si>
    <t>召唤半径：2格</t>
  </si>
  <si>
    <t>光环时长</t>
  </si>
  <si>
    <t>巨人等级要求：9</t>
  </si>
  <si>
    <t>飞龙宝宝等级要求：6</t>
  </si>
  <si>
    <t>女巫等级要求：5</t>
  </si>
  <si>
    <t>巨型骷髅权重800/800</t>
  </si>
  <si>
    <t>急速半径：4格</t>
  </si>
  <si>
    <t>速度提升</t>
  </si>
  <si>
    <t>权重：900/800</t>
  </si>
  <si>
    <t>权重：1500/1500</t>
  </si>
  <si>
    <t>权重：3500/2500</t>
  </si>
  <si>
    <t>召唤均隔：1秒</t>
  </si>
  <si>
    <t>对抗仓库：15%</t>
  </si>
  <si>
    <t>超级弓箭手 EliteArcher</t>
  </si>
  <si>
    <t>魔法重箭</t>
  </si>
  <si>
    <t>超级武神 EliteValkyrie</t>
  </si>
  <si>
    <t>临别赠礼</t>
  </si>
  <si>
    <t>超级亡灵Super Minion</t>
  </si>
  <si>
    <t>火箭</t>
  </si>
  <si>
    <t>生效延迟：立即</t>
  </si>
  <si>
    <t>技能伤害</t>
  </si>
  <si>
    <t>急速效果：军队 100% 英雄 50% 载具 0%</t>
  </si>
  <si>
    <t>备注1：召唤盾髅（带有30点护盾的骷髅兵）</t>
  </si>
  <si>
    <t>警告：多瓶急速效果叠加取加成最高的</t>
  </si>
  <si>
    <t>备注2：首先召唤3个骷髅，然后每次召唤1只</t>
  </si>
  <si>
    <t>穿透半径：0.3格</t>
  </si>
  <si>
    <t>备注3：盾髅可以被复制，每个骷髅占用空间为1</t>
  </si>
  <si>
    <t>飞行极限：6+4格</t>
  </si>
  <si>
    <t>穿透利箭：对路径上的多个目标造成伤害</t>
  </si>
  <si>
    <t>进攻前 5 次、防守前 3 次攻击为远距离攻击</t>
  </si>
  <si>
    <t>蝙蝠法术 SpawnBats</t>
  </si>
  <si>
    <t>护盾骷髅 ShieldedSkeleton</t>
  </si>
  <si>
    <t>穿透距离：</t>
  </si>
  <si>
    <t>训练时间：1分48秒</t>
  </si>
  <si>
    <t>前5次攻击的射程9.5格，伤害为原来的165%？</t>
  </si>
  <si>
    <t>护盾生命：30</t>
  </si>
  <si>
    <t>训练时间：1分12秒</t>
  </si>
  <si>
    <t>训练时间：3分45秒</t>
  </si>
  <si>
    <t>亡灵等级要求：8</t>
  </si>
  <si>
    <t>骷髅生命：30</t>
  </si>
  <si>
    <t>弓箭手等级要求：8</t>
  </si>
  <si>
    <t>武神等级要求：7</t>
  </si>
  <si>
    <t>权重：1200/1000</t>
  </si>
  <si>
    <t>召唤均隔：0.6秒</t>
  </si>
  <si>
    <t>权重：1200/600</t>
  </si>
  <si>
    <t>权重：1800/1500</t>
  </si>
  <si>
    <t>超级法师Super Wizard</t>
  </si>
  <si>
    <t>链式魔法</t>
  </si>
  <si>
    <t>寒冰猎犬Ice Hound</t>
  </si>
  <si>
    <t>大寒冰块</t>
  </si>
  <si>
    <t>小寒冰犬Ice Hound Pup</t>
  </si>
  <si>
    <t>小寒冰块</t>
  </si>
  <si>
    <t>地面，优先攻击火箭</t>
  </si>
  <si>
    <t>射程：0.25格</t>
  </si>
  <si>
    <t>备注2：召唤过程中每次召唤1只蝙蝠</t>
  </si>
  <si>
    <t>备注3：蝙蝠可以被复制，每个蝙蝠占用空间为1</t>
  </si>
  <si>
    <t>蝙蝠 SpellBat</t>
  </si>
  <si>
    <t>连锁衰减：60%</t>
  </si>
  <si>
    <t>备注1：被消灭后在2.5格内生成小寒冰犬</t>
  </si>
  <si>
    <t>生命值：20</t>
  </si>
  <si>
    <t>备注2：被消灭后在6.5格释放类似于冰人的冰冻法术</t>
  </si>
  <si>
    <t>每秒伤害：30</t>
  </si>
  <si>
    <t>备注1：超级法师发射连锁闪电，最多可以弹射10个目标</t>
  </si>
  <si>
    <t>备注3：作为守军时冰冻范围和时长都会被削弱</t>
  </si>
  <si>
    <t>备注：小寒冰犬攻击时在2秒内降低目标50%的移速和攻速</t>
  </si>
  <si>
    <t>防御建筑</t>
  </si>
  <si>
    <t>训练时间：1分15秒</t>
  </si>
  <si>
    <t>备注2：超级法师的伤害会随着目标快速减少，最多造成2.48倍攻击伤害</t>
  </si>
  <si>
    <t>备注4：寒冰猎犬攻击时在2秒内降低目标50%的移速和攻速</t>
  </si>
  <si>
    <t>法师等级要求：9</t>
  </si>
  <si>
    <t>熔岩猎犬等级要求：5</t>
  </si>
  <si>
    <t>射程：0.3格</t>
  </si>
  <si>
    <t>权重：950/1800</t>
  </si>
  <si>
    <t>移速：7.0格/秒</t>
  </si>
  <si>
    <t>气球火箭兵 HastyBalloon</t>
  </si>
  <si>
    <t>航空炸弹</t>
  </si>
  <si>
    <t>超级巨石投手 Super Bowler</t>
  </si>
  <si>
    <t>超级弹跳石</t>
  </si>
  <si>
    <r>
      <rPr>
        <sz val="11"/>
        <color rgb="FFFFFFFF"/>
        <rFont val="黑体"/>
        <charset val="134"/>
      </rPr>
      <t>超级</t>
    </r>
    <r>
      <rPr>
        <sz val="11"/>
        <color rgb="FFFFFFFF"/>
        <rFont val="黑体"/>
        <charset val="134"/>
      </rPr>
      <t>飞龙</t>
    </r>
    <r>
      <rPr>
        <sz val="11"/>
        <color rgb="FFFFFFFF"/>
        <rFont val="黑体"/>
        <charset val="134"/>
      </rPr>
      <t xml:space="preserve"> </t>
    </r>
    <r>
      <rPr>
        <sz val="11"/>
        <color rgb="FFFFFFFF"/>
        <rFont val="黑体"/>
        <charset val="134"/>
      </rPr>
      <t>Super Dragon</t>
    </r>
  </si>
  <si>
    <t>致命龙息</t>
  </si>
  <si>
    <t>射程：0格</t>
  </si>
  <si>
    <t>攻击间隔：1.8秒</t>
  </si>
  <si>
    <r>
      <rPr>
        <sz val="11"/>
        <color rgb="FFFFFFFF"/>
        <rFont val="黑体"/>
        <charset val="134"/>
      </rPr>
      <t>移速：1</t>
    </r>
    <r>
      <rPr>
        <sz val="11"/>
        <color rgb="FFFFFFFF"/>
        <rFont val="黑体"/>
        <charset val="134"/>
      </rPr>
      <t>.75</t>
    </r>
    <r>
      <rPr>
        <sz val="11"/>
        <color rgb="FFFFFFFF"/>
        <rFont val="黑体"/>
        <charset val="134"/>
      </rPr>
      <t>格/秒</t>
    </r>
  </si>
  <si>
    <t>溅射半径：0.6格</t>
  </si>
  <si>
    <t>溅射半径：1.6格</t>
  </si>
  <si>
    <r>
      <rPr>
        <sz val="11"/>
        <color rgb="FFFFFFFF"/>
        <rFont val="黑体"/>
        <charset val="134"/>
      </rPr>
      <t>连发：0.</t>
    </r>
    <r>
      <rPr>
        <sz val="11"/>
        <color rgb="FFFFFFFF"/>
        <rFont val="黑体"/>
        <charset val="134"/>
      </rPr>
      <t>192</t>
    </r>
    <r>
      <rPr>
        <sz val="11"/>
        <color rgb="FFFFFFFF"/>
        <rFont val="黑体"/>
        <charset val="134"/>
      </rPr>
      <t>秒*1</t>
    </r>
    <r>
      <rPr>
        <sz val="11"/>
        <color rgb="FFFFFFFF"/>
        <rFont val="黑体"/>
        <charset val="134"/>
      </rPr>
      <t>0</t>
    </r>
  </si>
  <si>
    <t>出手时间：0.3秒</t>
  </si>
  <si>
    <r>
      <rPr>
        <sz val="11"/>
        <color rgb="FFFFFFFF"/>
        <rFont val="黑体"/>
        <charset val="134"/>
      </rPr>
      <t>占用空间：4</t>
    </r>
    <r>
      <rPr>
        <sz val="11"/>
        <color rgb="FFFFFFFF"/>
        <rFont val="黑体"/>
        <charset val="134"/>
      </rPr>
      <t>0</t>
    </r>
  </si>
  <si>
    <t>训练时间：600秒</t>
  </si>
  <si>
    <t>备注：超级蓝胖投出的石头会向后跳跃3格距离，可弹射2次。</t>
  </si>
  <si>
    <t>训练时间：48秒</t>
  </si>
  <si>
    <t>飞龙等级要求：7</t>
  </si>
  <si>
    <t>备注：超级飞龙始终攻击建筑中心，攻击落点存在直径1格的散布</t>
  </si>
  <si>
    <t>气球兵等级要求：8</t>
  </si>
  <si>
    <r>
      <rPr>
        <sz val="11"/>
        <color rgb="FFFFFFFF"/>
        <rFont val="黑体"/>
        <charset val="134"/>
      </rPr>
      <t>权重：4</t>
    </r>
    <r>
      <rPr>
        <sz val="11"/>
        <color rgb="FFFFFFFF"/>
        <rFont val="黑体"/>
        <charset val="134"/>
      </rPr>
      <t>000</t>
    </r>
    <r>
      <rPr>
        <sz val="11"/>
        <color rgb="FFFFFFFF"/>
        <rFont val="黑体"/>
        <charset val="134"/>
      </rPr>
      <t>/</t>
    </r>
    <r>
      <rPr>
        <sz val="11"/>
        <color rgb="FFFFFFFF"/>
        <rFont val="黑体"/>
        <charset val="134"/>
      </rPr>
      <t>40</t>
    </r>
    <r>
      <rPr>
        <sz val="11"/>
        <color rgb="FFFFFFFF"/>
        <rFont val="黑体"/>
        <charset val="134"/>
      </rPr>
      <t>00</t>
    </r>
  </si>
  <si>
    <t>备注2：对于3*3建筑而言，超级飞龙命中其周围建筑的概率是63%</t>
  </si>
  <si>
    <t>气球火箭兵会在部署后的4秒内提高至8格/秒</t>
  </si>
  <si>
    <t>超级矿工 SuperMiner</t>
  </si>
  <si>
    <t>攻击地面目标</t>
  </si>
  <si>
    <t>攻速：0.25秒/次</t>
  </si>
  <si>
    <t>一至二阶：1.5秒</t>
  </si>
  <si>
    <t>爆炸半径：2格</t>
  </si>
  <si>
    <t>占用空间：24</t>
  </si>
  <si>
    <t>超级矿工在地面上行走时，速度会降低30%</t>
  </si>
  <si>
    <t>矿工等级要求：7</t>
  </si>
  <si>
    <t>权重：？</t>
  </si>
  <si>
    <t>2.3 家乡建筑</t>
  </si>
  <si>
    <t>支援建筑</t>
  </si>
  <si>
    <t>建筑物有两大职责：防御来犯之敌，支持村庄建设。</t>
  </si>
  <si>
    <t>01.加农炮</t>
  </si>
  <si>
    <t>01.大本营</t>
  </si>
  <si>
    <t>大本营 Town Hall</t>
  </si>
  <si>
    <t>02.箭塔</t>
  </si>
  <si>
    <t>加农炮 Cannon</t>
  </si>
  <si>
    <t>加农炮弹</t>
  </si>
  <si>
    <t>箭塔 Archer Tower</t>
  </si>
  <si>
    <t>城墙 Wall</t>
  </si>
  <si>
    <t>02.部落城堡</t>
  </si>
  <si>
    <t>占地：4*4</t>
  </si>
  <si>
    <t>资源存储</t>
  </si>
  <si>
    <t>黑油存储</t>
  </si>
  <si>
    <t>建造成本</t>
  </si>
  <si>
    <t>建造时间</t>
  </si>
  <si>
    <t>城堡金/水存储</t>
  </si>
  <si>
    <t>城堡黑油存储</t>
  </si>
  <si>
    <t>部落城堡 Alliance Castle</t>
  </si>
  <si>
    <t>实验室 Laboratory</t>
  </si>
  <si>
    <t>备注：升级中的实验室依然可以研究</t>
  </si>
  <si>
    <t>03.城墙</t>
  </si>
  <si>
    <t>抵御陆军</t>
  </si>
  <si>
    <t>常规秒伤</t>
  </si>
  <si>
    <t>改装秒伤</t>
  </si>
  <si>
    <t>抵御陆空</t>
  </si>
  <si>
    <t>阻挡多数陆军</t>
  </si>
  <si>
    <t>壁垒之戒</t>
  </si>
  <si>
    <t>03.实验室</t>
  </si>
  <si>
    <t>判定：3*3</t>
  </si>
  <si>
    <t>占地：3*3</t>
  </si>
  <si>
    <t>援兵容量</t>
  </si>
  <si>
    <t>法术容量</t>
  </si>
  <si>
    <t>载具容量</t>
  </si>
  <si>
    <t>04.迫击炮</t>
  </si>
  <si>
    <t>射程：9格</t>
  </si>
  <si>
    <t>射程：10格</t>
  </si>
  <si>
    <t>占地：1*1</t>
  </si>
  <si>
    <t>04.训练营</t>
  </si>
  <si>
    <t>金币建筑</t>
  </si>
  <si>
    <t>判定：2*2</t>
  </si>
  <si>
    <t>05.防空火箭</t>
  </si>
  <si>
    <t>攻速：0.5秒/次</t>
  </si>
  <si>
    <t>判定：1*1</t>
  </si>
  <si>
    <t>05.暗黑训练营</t>
  </si>
  <si>
    <t>务必速本！</t>
  </si>
  <si>
    <t>侦测范围：12</t>
  </si>
  <si>
    <t>升级部队</t>
  </si>
  <si>
    <t>06.法师塔</t>
  </si>
  <si>
    <t>单体伤害</t>
  </si>
  <si>
    <t>06.兵营</t>
  </si>
  <si>
    <t>出兵间隔：0.3秒</t>
  </si>
  <si>
    <t>圣水建筑</t>
  </si>
  <si>
    <t>07.空气炮</t>
  </si>
  <si>
    <t>Lv&gt;=4级后可用圣水升级</t>
  </si>
  <si>
    <t>07.法术工厂</t>
  </si>
  <si>
    <t>08.伏击电塔</t>
  </si>
  <si>
    <t>08.暗黑工厂</t>
  </si>
  <si>
    <t>09.炸弹塔</t>
  </si>
  <si>
    <t>09.攻城工坊</t>
  </si>
  <si>
    <t>资源掠夺比例：</t>
  </si>
  <si>
    <t>10.X连弩</t>
  </si>
  <si>
    <t>改装需求：</t>
  </si>
  <si>
    <t>10.圣水泵</t>
  </si>
  <si>
    <t>宝库容量对应大本等级</t>
  </si>
  <si>
    <t>11.地狱之塔</t>
  </si>
  <si>
    <t>双管加农炮4级</t>
  </si>
  <si>
    <t>多功能箭塔6级</t>
  </si>
  <si>
    <t>11.圣水瓶</t>
  </si>
  <si>
    <t>援兵可指定</t>
  </si>
  <si>
    <t>12.天鹰火炮</t>
  </si>
  <si>
    <t>150万金币</t>
  </si>
  <si>
    <t>400万金币</t>
  </si>
  <si>
    <t>12.采金场</t>
  </si>
  <si>
    <t>13.巨型电磁组件</t>
  </si>
  <si>
    <t>建筑大师工作2天</t>
  </si>
  <si>
    <t>建筑大师工作7天</t>
  </si>
  <si>
    <t>13.储金罐</t>
  </si>
  <si>
    <t>14.冰爆地狱组件</t>
  </si>
  <si>
    <t>改装结果：</t>
  </si>
  <si>
    <t>14.黑油钻井</t>
  </si>
  <si>
    <t>15.西瓜投手</t>
  </si>
  <si>
    <t>连发：0.192秒*4</t>
  </si>
  <si>
    <t>15.黑油罐</t>
  </si>
  <si>
    <t>备注1：部落城堡被摧毁后损失3%的资源</t>
  </si>
  <si>
    <t>16.毒爆地狱组件</t>
  </si>
  <si>
    <t>攻速：2.3秒/轮</t>
  </si>
  <si>
    <t>射程：7格</t>
  </si>
  <si>
    <t>16.战宠小屋</t>
  </si>
  <si>
    <t>备注2：捐1单位法术获得5经验，1载具则为30经验</t>
  </si>
  <si>
    <t>17.连弩小屋组件</t>
  </si>
  <si>
    <t>备注3：可以指定收到的援兵了！</t>
  </si>
  <si>
    <t>18.魔能地狱组件</t>
  </si>
  <si>
    <t>&gt;&gt;隐秘陷阱</t>
  </si>
  <si>
    <t>备注：需要建造所有已解锁的建筑才能升级大本营</t>
  </si>
  <si>
    <t>19.法术塔</t>
  </si>
  <si>
    <t>&gt;&gt;防御建筑</t>
  </si>
  <si>
    <t>训练营 Barrack</t>
  </si>
  <si>
    <t>暗黑训练营 Dark Elixir Barrack</t>
  </si>
  <si>
    <t>兵营 Troop Housing</t>
  </si>
  <si>
    <t>20.巨石碑</t>
  </si>
  <si>
    <t>解锁兵种</t>
  </si>
  <si>
    <t>兵种容量</t>
  </si>
  <si>
    <t>训练圣水兵种</t>
  </si>
  <si>
    <t>训练暗黑兵种</t>
  </si>
  <si>
    <t>储存军队</t>
  </si>
  <si>
    <t>&gt;&gt;支援建筑</t>
  </si>
  <si>
    <t>石头人</t>
  </si>
  <si>
    <t>法师塔 Wizard Tower</t>
  </si>
  <si>
    <t>升级时，黑油兵种训练时间翻倍</t>
  </si>
  <si>
    <t>防空火箭 Air Defense</t>
  </si>
  <si>
    <t>烟花弹</t>
  </si>
  <si>
    <t>迫击炮 Mortar</t>
  </si>
  <si>
    <t>迫击炮弹</t>
  </si>
  <si>
    <t>抵御空军</t>
  </si>
  <si>
    <t>正常伤害</t>
  </si>
  <si>
    <t>改装伤害</t>
  </si>
  <si>
    <t>射程：4-11格</t>
  </si>
  <si>
    <t>攻速：5秒/次</t>
  </si>
  <si>
    <t>击退距离：1格</t>
  </si>
  <si>
    <t>多管迫击炮8级</t>
  </si>
  <si>
    <t>800万金币</t>
  </si>
  <si>
    <t>暗黑工厂 Mini Spell Factory</t>
  </si>
  <si>
    <t>攻城工坊 SiegeWorkshop</t>
  </si>
  <si>
    <t>建筑大师工作14天</t>
  </si>
  <si>
    <t>解锁法术</t>
  </si>
  <si>
    <t>解锁武器</t>
  </si>
  <si>
    <t>法术工厂 Spell Forge</t>
  </si>
  <si>
    <t>连发：0.5秒</t>
  </si>
  <si>
    <t>配置黑油法术</t>
  </si>
  <si>
    <t>铸造载具</t>
  </si>
  <si>
    <t>加速法术</t>
  </si>
  <si>
    <t>伏击电塔 Tesla Tower</t>
  </si>
  <si>
    <t>感应电</t>
  </si>
  <si>
    <t>炸弹塔 Bomb Tower</t>
  </si>
  <si>
    <t>炸弹</t>
  </si>
  <si>
    <t>配置圣水法术</t>
  </si>
  <si>
    <t>治疗法术</t>
  </si>
  <si>
    <t>伏击陆空</t>
  </si>
  <si>
    <t>射程：6格</t>
  </si>
  <si>
    <t>5本建筑</t>
  </si>
  <si>
    <t>弹跳/冰冻</t>
  </si>
  <si>
    <t>空气炮 Air Blaster</t>
  </si>
  <si>
    <t>空气波</t>
  </si>
  <si>
    <t>击退空军</t>
  </si>
  <si>
    <t>击退距离</t>
  </si>
  <si>
    <t>占地：2*2</t>
  </si>
  <si>
    <t>圣水泵 Elixir Pump</t>
  </si>
  <si>
    <t>黑油钻井 Dark Elixir Pump</t>
  </si>
  <si>
    <t>射程：1-15格</t>
  </si>
  <si>
    <t>开采速度</t>
  </si>
  <si>
    <t>存储容量</t>
  </si>
  <si>
    <t>最低收集</t>
  </si>
  <si>
    <t>自爆半径：2.75格</t>
  </si>
  <si>
    <t>采金场 Gold Mine</t>
  </si>
  <si>
    <t>弹出条件：</t>
  </si>
  <si>
    <t>自爆延迟：1秒</t>
  </si>
  <si>
    <t>采集圣水</t>
  </si>
  <si>
    <t>采集黑油</t>
  </si>
  <si>
    <t>6格内出现目标</t>
  </si>
  <si>
    <t>范围角105°</t>
  </si>
  <si>
    <t>或者摧毁率&gt;50%</t>
  </si>
  <si>
    <t>采集金币</t>
  </si>
  <si>
    <t>气波角度45°</t>
  </si>
  <si>
    <t>弹出时间：1秒</t>
  </si>
  <si>
    <t>弧长7</t>
  </si>
  <si>
    <t>扩展半径2.5</t>
  </si>
  <si>
    <t>提示：通过旋转炮塔以选择更适合的方向</t>
  </si>
  <si>
    <t>注：进攻时可掠夺敌人当前采集器生产的75%黑油</t>
  </si>
  <si>
    <t>X连弩 Bow</t>
  </si>
  <si>
    <t>速射弩箭</t>
  </si>
  <si>
    <t>地狱之塔 Dark Tower</t>
  </si>
  <si>
    <t>烈焰</t>
  </si>
  <si>
    <t>天鹰火炮 Ancient Artillery</t>
  </si>
  <si>
    <t>天罚弹</t>
  </si>
  <si>
    <t>二段秒伤</t>
  </si>
  <si>
    <t>三段秒伤</t>
  </si>
  <si>
    <t>多头目标</t>
  </si>
  <si>
    <t>直接伤害</t>
  </si>
  <si>
    <t>射程：7-50格</t>
  </si>
  <si>
    <t>子弹：1500</t>
  </si>
  <si>
    <t>攻速：10秒/轮</t>
  </si>
  <si>
    <t>直接溅射：0.75格</t>
  </si>
  <si>
    <t>二次溅射：3格</t>
  </si>
  <si>
    <t>注：进攻时可掠夺敌人当前采集器生产的50%圣水</t>
  </si>
  <si>
    <t>地面模式：</t>
  </si>
  <si>
    <t>子弹：1000</t>
  </si>
  <si>
    <t>射程：14格</t>
  </si>
  <si>
    <t>单头模式(射程9)</t>
  </si>
  <si>
    <t>触发人口记录规则：兵种1/单位，法术5/单位，英雄25，援兵信标1，载具1（不包括攻城训练营出来的军队）。</t>
  </si>
  <si>
    <t>注：进攻时可掠夺敌人当前采集器生产的50%金币</t>
  </si>
  <si>
    <t>目标：仅陆军</t>
  </si>
  <si>
    <t>击退距离：0.5格</t>
  </si>
  <si>
    <t>触发延迟1.125秒，攻击最近或者0.75格内总计生命值最高的群体。</t>
  </si>
  <si>
    <t>兼顾模式：</t>
  </si>
  <si>
    <t>二至三阶：3.75秒</t>
  </si>
  <si>
    <t>触发人口：</t>
  </si>
  <si>
    <t>连发：0.75秒*3，可射击30轮（90发炮弹）。</t>
  </si>
  <si>
    <t>储金罐 Gold Storage</t>
  </si>
  <si>
    <t>圣水瓶 Elixir Storage</t>
  </si>
  <si>
    <t>黑油罐 Dark Elixir Storage</t>
  </si>
  <si>
    <t>射程：11.5格</t>
  </si>
  <si>
    <t>多头模式(射程10)</t>
  </si>
  <si>
    <t>资源储量</t>
  </si>
  <si>
    <t>目标：陆空兼顾</t>
  </si>
  <si>
    <t>攻击目标：可变</t>
  </si>
  <si>
    <t>切换时间：0.05秒</t>
  </si>
  <si>
    <t>备注：被冰人普通攻击减速后将降低伤害提高的速度。（2倍时间）</t>
  </si>
  <si>
    <t>储存金币</t>
  </si>
  <si>
    <t>储存圣水</t>
  </si>
  <si>
    <t>储存黑油</t>
  </si>
  <si>
    <t>巨型电磁组件 Townhall12</t>
  </si>
  <si>
    <t>超感应电</t>
  </si>
  <si>
    <t>冰爆地狱组件 Townhall13</t>
  </si>
  <si>
    <t>炽热烈焰</t>
  </si>
  <si>
    <t>西瓜投手 Scattershot</t>
  </si>
  <si>
    <t>还没有熟的西瓜</t>
  </si>
  <si>
    <t>星级</t>
  </si>
  <si>
    <t>攻击数量</t>
  </si>
  <si>
    <t>自爆威力</t>
  </si>
  <si>
    <t>冰冻时间</t>
  </si>
  <si>
    <t>散射伤害</t>
  </si>
  <si>
    <t>射程：3-10格</t>
  </si>
  <si>
    <t>攻速：3.228秒/次</t>
  </si>
  <si>
    <t>12本防御组件</t>
  </si>
  <si>
    <t>13本防御组件</t>
  </si>
  <si>
    <t>西瓜数量：90</t>
  </si>
  <si>
    <t>附属于大本营</t>
  </si>
  <si>
    <t>触发延迟：0.5秒</t>
  </si>
  <si>
    <t>自爆延迟：1.6秒</t>
  </si>
  <si>
    <t>出手时间：0.8秒</t>
  </si>
  <si>
    <t>备注1：爆炸后根据攻击方向向前1-5格散射90°并造成散射伤害。</t>
  </si>
  <si>
    <t>自爆伤害：1000</t>
  </si>
  <si>
    <t>备注：大本营被摧毁后除了爆炸伤害外，还会附加半径为5格的50%的攻速和移速降低。</t>
  </si>
  <si>
    <t>备注2：在此扇形内的1-5格根据距离受到100%到33.33%的散射伤害。</t>
  </si>
  <si>
    <t>备注：5星电塔自爆半径为4格，延迟1.6秒，目标地空。</t>
  </si>
  <si>
    <t>毒爆地狱组件 Townhall14</t>
  </si>
  <si>
    <t>远古烈焰</t>
  </si>
  <si>
    <t>魔能地狱组件 Townhall15</t>
  </si>
  <si>
    <t>魔能烈焰</t>
  </si>
  <si>
    <t>连弩小屋组件 Worker Building</t>
  </si>
  <si>
    <t>弩箭</t>
  </si>
  <si>
    <t>伏击陆空，目标4个</t>
  </si>
  <si>
    <t>最大毒伤</t>
  </si>
  <si>
    <t>移速降低</t>
  </si>
  <si>
    <t>攻速降低</t>
  </si>
  <si>
    <t>爆炸范围</t>
  </si>
  <si>
    <t>每秒修复</t>
  </si>
  <si>
    <t>每次修复</t>
  </si>
  <si>
    <t>4格</t>
  </si>
  <si>
    <t>攻速：0.4秒/次</t>
  </si>
  <si>
    <t>战宠小屋 Pet Shop</t>
  </si>
  <si>
    <t>14本防御组件</t>
  </si>
  <si>
    <t>15本防御组件</t>
  </si>
  <si>
    <t>维修：0.75秒/次</t>
  </si>
  <si>
    <t>解锁宠物</t>
  </si>
  <si>
    <t>4.5格</t>
  </si>
  <si>
    <t>备注：开战1.6秒后唤醒，建筑工人会维修小屋范围内的建筑</t>
  </si>
  <si>
    <t>自爆伤害：</t>
  </si>
  <si>
    <t>备注：大本营被摧毁后释放16秒的半径4格的毒药法术，对英雄100%</t>
  </si>
  <si>
    <t>备注：大本营被摧毁后释放16秒的半径4格的毒药法术</t>
  </si>
  <si>
    <t>其对英雄伤害100%，对其他部队移动和攻击速度降低50%</t>
  </si>
  <si>
    <t>法术塔 Spell Tower</t>
  </si>
  <si>
    <t>陆空</t>
  </si>
  <si>
    <t>触发半径</t>
  </si>
  <si>
    <t>冷却时间</t>
  </si>
  <si>
    <t>18秒</t>
  </si>
  <si>
    <t>70秒</t>
  </si>
  <si>
    <t>5格</t>
  </si>
  <si>
    <t>12秒</t>
  </si>
  <si>
    <t>4.5秒</t>
  </si>
  <si>
    <t>50秒</t>
  </si>
  <si>
    <t>隐秘陷阱</t>
  </si>
  <si>
    <t>由于测量延迟较为困难，所以采用的是兵种点下到陷阱造成效果的时长，精确到0.05秒</t>
  </si>
  <si>
    <t>巨石碑 Monolith</t>
  </si>
  <si>
    <t>01.隐形炸弹</t>
  </si>
  <si>
    <t>隐形炸弹 Mine</t>
  </si>
  <si>
    <t>隐形弹簧 Ejector</t>
  </si>
  <si>
    <t>基本伤害</t>
  </si>
  <si>
    <t>额外伤害</t>
  </si>
  <si>
    <t>02.空中炸弹</t>
  </si>
  <si>
    <t>偷袭陆军</t>
  </si>
  <si>
    <t>爆炸伤害</t>
  </si>
  <si>
    <t>弹出(秒杀)陆军</t>
  </si>
  <si>
    <t>弹出单位</t>
  </si>
  <si>
    <t>巨型炸弹 Superbomb</t>
  </si>
  <si>
    <t>03.搜空地雷</t>
  </si>
  <si>
    <t>触发半径:1.5格</t>
  </si>
  <si>
    <t>触发范围:0.8格</t>
  </si>
  <si>
    <t>04.隐形弹簧</t>
  </si>
  <si>
    <t>爆炸半径:3格</t>
  </si>
  <si>
    <t>作用范围:0.7格</t>
  </si>
  <si>
    <t>触发范围:2格</t>
  </si>
  <si>
    <t>05.巨型炸弹</t>
  </si>
  <si>
    <t>爆炸半径:可变</t>
  </si>
  <si>
    <t>3.5格</t>
  </si>
  <si>
    <t>攻击半径：11格</t>
  </si>
  <si>
    <t>06.骷髅陷阱</t>
  </si>
  <si>
    <t>延迟：1.5秒</t>
  </si>
  <si>
    <t>延迟：0.42秒</t>
  </si>
  <si>
    <t>攻击速度：1.5秒/次</t>
  </si>
  <si>
    <t>命中伤害计算：基本伤害+目标最大生命值*额外伤害</t>
  </si>
  <si>
    <t>07.飓风陷阱</t>
  </si>
  <si>
    <t>延迟：1.6秒</t>
  </si>
  <si>
    <t>巨石碑进攻次数对应单个进攻者生命值</t>
  </si>
  <si>
    <t>进攻次数</t>
  </si>
  <si>
    <t>1级</t>
  </si>
  <si>
    <t>0-170</t>
  </si>
  <si>
    <t>171-394</t>
  </si>
  <si>
    <t>395-703</t>
  </si>
  <si>
    <t>704-1153</t>
  </si>
  <si>
    <t>1154-1875</t>
  </si>
  <si>
    <t>1876-3214</t>
  </si>
  <si>
    <t>3215-6562</t>
  </si>
  <si>
    <t>6563-30000</t>
  </si>
  <si>
    <t>搜空地雷 MegaAirTrap</t>
  </si>
  <si>
    <t>黑气球</t>
  </si>
  <si>
    <t>2级</t>
  </si>
  <si>
    <t>0-229</t>
  </si>
  <si>
    <t>230-540</t>
  </si>
  <si>
    <t>541-983</t>
  </si>
  <si>
    <t>984-1666</t>
  </si>
  <si>
    <t>1667-2857</t>
  </si>
  <si>
    <t>2858-5454</t>
  </si>
  <si>
    <t>5455-15555</t>
  </si>
  <si>
    <t>&gt;15556</t>
  </si>
  <si>
    <t>触发范围:4格</t>
  </si>
  <si>
    <t>骷髅陷阱 Halloweenskels</t>
  </si>
  <si>
    <r>
      <rPr>
        <sz val="11"/>
        <color rgb="FFFFFFFF"/>
        <rFont val="黑体"/>
        <charset val="134"/>
      </rPr>
      <t>陷阱骷髅 TrapSkeletonGround</t>
    </r>
    <r>
      <rPr>
        <sz val="11"/>
        <color rgb="FFFFFFFF"/>
        <rFont val="Malgun Gothic Semilight"/>
        <charset val="134"/>
      </rPr>
      <t>↔</t>
    </r>
    <r>
      <rPr>
        <sz val="11"/>
        <color rgb="FFFFFFFF"/>
        <rFont val="黑体"/>
        <charset val="134"/>
      </rPr>
      <t>TrapSkeletonAir</t>
    </r>
  </si>
  <si>
    <t>攻击目标:可调</t>
  </si>
  <si>
    <t>空中炸弹 AirTrap</t>
  </si>
  <si>
    <t>红气球</t>
  </si>
  <si>
    <t>延迟：0.9秒</t>
  </si>
  <si>
    <t>备注：低于4人口的单位无法触发搜空地雷</t>
  </si>
  <si>
    <t>触发范围:5格</t>
  </si>
  <si>
    <t>备注2：最远追踪距离为8格</t>
  </si>
  <si>
    <t>召唤骷髅</t>
  </si>
  <si>
    <r>
      <rPr>
        <sz val="11"/>
        <color rgb="FFFFFFFF"/>
        <rFont val="黑体"/>
        <charset val="134"/>
      </rPr>
      <t>地面目标</t>
    </r>
    <r>
      <rPr>
        <sz val="11"/>
        <color rgb="FFFFFFFF"/>
        <rFont val="Malgun Gothic Semilight"/>
        <charset val="134"/>
      </rPr>
      <t>↔空中目标</t>
    </r>
  </si>
  <si>
    <r>
      <rPr>
        <sz val="11"/>
        <color rgb="FFFFFFFF"/>
        <rFont val="黑体"/>
        <charset val="134"/>
      </rPr>
      <t>射程：0.4格</t>
    </r>
    <r>
      <rPr>
        <sz val="11"/>
        <color rgb="FFFFFFFF"/>
        <rFont val="Malgun Gothic Semilight"/>
        <charset val="134"/>
      </rPr>
      <t>↔</t>
    </r>
    <r>
      <rPr>
        <sz val="11"/>
        <color rgb="FFFFFFFF"/>
        <rFont val="黑体"/>
        <charset val="134"/>
      </rPr>
      <t>0.0格</t>
    </r>
  </si>
  <si>
    <t>召唤延迟:0.6秒</t>
  </si>
  <si>
    <t>召唤间隔:0.15秒</t>
  </si>
  <si>
    <t>骷髅从冒出(有生命条)到可以行动需要0.6秒</t>
  </si>
  <si>
    <r>
      <rPr>
        <sz val="11"/>
        <color rgb="FFFFFFFF"/>
        <rFont val="黑体"/>
        <charset val="134"/>
      </rPr>
      <t>移速：3.0格/秒</t>
    </r>
    <r>
      <rPr>
        <sz val="11"/>
        <color rgb="FFFFFFFF"/>
        <rFont val="Malgun Gothic Semilight"/>
        <charset val="134"/>
      </rPr>
      <t>↔</t>
    </r>
    <r>
      <rPr>
        <sz val="11"/>
        <color rgb="FFFFFFFF"/>
        <rFont val="黑体"/>
        <charset val="134"/>
      </rPr>
      <t>2.2格/秒</t>
    </r>
  </si>
  <si>
    <r>
      <rPr>
        <sz val="11"/>
        <color rgb="FFFFFFFF"/>
        <rFont val="黑体"/>
        <charset val="134"/>
      </rPr>
      <t>占用空间：1</t>
    </r>
    <r>
      <rPr>
        <sz val="11"/>
        <color rgb="FFFFFFFF"/>
        <rFont val="Malgun Gothic Semilight"/>
        <charset val="134"/>
      </rPr>
      <t>↔</t>
    </r>
    <r>
      <rPr>
        <sz val="11"/>
        <color rgb="FFFFFFFF"/>
        <rFont val="黑体"/>
        <charset val="134"/>
      </rPr>
      <t>2</t>
    </r>
  </si>
  <si>
    <t>飓风陷阱 TornadoTrap</t>
  </si>
  <si>
    <r>
      <rPr>
        <sz val="11"/>
        <color rgb="FFFFFFFF"/>
        <rFont val="黑体"/>
        <charset val="134"/>
      </rPr>
      <t>权重：50/100</t>
    </r>
    <r>
      <rPr>
        <sz val="11"/>
        <color rgb="FFFFFFFF"/>
        <rFont val="Malgun Gothic Semilight"/>
        <charset val="134"/>
      </rPr>
      <t>↔</t>
    </r>
    <r>
      <rPr>
        <sz val="11"/>
        <color rgb="FFFFFFFF"/>
        <rFont val="黑体"/>
        <charset val="134"/>
      </rPr>
      <t>100/100</t>
    </r>
  </si>
  <si>
    <t>控制陆空</t>
  </si>
  <si>
    <t>吸引时长</t>
  </si>
  <si>
    <t>触发范围:3格</t>
  </si>
  <si>
    <t>作用范围:3格</t>
  </si>
  <si>
    <t>延迟：0.75秒</t>
  </si>
  <si>
    <t>备注：最远追踪距离为8格</t>
  </si>
  <si>
    <t>备注：飓风效果对空军&gt;陆军，对矿工无效</t>
  </si>
  <si>
    <t>3.1 夜本军队</t>
  </si>
  <si>
    <t>夜本军队</t>
  </si>
  <si>
    <t>夜本进攻的一切，训练无需成本时间，允许开战前换兵。</t>
  </si>
  <si>
    <t>索引</t>
  </si>
  <si>
    <t>01.狂暴野蛮人</t>
  </si>
  <si>
    <t>01.战争机器</t>
  </si>
  <si>
    <t>02.隐秘弓箭手</t>
  </si>
  <si>
    <t>狂暴野蛮人 Barbarian2</t>
  </si>
  <si>
    <t>野蛮狂暴：在部署后的t秒狂暴，获得额外的移动速度和伤害</t>
  </si>
  <si>
    <t>隐秘弓箭手 Archer2</t>
  </si>
  <si>
    <t>隐形披风：在部署后的t秒隐身，不会被锁定为攻击目标</t>
  </si>
  <si>
    <t>电磁战锤:释放后回复n生命值,并额外增加k的秒伤攻击三次,冷却14秒</t>
  </si>
  <si>
    <t>1~4本</t>
  </si>
  <si>
    <t>新手起源</t>
  </si>
  <si>
    <t>03.巨人拳击手</t>
  </si>
  <si>
    <t>狂暴时长</t>
  </si>
  <si>
    <t>兵营容量</t>
  </si>
  <si>
    <t>隐形时长</t>
  </si>
  <si>
    <t>&gt;&gt;夜本军队</t>
  </si>
  <si>
    <t>05本</t>
  </si>
  <si>
    <t>04.异变亡灵</t>
  </si>
  <si>
    <r>
      <rPr>
        <sz val="11"/>
        <color rgb="FFFFFFFF"/>
        <rFont val="黑体"/>
        <charset val="134"/>
      </rPr>
      <t>射程：1</t>
    </r>
    <r>
      <rPr>
        <sz val="11"/>
        <color rgb="FFFFFFFF"/>
        <rFont val="黑体"/>
        <charset val="134"/>
      </rPr>
      <t>.25</t>
    </r>
    <r>
      <rPr>
        <sz val="11"/>
        <color rgb="FFFFFFFF"/>
        <rFont val="黑体"/>
        <charset val="134"/>
      </rPr>
      <t>格</t>
    </r>
  </si>
  <si>
    <t>06本</t>
  </si>
  <si>
    <t>05.炸弹兵</t>
  </si>
  <si>
    <r>
      <rPr>
        <sz val="11"/>
        <color rgb="FFFFFFFF"/>
        <rFont val="黑体"/>
        <charset val="134"/>
      </rPr>
      <t>攻速：0</t>
    </r>
    <r>
      <rPr>
        <sz val="11"/>
        <color rgb="FFFFFFFF"/>
        <rFont val="黑体"/>
        <charset val="134"/>
      </rPr>
      <t>.8</t>
    </r>
    <r>
      <rPr>
        <sz val="11"/>
        <color rgb="FFFFFFFF"/>
        <rFont val="黑体"/>
        <charset val="134"/>
      </rPr>
      <t>秒/次</t>
    </r>
  </si>
  <si>
    <t>3秒</t>
  </si>
  <si>
    <t>重炮出击</t>
  </si>
  <si>
    <t>06.飞龙宝宝</t>
  </si>
  <si>
    <t>电流狂欢</t>
  </si>
  <si>
    <t>07.加农炮战车</t>
  </si>
  <si>
    <t>技能冷却：14秒</t>
  </si>
  <si>
    <t>天地合奏</t>
  </si>
  <si>
    <t>08.暗夜女巫</t>
  </si>
  <si>
    <t>狂暴移速:4.0格/秒</t>
  </si>
  <si>
    <t>隐身时间:可变</t>
  </si>
  <si>
    <t>技能作用：3次</t>
  </si>
  <si>
    <t>09.骷髅气球</t>
  </si>
  <si>
    <t>5秒</t>
  </si>
  <si>
    <t>移速增加：0.5格/秒</t>
  </si>
  <si>
    <t>10.超级皮卡</t>
  </si>
  <si>
    <t>弹射质量：2</t>
  </si>
  <si>
    <t>11.野猪飞骑</t>
  </si>
  <si>
    <t>8秒</t>
  </si>
  <si>
    <t>7秒</t>
  </si>
  <si>
    <t>&gt;&gt;战争机器</t>
  </si>
  <si>
    <t>16秒</t>
  </si>
  <si>
    <t>20秒</t>
  </si>
  <si>
    <t>巨人拳击手 Giant2</t>
  </si>
  <si>
    <t>重拳出击：首次攻击目标造成 x% 的伤害</t>
  </si>
  <si>
    <t>异变亡灵 Gargoyle2</t>
  </si>
  <si>
    <t>远程狙杀：前k次攻击为远程攻击</t>
  </si>
  <si>
    <t>伤害比例</t>
  </si>
  <si>
    <t>首次伤害</t>
  </si>
  <si>
    <t>升级所需</t>
  </si>
  <si>
    <t>狙击次数</t>
  </si>
  <si>
    <t>重拳出击:首次</t>
  </si>
  <si>
    <t>狙击距离:8格</t>
  </si>
  <si>
    <t>伤害比例:可变</t>
  </si>
  <si>
    <t>狙击次数:可变</t>
  </si>
  <si>
    <t>弹射质量：8</t>
  </si>
  <si>
    <t>炸弹兵 Bomber2</t>
  </si>
  <si>
    <t>强力炸弹：扔出第一个炸弹造成 x% 的伤害</t>
  </si>
  <si>
    <t>手榴弹</t>
  </si>
  <si>
    <t>飞龙宝宝 BabyDragon2</t>
  </si>
  <si>
    <t>火冒三丈：飞龙宝宝在4.5格半径内没有其他空中部队时，伤害提升 x%</t>
  </si>
  <si>
    <t>伤害增加</t>
  </si>
  <si>
    <t>狂暴攻速</t>
  </si>
  <si>
    <t>1.00秒/次</t>
  </si>
  <si>
    <t>0.83秒/次</t>
  </si>
  <si>
    <t>溅射半径:2格</t>
  </si>
  <si>
    <r>
      <rPr>
        <sz val="11"/>
        <color rgb="FFFFFFFF"/>
        <rFont val="黑体"/>
        <charset val="134"/>
      </rPr>
      <t>溅射半径:</t>
    </r>
    <r>
      <rPr>
        <sz val="11"/>
        <color rgb="FFFFFFFF"/>
        <rFont val="黑体"/>
        <charset val="134"/>
      </rPr>
      <t>0.3格</t>
    </r>
  </si>
  <si>
    <t>0.76秒/次</t>
  </si>
  <si>
    <t>克城墙(伤害*15)</t>
  </si>
  <si>
    <t>伤害增加:可变</t>
  </si>
  <si>
    <t>强力炸弹:首次</t>
  </si>
  <si>
    <t>攻速增加:可变</t>
  </si>
  <si>
    <t>0.71秒/次</t>
  </si>
  <si>
    <t>弹射质量：4</t>
  </si>
  <si>
    <t>0.66秒/次</t>
  </si>
  <si>
    <t>0.62秒/次</t>
  </si>
  <si>
    <t>0.58秒/次</t>
  </si>
  <si>
    <t>0.55秒/次</t>
  </si>
  <si>
    <t>备注：飞龙宝宝狂暴下也会增加攻击速度，增幅是每次伤害的50%</t>
  </si>
  <si>
    <t>加农炮战车 Moving Cannon</t>
  </si>
  <si>
    <t>奋战到底：被摧毁后，获得n临时生命值并继续射击</t>
  </si>
  <si>
    <t>暗夜女巫 Dark Witch</t>
  </si>
  <si>
    <t>蝙蝠召唤：被消灭时，最终召唤n只蝙蝠</t>
  </si>
  <si>
    <t>临时生命</t>
  </si>
  <si>
    <t>召唤间隔</t>
  </si>
  <si>
    <t>最终召唤</t>
  </si>
  <si>
    <r>
      <rPr>
        <sz val="11"/>
        <color rgb="FFFFFFFF"/>
        <rFont val="黑体"/>
        <charset val="134"/>
      </rPr>
      <t>射程：4</t>
    </r>
    <r>
      <rPr>
        <sz val="11"/>
        <color rgb="FFFFFFFF"/>
        <rFont val="黑体"/>
        <charset val="134"/>
      </rPr>
      <t>.5</t>
    </r>
    <r>
      <rPr>
        <sz val="11"/>
        <color rgb="FFFFFFFF"/>
        <rFont val="黑体"/>
        <charset val="134"/>
      </rPr>
      <t>格</t>
    </r>
  </si>
  <si>
    <t>6.8秒</t>
  </si>
  <si>
    <r>
      <rPr>
        <sz val="11"/>
        <color rgb="FFFFFFFF"/>
        <rFont val="黑体"/>
        <charset val="134"/>
      </rPr>
      <t>攻速：1.2</t>
    </r>
    <r>
      <rPr>
        <sz val="11"/>
        <color rgb="FFFFFFFF"/>
        <rFont val="黑体"/>
        <charset val="134"/>
      </rPr>
      <t>秒/次</t>
    </r>
  </si>
  <si>
    <r>
      <rPr>
        <sz val="11"/>
        <color rgb="FFFFFFFF"/>
        <rFont val="黑体"/>
        <charset val="134"/>
      </rPr>
      <t>攻速：0</t>
    </r>
    <r>
      <rPr>
        <sz val="11"/>
        <color rgb="FFFFFFFF"/>
        <rFont val="黑体"/>
        <charset val="134"/>
      </rPr>
      <t>.7</t>
    </r>
    <r>
      <rPr>
        <sz val="11"/>
        <color rgb="FFFFFFFF"/>
        <rFont val="黑体"/>
        <charset val="134"/>
      </rPr>
      <t>秒/次</t>
    </r>
  </si>
  <si>
    <t>5.6秒</t>
  </si>
  <si>
    <t>最终射程：5.5格</t>
  </si>
  <si>
    <t>最终召唤:可变</t>
  </si>
  <si>
    <t>生命损耗：25/秒</t>
  </si>
  <si>
    <t>弹射质量：12</t>
  </si>
  <si>
    <t>蝙蝠属性</t>
  </si>
  <si>
    <t>生命值： 10</t>
  </si>
  <si>
    <t>秒  伤： 20</t>
  </si>
  <si>
    <t>射  程： 0.8格</t>
  </si>
  <si>
    <t>攻  速： 2秒/次</t>
  </si>
  <si>
    <t>移  速： 7.0格/秒</t>
  </si>
  <si>
    <t>出手时间 1秒</t>
  </si>
  <si>
    <t>备注：如果被弹簧弹射或者等级过低导致可以被巨加一发秒，则不会触发奋战到底</t>
  </si>
  <si>
    <t>骷髅气球 Balloon2</t>
  </si>
  <si>
    <t>骷髅绽放：被摧毁时造成n伤害，最终投放k个骷髅</t>
  </si>
  <si>
    <t>超级皮卡 PEKKA2</t>
  </si>
  <si>
    <t>能量过载:被摧毁后自爆产生n伤害</t>
  </si>
  <si>
    <t>投放间隔</t>
  </si>
  <si>
    <t>最终投放</t>
  </si>
  <si>
    <t>6.00秒</t>
  </si>
  <si>
    <r>
      <rPr>
        <sz val="11"/>
        <color rgb="FFFFFFFF"/>
        <rFont val="黑体"/>
        <charset val="134"/>
      </rPr>
      <t>射程：0.</t>
    </r>
    <r>
      <rPr>
        <sz val="11"/>
        <color rgb="FFFFFFFF"/>
        <rFont val="黑体"/>
        <charset val="134"/>
      </rPr>
      <t>8</t>
    </r>
    <r>
      <rPr>
        <sz val="11"/>
        <color rgb="FFFFFFFF"/>
        <rFont val="黑体"/>
        <charset val="134"/>
      </rPr>
      <t>格</t>
    </r>
  </si>
  <si>
    <r>
      <rPr>
        <sz val="11"/>
        <color rgb="FFFFFFFF"/>
        <rFont val="黑体"/>
        <charset val="134"/>
      </rPr>
      <t>攻速：1.8</t>
    </r>
    <r>
      <rPr>
        <sz val="11"/>
        <color rgb="FFFFFFFF"/>
        <rFont val="黑体"/>
        <charset val="134"/>
      </rPr>
      <t>秒/次</t>
    </r>
  </si>
  <si>
    <t>投放数量：3</t>
  </si>
  <si>
    <t>移速：2.4格/秒</t>
  </si>
  <si>
    <t>投放上限：9</t>
  </si>
  <si>
    <t>5.22秒</t>
  </si>
  <si>
    <t>投放时间：2.7秒</t>
  </si>
  <si>
    <t>自爆延迟：1.5秒</t>
  </si>
  <si>
    <t>坠落溅射：2.7格</t>
  </si>
  <si>
    <t>弹射质量：25</t>
  </si>
  <si>
    <t>4.54秒</t>
  </si>
  <si>
    <t>3.95秒</t>
  </si>
  <si>
    <t>3.43秒</t>
  </si>
  <si>
    <t>野猪飞骑 Hog Glider</t>
  </si>
  <si>
    <t>俯冲突袭：被飞翼击中的单位将击晕x秒</t>
  </si>
  <si>
    <t>飞翼生命</t>
  </si>
  <si>
    <t>飞翼伤害</t>
  </si>
  <si>
    <t>瘫痪时间</t>
  </si>
  <si>
    <t>野猪生命</t>
  </si>
  <si>
    <t>野猪秒伤</t>
  </si>
  <si>
    <t>飞翼移速：3.0格/秒</t>
  </si>
  <si>
    <t>猪猪移速：4格/秒</t>
  </si>
  <si>
    <t>猪猪攻速：1秒/次</t>
  </si>
  <si>
    <t>3.2 夜本建筑</t>
  </si>
  <si>
    <t>所有的建筑物包括防御和支援两大类。</t>
  </si>
  <si>
    <t>01.联排城墙</t>
  </si>
  <si>
    <t>02.加农炮</t>
  </si>
  <si>
    <t>联排城墙 WallStraight</t>
  </si>
  <si>
    <t>加农炮 Cannon2</t>
  </si>
  <si>
    <t>双管加农炮 Double Cannon</t>
  </si>
  <si>
    <t>02.训练营</t>
  </si>
  <si>
    <t>03.双管加农炮</t>
  </si>
  <si>
    <t>03.小型兵营</t>
  </si>
  <si>
    <t>大本营 Town Hall2</t>
  </si>
  <si>
    <t>训练营 Barrack2</t>
  </si>
  <si>
    <t>小型兵营 Troop Housing2</t>
  </si>
  <si>
    <t>04.多功能箭塔</t>
  </si>
  <si>
    <t>04.实验室</t>
  </si>
  <si>
    <t>数量</t>
  </si>
  <si>
    <t>05.伏击电塔</t>
  </si>
  <si>
    <t>05.圣水瓶</t>
  </si>
  <si>
    <t>狂暴战士</t>
  </si>
  <si>
    <t>06.防空火炮</t>
  </si>
  <si>
    <t>攻速：2.368秒/轮</t>
  </si>
  <si>
    <t>06.圣水泵</t>
  </si>
  <si>
    <t>训练兵种</t>
  </si>
  <si>
    <t>隐秘射手</t>
  </si>
  <si>
    <t>储存部队</t>
  </si>
  <si>
    <t>07.撼地巨石</t>
  </si>
  <si>
    <t>07.储金库</t>
  </si>
  <si>
    <t>建议速本！</t>
  </si>
  <si>
    <t>巨人拳手</t>
  </si>
  <si>
    <t>08.守卫岗哨</t>
  </si>
  <si>
    <t>08.采金场</t>
  </si>
  <si>
    <t>训练无需时间</t>
  </si>
  <si>
    <t>09.空炸起源</t>
  </si>
  <si>
    <t>09.宝石矿井</t>
  </si>
  <si>
    <t>10.多管迫击炮</t>
  </si>
  <si>
    <t>10.时光钟楼</t>
  </si>
  <si>
    <t>11.熔岩火炮</t>
  </si>
  <si>
    <t>01.弹射陷阱</t>
  </si>
  <si>
    <t>重炮战车</t>
  </si>
  <si>
    <t>备注：夜本兵营没有等级，但是下一个建筑更贵，所以以数量代替等级</t>
  </si>
  <si>
    <t>12.巨型大炮</t>
  </si>
  <si>
    <t>02.隐形弹簧</t>
  </si>
  <si>
    <t>13.超级电塔</t>
  </si>
  <si>
    <t>备注：城墙5个一组，故名“联排城墙”</t>
  </si>
  <si>
    <t>03.小型地雷</t>
  </si>
  <si>
    <t>14.西瓜投手</t>
  </si>
  <si>
    <t>备注2：城墙&gt;=6级可以使用圣水刷墙</t>
  </si>
  <si>
    <t>04.大型地雷</t>
  </si>
  <si>
    <t>???.奥仔小屋</t>
  </si>
  <si>
    <t>多功能箭塔 Archer Tower2</t>
  </si>
  <si>
    <t>伏击电塔 Tesla Tower2</t>
  </si>
  <si>
    <t>防空火炮 Air Defense Mini</t>
  </si>
  <si>
    <t>三联烟花</t>
  </si>
  <si>
    <t>实验室 Laboratory2</t>
  </si>
  <si>
    <t>圣水瓶 Elixir Storage2</t>
  </si>
  <si>
    <t>圣水泵 Elixir Pump2</t>
  </si>
  <si>
    <t>远程秒伤</t>
  </si>
  <si>
    <t>快速秒伤</t>
  </si>
  <si>
    <t>储存容量</t>
  </si>
  <si>
    <t>连发：0.064秒*3</t>
  </si>
  <si>
    <t>攻速：1.024秒/轮</t>
  </si>
  <si>
    <t>远程模式</t>
  </si>
  <si>
    <t>快速模式</t>
  </si>
  <si>
    <t>撼地巨石 Crusher</t>
  </si>
  <si>
    <t>守卫岗哨 Guard Post</t>
  </si>
  <si>
    <t>空炸起源 Air Defense2</t>
  </si>
  <si>
    <t>储金罐 Gold Storage2</t>
  </si>
  <si>
    <t>采金场 Gold Mine2</t>
  </si>
  <si>
    <t>宝石矿井 Gem Mine</t>
  </si>
  <si>
    <t>驻扎守军</t>
  </si>
  <si>
    <t>守卫数量</t>
  </si>
  <si>
    <t>守卫等级</t>
  </si>
  <si>
    <t>宝石容量</t>
  </si>
  <si>
    <t>射程：2.3格</t>
  </si>
  <si>
    <t>巡逻半径：3格</t>
  </si>
  <si>
    <t>射程：8格</t>
  </si>
  <si>
    <t>追击半径：7格</t>
  </si>
  <si>
    <t>采集宝石</t>
  </si>
  <si>
    <t>溅射半径：2.8格</t>
  </si>
  <si>
    <t>攻击冷却：2.2秒</t>
  </si>
  <si>
    <t>多管迫击炮 Multi Mortar</t>
  </si>
  <si>
    <t>熔岩火炮 Flamer</t>
  </si>
  <si>
    <t>炙热熔岩</t>
  </si>
  <si>
    <t>巨型大炮 Giant Cannon</t>
  </si>
  <si>
    <t>碳酸钙-60</t>
  </si>
  <si>
    <t>时光钟楼 Clock Tower</t>
  </si>
  <si>
    <t>弹射陷阱 Pusher</t>
  </si>
  <si>
    <t>隐形弹簧 Ejector2</t>
  </si>
  <si>
    <t>加速时长</t>
  </si>
  <si>
    <t>弹射陆军（击退）</t>
  </si>
  <si>
    <t>弹射能力</t>
  </si>
  <si>
    <t>弹出陆军（秒杀）</t>
  </si>
  <si>
    <t>射程：4-13格</t>
  </si>
  <si>
    <t>触发半径：1格</t>
  </si>
  <si>
    <t>触发半径：0.7格</t>
  </si>
  <si>
    <t>连发：0.5秒*4</t>
  </si>
  <si>
    <t>连发：0.14秒*15</t>
  </si>
  <si>
    <t>提供10倍加速</t>
  </si>
  <si>
    <t>作用半径：3.5格</t>
  </si>
  <si>
    <t>作用半径：0.7格</t>
  </si>
  <si>
    <t>攻速：5秒/轮</t>
  </si>
  <si>
    <t>攻速：1.8秒/轮</t>
  </si>
  <si>
    <t>穿透半径：1格</t>
  </si>
  <si>
    <t>冷却时间：22小时</t>
  </si>
  <si>
    <t>弹射距离：6格</t>
  </si>
  <si>
    <t>占地面积：1*1</t>
  </si>
  <si>
    <t>溅射半径：3格</t>
  </si>
  <si>
    <t>占地面积：2*2</t>
  </si>
  <si>
    <t>触发延迟：0.24秒</t>
  </si>
  <si>
    <t>触发延迟：0.16秒</t>
  </si>
  <si>
    <t>飞行极限：48格</t>
  </si>
  <si>
    <t>备注：巨型加农炮的炮弹会越飞越慢，从16秒/格到4秒/格</t>
  </si>
  <si>
    <t>备注：弹射陷阱对战争机器无效</t>
  </si>
  <si>
    <t>超级电塔 Mega Tesla</t>
  </si>
  <si>
    <t>西瓜投手 LavaLauncher</t>
  </si>
  <si>
    <t>彻底熟透的西瓜</t>
  </si>
  <si>
    <t>小型地雷 AirGroundTrap</t>
  </si>
  <si>
    <t>大型地雷 MegaAirGroundTrap</t>
  </si>
  <si>
    <t>奥仔小屋 Arto Building</t>
  </si>
  <si>
    <t>炮弹伤害</t>
  </si>
  <si>
    <t>熔岩秒伤</t>
  </si>
  <si>
    <t>攻击目标：可调</t>
  </si>
  <si>
    <t>条件</t>
  </si>
  <si>
    <t>射程：7.5格</t>
  </si>
  <si>
    <t>射程：10-20格</t>
  </si>
  <si>
    <t>触发半径：4格</t>
  </si>
  <si>
    <t>触发半径：3格</t>
  </si>
  <si>
    <t>100000夜本金币 0小时建造</t>
  </si>
  <si>
    <t>攻速：4秒/次</t>
  </si>
  <si>
    <t>攻速：7秒/次</t>
  </si>
  <si>
    <t>爆炸半径：5格</t>
  </si>
  <si>
    <t>爆炸半径：4格</t>
  </si>
  <si>
    <t>改装家乡加农炮、箭塔和迫击炮</t>
  </si>
  <si>
    <t>升级加农炮战车至18级</t>
  </si>
  <si>
    <t>升级超级电塔至9级</t>
  </si>
  <si>
    <t>触发延迟：0.7秒</t>
  </si>
  <si>
    <t>触发延迟：0.75秒</t>
  </si>
  <si>
    <t>升级战争机器至30级</t>
  </si>
  <si>
    <t>连锁距离：4格</t>
  </si>
  <si>
    <t>熔岩时长：20秒</t>
  </si>
  <si>
    <t>满级后解锁夜本第二个建筑工人：奥仔，从而建筑大师可以到家乡建造建筑</t>
  </si>
  <si>
    <t>攻击数量：2个</t>
  </si>
  <si>
    <t>攻击冷却：3.0秒</t>
  </si>
  <si>
    <t>备注1：单位受到的伤害随站在碎西瓜的时间递增</t>
  </si>
  <si>
    <t>备注：击退距离只对弹射质量&lt;=2的单位有效</t>
  </si>
  <si>
    <t>备注2：碎西瓜对战争机器只有5%</t>
  </si>
  <si>
    <t>4.1 都城军队</t>
  </si>
  <si>
    <t>都城军队</t>
  </si>
  <si>
    <t>都城法术</t>
  </si>
  <si>
    <t>都城进攻摧毁子城获得一次额外进攻机会。</t>
  </si>
  <si>
    <t>01.疗伤法术</t>
  </si>
  <si>
    <t>超级野蛮人 Super Barbarian</t>
  </si>
  <si>
    <t>隐秘弓箭手 Archer3</t>
  </si>
  <si>
    <t>超级巨人 Giant2</t>
  </si>
  <si>
    <t>城墙克星：对城墙造成更多伤害</t>
  </si>
  <si>
    <t>02.弹跳法术</t>
  </si>
  <si>
    <t>01本</t>
  </si>
  <si>
    <t>❶</t>
  </si>
  <si>
    <t>03.超级巨人</t>
  </si>
  <si>
    <t>城墙每次伤害</t>
  </si>
  <si>
    <t>03.雷电法术</t>
  </si>
  <si>
    <t>治疗半径：4.5格</t>
  </si>
  <si>
    <t>覆盖半径：4.5格</t>
  </si>
  <si>
    <t>02本</t>
  </si>
  <si>
    <t>❷</t>
  </si>
  <si>
    <t>04.野蛮人攻城槌</t>
  </si>
  <si>
    <t>射程：0.45格</t>
  </si>
  <si>
    <t>04.冰霜法术</t>
  </si>
  <si>
    <t>持续时长：两次进攻</t>
  </si>
  <si>
    <t>3.2格</t>
  </si>
  <si>
    <t>03本</t>
  </si>
  <si>
    <t>❸</t>
  </si>
  <si>
    <t>05.亡灵大军</t>
  </si>
  <si>
    <t>05.狂暴法术</t>
  </si>
  <si>
    <t>治疗间隔：0.4秒</t>
  </si>
  <si>
    <t>弹跳间隔：0.4秒</t>
  </si>
  <si>
    <t>3.4格</t>
  </si>
  <si>
    <t>04本</t>
  </si>
  <si>
    <t>❹</t>
  </si>
  <si>
    <t>06.超级法师</t>
  </si>
  <si>
    <t>移速：1.8格/秒</t>
  </si>
  <si>
    <t>移速：1.1格/秒</t>
  </si>
  <si>
    <t>06.骷髅召唤法术</t>
  </si>
  <si>
    <t>3.6格</t>
  </si>
  <si>
    <t>❺</t>
  </si>
  <si>
    <t>07.火箭气球兵</t>
  </si>
  <si>
    <t>单体攻击延迟0.7秒</t>
  </si>
  <si>
    <t>3.8格</t>
  </si>
  <si>
    <t>❻</t>
  </si>
  <si>
    <t>08.骷髅飞桶</t>
  </si>
  <si>
    <t>狂暴移速:3.75格/秒</t>
  </si>
  <si>
    <t>隐身时间:5秒</t>
  </si>
  <si>
    <t>&gt;&gt;都城兵种</t>
  </si>
  <si>
    <t>4.0格</t>
  </si>
  <si>
    <t>❼</t>
  </si>
  <si>
    <t>09.空中堡垒</t>
  </si>
  <si>
    <t>占据人口：10（5个，单个2）</t>
  </si>
  <si>
    <t>人口：10</t>
  </si>
  <si>
    <t>❽</t>
  </si>
  <si>
    <t>10.突袭炮车</t>
  </si>
  <si>
    <t>人口数：5</t>
  </si>
  <si>
    <t>防守奖励：200</t>
  </si>
  <si>
    <t>防守奖励：1000</t>
  </si>
  <si>
    <t>备注2：超过100人口的兵种无效。</t>
  </si>
  <si>
    <t>❾</t>
  </si>
  <si>
    <t>11.超级皮卡</t>
  </si>
  <si>
    <t>防守奖励：500</t>
  </si>
  <si>
    <t>❿</t>
  </si>
  <si>
    <t>12.野猪突袭队</t>
  </si>
  <si>
    <t>13.超级飞龙</t>
  </si>
  <si>
    <t>冰霜法术 Frost</t>
  </si>
  <si>
    <t>14.高山戈仑</t>
  </si>
  <si>
    <t>电击溅射：1.5格</t>
  </si>
  <si>
    <t>15.地狱飞龙</t>
  </si>
  <si>
    <t>野蛮人攻城锤</t>
  </si>
  <si>
    <t>攻城锤野蛮人</t>
  </si>
  <si>
    <t>亡灵大军 Gargoyle3</t>
  </si>
  <si>
    <t>超级法师Super Wizard2</t>
  </si>
  <si>
    <t>4.2格</t>
  </si>
  <si>
    <t>连锁伤害</t>
  </si>
  <si>
    <t>4.4格</t>
  </si>
  <si>
    <t>&gt;&gt;法术</t>
  </si>
  <si>
    <t>射程：1.5格</t>
  </si>
  <si>
    <t>4.6格</t>
  </si>
  <si>
    <t>电击间隔：0.1秒</t>
  </si>
  <si>
    <t>4.8格</t>
  </si>
  <si>
    <t>5.0格</t>
  </si>
  <si>
    <t>单体链式攻击</t>
  </si>
  <si>
    <t>占用人口：5</t>
  </si>
  <si>
    <t>占据人口：10（6只）</t>
  </si>
  <si>
    <t>防守奖励：0</t>
  </si>
  <si>
    <t>防守奖励：167</t>
  </si>
  <si>
    <t>骷髅召唤法术</t>
  </si>
  <si>
    <t>骷髅</t>
  </si>
  <si>
    <t>狂暴半径：4.5格</t>
  </si>
  <si>
    <t>作用半径：3.2格</t>
  </si>
  <si>
    <t>骷髅数量</t>
  </si>
  <si>
    <t>气球火箭兵 HastyBalloon2</t>
  </si>
  <si>
    <t>骷髅飞桶</t>
  </si>
  <si>
    <t>空中堡垒</t>
  </si>
  <si>
    <t>骷髅飞骑</t>
  </si>
  <si>
    <t>分裂骷髅数</t>
  </si>
  <si>
    <t>骷髅飞骑数</t>
  </si>
  <si>
    <t>坠毁骷髅数</t>
  </si>
  <si>
    <t>狂暴间隔：0.4秒</t>
  </si>
  <si>
    <r>
      <rPr>
        <sz val="11"/>
        <color rgb="FFFFFFFF"/>
        <rFont val="黑体"/>
        <charset val="134"/>
      </rPr>
      <t>地面目标</t>
    </r>
    <r>
      <rPr>
        <sz val="11"/>
        <color rgb="FFFFFFFF"/>
        <rFont val="Malgun Gothic Semilight"/>
        <charset val="134"/>
      </rPr>
      <t>↔陆空目标</t>
    </r>
  </si>
  <si>
    <t>射程：4.5格</t>
  </si>
  <si>
    <r>
      <rPr>
        <sz val="11"/>
        <color rgb="FFFFFFFF"/>
        <rFont val="黑体"/>
        <charset val="134"/>
      </rPr>
      <t>攻速：1.0</t>
    </r>
    <r>
      <rPr>
        <sz val="11"/>
        <color rgb="FFFFFFFF"/>
        <rFont val="Malgun Gothic Semilight"/>
        <charset val="134"/>
      </rPr>
      <t>↔</t>
    </r>
    <r>
      <rPr>
        <sz val="11"/>
        <color rgb="FFFFFFFF"/>
        <rFont val="黑体"/>
        <charset val="134"/>
      </rPr>
      <t>0.7秒/次</t>
    </r>
  </si>
  <si>
    <t>攻击延迟：2.25秒</t>
  </si>
  <si>
    <r>
      <rPr>
        <sz val="11"/>
        <color rgb="FFFFFFFF"/>
        <rFont val="黑体"/>
        <charset val="134"/>
      </rPr>
      <t>移速：2.0格/秒</t>
    </r>
    <r>
      <rPr>
        <sz val="11"/>
        <color rgb="FFFFFFFF"/>
        <rFont val="Malgun Gothic Semilight"/>
        <charset val="134"/>
      </rPr>
      <t>↔</t>
    </r>
    <r>
      <rPr>
        <sz val="11"/>
        <color rgb="FFFFFFFF"/>
        <rFont val="黑体"/>
        <charset val="134"/>
      </rPr>
      <t>1.1格/秒</t>
    </r>
  </si>
  <si>
    <t>移速：1格/秒</t>
  </si>
  <si>
    <t>占用空间：100</t>
  </si>
  <si>
    <t>出手延迟：2秒</t>
  </si>
  <si>
    <t>自爆半径：1.0格</t>
  </si>
  <si>
    <t>每组数量：3</t>
  </si>
  <si>
    <t>防守奖励：10000</t>
  </si>
  <si>
    <t>每组数量：2</t>
  </si>
  <si>
    <t>气球火箭兵会在部署后的4秒内提高达到惊人的7格/秒</t>
  </si>
  <si>
    <t>防守奖励：750</t>
  </si>
  <si>
    <t>突袭炮车 Raid Cart</t>
  </si>
  <si>
    <t>奋战到底：被摧毁后，获得临时生命值并继续射击</t>
  </si>
  <si>
    <t>超级皮卡 PEKKA3</t>
  </si>
  <si>
    <t>野猪突袭队(2陆1空）</t>
  </si>
  <si>
    <t>奇袭俯冲:飞骑撞击防御建筑致晕</t>
  </si>
  <si>
    <t>撞击伤害</t>
  </si>
  <si>
    <r>
      <rPr>
        <sz val="11"/>
        <color rgb="FFFFFFFF"/>
        <rFont val="黑体"/>
        <charset val="134"/>
      </rPr>
      <t>攻速：1</t>
    </r>
    <r>
      <rPr>
        <sz val="11"/>
        <color rgb="FFFFFFFF"/>
        <rFont val="黑体"/>
        <charset val="134"/>
      </rPr>
      <t>秒/次</t>
    </r>
  </si>
  <si>
    <t>移速：1.25格/秒</t>
  </si>
  <si>
    <t>占据人口：15</t>
  </si>
  <si>
    <t>自爆半径：1.8格</t>
  </si>
  <si>
    <t>注：死亡后临时生命衰减每秒100</t>
  </si>
  <si>
    <t>占据人口：40</t>
  </si>
  <si>
    <t>防守奖励：4000</t>
  </si>
  <si>
    <t>防守奖励：3000</t>
  </si>
  <si>
    <t>致热龙息</t>
  </si>
  <si>
    <t xml:space="preserve">高山戈仑 </t>
  </si>
  <si>
    <t>城墙一碰就倒</t>
  </si>
  <si>
    <t>射程：2.25格</t>
  </si>
  <si>
    <t>攻击速度：3秒/次</t>
  </si>
  <si>
    <t>移速：0.5格/秒</t>
  </si>
  <si>
    <r>
      <rPr>
        <sz val="11"/>
        <color rgb="FFFFFFFF"/>
        <rFont val="黑体"/>
        <charset val="134"/>
      </rPr>
      <t>溅射半径：1.</t>
    </r>
    <r>
      <rPr>
        <sz val="11"/>
        <color rgb="FFFFFFFF"/>
        <rFont val="黑体"/>
        <charset val="134"/>
      </rPr>
      <t>2</t>
    </r>
    <r>
      <rPr>
        <sz val="11"/>
        <color rgb="FFFFFFFF"/>
        <rFont val="黑体"/>
        <charset val="134"/>
      </rPr>
      <t>格</t>
    </r>
  </si>
  <si>
    <t>溅射半径：0.75</t>
  </si>
  <si>
    <t>自爆延迟：0.4秒</t>
  </si>
  <si>
    <t>自爆半径：2.5格</t>
  </si>
  <si>
    <t>占用空间：160</t>
  </si>
  <si>
    <t>备注：高山戈仑可以越过宽度 2 格以内的河流</t>
  </si>
  <si>
    <t>防守奖励：16000</t>
  </si>
  <si>
    <t>4.2都城建筑</t>
  </si>
  <si>
    <t>01.城墙</t>
  </si>
  <si>
    <t>01.都城大本营</t>
  </si>
  <si>
    <t>加农炮 Cannon3</t>
  </si>
  <si>
    <t>投矛器 Spear Thrower</t>
  </si>
  <si>
    <t>矛</t>
  </si>
  <si>
    <t>02.子城大本营</t>
  </si>
  <si>
    <t>03.投矛器</t>
  </si>
  <si>
    <t>摧毁收益</t>
  </si>
  <si>
    <t>秒伤</t>
  </si>
  <si>
    <t>03.兵营</t>
  </si>
  <si>
    <t>都城大本营 Capital Hall</t>
  </si>
  <si>
    <t>可解锁子城等级</t>
  </si>
  <si>
    <t>子城大本营 District Hall</t>
  </si>
  <si>
    <t>04.防空火箭</t>
  </si>
  <si>
    <t>04.法术仓库</t>
  </si>
  <si>
    <t>升级要求</t>
  </si>
  <si>
    <t>摧毁奖励</t>
  </si>
  <si>
    <t>摧毁奖章</t>
  </si>
  <si>
    <t>05.多管加农炮</t>
  </si>
  <si>
    <t>05.超级野蛮人训练营</t>
  </si>
  <si>
    <t>射程：15格</t>
  </si>
  <si>
    <t>06.炸弹塔</t>
  </si>
  <si>
    <t>06.隐秘弓箭手训练营</t>
  </si>
  <si>
    <t>攻速：8秒/次</t>
  </si>
  <si>
    <t>07.多管迫击炮</t>
  </si>
  <si>
    <t>07.超级巨人训练营</t>
  </si>
  <si>
    <t>溅射半径：2.5格</t>
  </si>
  <si>
    <t>08.超级法师塔</t>
  </si>
  <si>
    <t>08.野蛮人攻城槌训练营</t>
  </si>
  <si>
    <t>占地：6*6</t>
  </si>
  <si>
    <t>09.亡灵训练营</t>
  </si>
  <si>
    <t>判定：5*5</t>
  </si>
  <si>
    <t>10.疾速火箭</t>
  </si>
  <si>
    <t>10.超级法师训练营</t>
  </si>
  <si>
    <t>冷却时间：5秒</t>
  </si>
  <si>
    <t>11.撼地巨石</t>
  </si>
  <si>
    <t>11.火箭气球兵训练营</t>
  </si>
  <si>
    <t>12.超级特斯拉电塔</t>
  </si>
  <si>
    <t>防空火箭 Air Defense Mini</t>
  </si>
  <si>
    <t>烟花</t>
  </si>
  <si>
    <t>多管加农炮  Multi Cannon</t>
  </si>
  <si>
    <t>12.骷髅飞桶训练营</t>
  </si>
  <si>
    <t>13.巨型加农炮</t>
  </si>
  <si>
    <t>13.空中堡垒工坊</t>
  </si>
  <si>
    <t>14.火箭炮</t>
  </si>
  <si>
    <t>射程：20格</t>
  </si>
  <si>
    <t>14.突袭炮车训练营</t>
  </si>
  <si>
    <t>15.地狱之塔</t>
  </si>
  <si>
    <t>连发：4*0.133秒+3*0.189秒</t>
  </si>
  <si>
    <t>15.超级皮卡训练营</t>
  </si>
  <si>
    <t>16.爆炸强弩</t>
  </si>
  <si>
    <t>攻速：2.68秒/轮</t>
  </si>
  <si>
    <t>16.野猪特攻队训练营</t>
  </si>
  <si>
    <t>17.超级巨人岗哨</t>
  </si>
  <si>
    <t>冷却：0.8秒</t>
  </si>
  <si>
    <t>17.超级飞龙训练营</t>
  </si>
  <si>
    <t>18.突袭炮车岗哨</t>
  </si>
  <si>
    <t>18.高山戈仑石场</t>
  </si>
  <si>
    <t>兵营 Troop Housing3</t>
  </si>
  <si>
    <t>19.超级飞龙岗哨</t>
  </si>
  <si>
    <t>19.疗伤法术工厂</t>
  </si>
  <si>
    <t>容量</t>
  </si>
  <si>
    <t>20.迷你亡灵巢穴</t>
  </si>
  <si>
    <t>20.弹跳法术工厂</t>
  </si>
  <si>
    <t>21.反弹机</t>
  </si>
  <si>
    <t>21.雷电法术工厂</t>
  </si>
  <si>
    <t>所在子城：</t>
  </si>
  <si>
    <t>22.冰霜法术工厂</t>
  </si>
  <si>
    <t>超级法师塔 Super Wizard Tower</t>
  </si>
  <si>
    <t>魔法链</t>
  </si>
  <si>
    <t>空炸起源 Air Bombs</t>
  </si>
  <si>
    <t>23.狂暴法术工厂</t>
  </si>
  <si>
    <t>24.地狱飞龙训练营</t>
  </si>
  <si>
    <t>射程：5.5格</t>
  </si>
  <si>
    <t>射程：8.5格</t>
  </si>
  <si>
    <t>25.骷髅召唤法术工厂</t>
  </si>
  <si>
    <t>26.各类小屋</t>
  </si>
  <si>
    <t>连锁半径：2.25格</t>
  </si>
  <si>
    <t>01.地雷</t>
  </si>
  <si>
    <t>溅射半径：1.7格</t>
  </si>
  <si>
    <t>02.巨型地雷</t>
  </si>
  <si>
    <t>03.滚木陷阱</t>
  </si>
  <si>
    <t>04.电击陷阱</t>
  </si>
  <si>
    <t>疾速火箭 Rapid Rockets</t>
  </si>
  <si>
    <t>超级电塔 Hidden Mega Tesla</t>
  </si>
  <si>
    <t>首杀</t>
  </si>
  <si>
    <t>再杀</t>
  </si>
  <si>
    <t>射程：1.7格</t>
  </si>
  <si>
    <t>5连发：0.4秒*4+0.55秒</t>
  </si>
  <si>
    <t>攻速：3.3秒/次</t>
  </si>
  <si>
    <t>攻速：2.18秒/轮</t>
  </si>
  <si>
    <t>溅射半径：2.1格</t>
  </si>
  <si>
    <t>连锁延迟0.128秒</t>
  </si>
  <si>
    <t>连锁距离：2.25格</t>
  </si>
  <si>
    <t>火箭炮 Rocket Artillery</t>
  </si>
  <si>
    <t>地狱之塔 Inferno Tower</t>
  </si>
  <si>
    <t>最低秒伤</t>
  </si>
  <si>
    <t>最高秒伤</t>
  </si>
  <si>
    <t>射程：3-12格</t>
  </si>
  <si>
    <t>攻速：未知</t>
  </si>
  <si>
    <t>穿透极限：2格</t>
  </si>
  <si>
    <t>野猪突袭队训练营</t>
  </si>
  <si>
    <t>爆炸强弩 blast Bow</t>
  </si>
  <si>
    <t>超级巨人岗哨 Super Giant Post</t>
  </si>
  <si>
    <t>突袭炮车岗哨 Raid Cart Post</t>
  </si>
  <si>
    <t>驻扎超级巨人*2</t>
  </si>
  <si>
    <t>驻扎突袭炮车*1</t>
  </si>
  <si>
    <t>射程：3.5-14格</t>
  </si>
  <si>
    <t>巡逻半径：1.5格</t>
  </si>
  <si>
    <t>溅射半径：0.2格</t>
  </si>
  <si>
    <t>超级飞龙岗哨 Super Dragon Post</t>
  </si>
  <si>
    <t>驻扎超级飞龙*1</t>
  </si>
  <si>
    <t>每发伤害</t>
  </si>
  <si>
    <t>最快每次伤害</t>
  </si>
  <si>
    <t>12连发速度：0.23秒/次</t>
  </si>
  <si>
    <t>最快攻速：0.575秒/次</t>
  </si>
  <si>
    <t>攻击冷却：1.5秒</t>
  </si>
  <si>
    <t>打酱油的房屋</t>
  </si>
  <si>
    <t>地雷 Mine</t>
  </si>
  <si>
    <t>巨型地雷 Mega Mine</t>
  </si>
  <si>
    <t>这些房屋仅仅凑数</t>
  </si>
  <si>
    <t>名称</t>
  </si>
  <si>
    <t>占地面积</t>
  </si>
  <si>
    <t>判定</t>
  </si>
  <si>
    <t>3×3</t>
  </si>
  <si>
    <t>2×2</t>
  </si>
  <si>
    <t>触发半径：1.5格</t>
  </si>
  <si>
    <t>触发半径：2格</t>
  </si>
  <si>
    <t>1×1</t>
  </si>
  <si>
    <t>爆炸半径：3格</t>
  </si>
  <si>
    <t>击退距离：0.25格</t>
  </si>
  <si>
    <t>滚木 Log Trap</t>
  </si>
  <si>
    <t>电击陷阱 Zap Trap</t>
  </si>
  <si>
    <t>攻击目标：地面</t>
  </si>
  <si>
    <t>触发距离：9格</t>
  </si>
  <si>
    <t>触发半径：5格</t>
  </si>
  <si>
    <t>穿透极限：10格</t>
  </si>
  <si>
    <t>击退距离：1.5格</t>
  </si>
  <si>
    <t>5.1 联赛&amp;等级</t>
  </si>
  <si>
    <t>家乡联赛</t>
  </si>
  <si>
    <t>部落联赛</t>
  </si>
  <si>
    <t>玩家等级</t>
  </si>
  <si>
    <t>其中包含以下部分：</t>
  </si>
  <si>
    <t>部落段位</t>
  </si>
  <si>
    <t>部落胜场</t>
  </si>
  <si>
    <t>部落排名</t>
  </si>
  <si>
    <t>个人星星</t>
  </si>
  <si>
    <t>-&gt;</t>
  </si>
  <si>
    <t>个人奖章</t>
  </si>
  <si>
    <t>分配奖章</t>
  </si>
  <si>
    <t>分配名额</t>
  </si>
  <si>
    <t>你的等级</t>
  </si>
  <si>
    <t>你的经验</t>
  </si>
  <si>
    <t>目标等级</t>
  </si>
  <si>
    <t>所需经验:</t>
  </si>
  <si>
    <t>1.家乡联赛</t>
  </si>
  <si>
    <t>你的奖杯：</t>
  </si>
  <si>
    <t>联机模式奖励</t>
  </si>
  <si>
    <t>胜利之星奖励</t>
  </si>
  <si>
    <t>冠军1</t>
  </si>
  <si>
    <t>经验值计算器</t>
  </si>
  <si>
    <t>2.部落联赛</t>
  </si>
  <si>
    <t>联赛名字</t>
  </si>
  <si>
    <t>区间下限</t>
  </si>
  <si>
    <t>区间上限</t>
  </si>
  <si>
    <t>降级临界</t>
  </si>
  <si>
    <t>晋升临界</t>
  </si>
  <si>
    <t>村庄守卫</t>
  </si>
  <si>
    <t>金水奖励</t>
  </si>
  <si>
    <t>黑油奖励</t>
  </si>
  <si>
    <t>奖章奖励</t>
  </si>
  <si>
    <t>奖励衰减</t>
  </si>
  <si>
    <t>最低分配</t>
  </si>
  <si>
    <t>晋升数量</t>
  </si>
  <si>
    <t>降级数量</t>
  </si>
  <si>
    <t>3.部落等级</t>
  </si>
  <si>
    <t>未排名</t>
  </si>
  <si>
    <t>等级(x)</t>
  </si>
  <si>
    <t>所需经验(y)与等级(x)的函数</t>
  </si>
  <si>
    <t>积分下限</t>
  </si>
  <si>
    <t>积分上限</t>
  </si>
  <si>
    <t>不论是建筑还是科技，升级/建造完成后都会根据时间带来经验值</t>
  </si>
  <si>
    <t>4.夜本联赛</t>
  </si>
  <si>
    <t>铜杯3</t>
  </si>
  <si>
    <t>y=30</t>
  </si>
  <si>
    <t>5.玩家等级</t>
  </si>
  <si>
    <t>铜杯2</t>
  </si>
  <si>
    <t>y=50x-50</t>
  </si>
  <si>
    <t>天</t>
  </si>
  <si>
    <t>时</t>
  </si>
  <si>
    <t>分</t>
  </si>
  <si>
    <t>秒</t>
  </si>
  <si>
    <t>经验值</t>
  </si>
  <si>
    <t>铜杯1</t>
  </si>
  <si>
    <t>y=500x-90500</t>
  </si>
  <si>
    <t>银杯3</t>
  </si>
  <si>
    <t>y=1000x-240000</t>
  </si>
  <si>
    <t>银杯2</t>
  </si>
  <si>
    <t>银杯1</t>
  </si>
  <si>
    <t>金杯3</t>
  </si>
  <si>
    <t>快速等级显示</t>
  </si>
  <si>
    <t>开始于</t>
  </si>
  <si>
    <t>金杯2</t>
  </si>
  <si>
    <t>金杯1</t>
  </si>
  <si>
    <t>水晶3</t>
  </si>
  <si>
    <t>水晶2</t>
  </si>
  <si>
    <t>水晶1</t>
  </si>
  <si>
    <t>大师3</t>
  </si>
  <si>
    <t>大师2</t>
  </si>
  <si>
    <t>大师1</t>
  </si>
  <si>
    <t>冠军3</t>
  </si>
  <si>
    <t>冠军2</t>
  </si>
  <si>
    <t>泰坦3</t>
  </si>
  <si>
    <t>泰坦2</t>
  </si>
  <si>
    <t>提示：计算排名时每一场战争胜利都会额外增加10星</t>
  </si>
  <si>
    <t>泰坦1</t>
  </si>
  <si>
    <t>传奇</t>
  </si>
  <si>
    <t>-</t>
  </si>
  <si>
    <t>&gt;&gt;点击查看传奇联赛机制</t>
  </si>
  <si>
    <t>部落等级</t>
  </si>
  <si>
    <t>夜本联赛</t>
  </si>
  <si>
    <t>部落经验</t>
  </si>
  <si>
    <t>所需经验：</t>
  </si>
  <si>
    <t>奖杯下限</t>
  </si>
  <si>
    <t>奖杯上限</t>
  </si>
  <si>
    <t>胜利奖励</t>
  </si>
  <si>
    <t>三胜奖励</t>
  </si>
  <si>
    <t>总计奖励</t>
  </si>
  <si>
    <t>刷新费用</t>
  </si>
  <si>
    <t>标志</t>
  </si>
  <si>
    <t>请求冷却</t>
  </si>
  <si>
    <t>捐赠数量</t>
  </si>
  <si>
    <t>捐赠法术</t>
  </si>
  <si>
    <t>捐赠回馈</t>
  </si>
  <si>
    <t>捐赠升级</t>
  </si>
  <si>
    <t>宝库容量</t>
  </si>
  <si>
    <t>对战奖励</t>
  </si>
  <si>
    <t>起源</t>
  </si>
  <si>
    <t>铜牌</t>
  </si>
  <si>
    <t>等级1</t>
  </si>
  <si>
    <t>等级2</t>
  </si>
  <si>
    <t>等级3</t>
  </si>
  <si>
    <t>等级4</t>
  </si>
  <si>
    <t>银牌</t>
  </si>
  <si>
    <t>等级5</t>
  </si>
  <si>
    <t>等级6</t>
  </si>
  <si>
    <t>等级7</t>
  </si>
  <si>
    <t>等级8</t>
  </si>
  <si>
    <t>等级9</t>
  </si>
  <si>
    <t>金牌</t>
  </si>
  <si>
    <t>等级10</t>
  </si>
  <si>
    <t>等级11</t>
  </si>
  <si>
    <t>水晶</t>
  </si>
  <si>
    <t>等级12</t>
  </si>
  <si>
    <t>等级13</t>
  </si>
  <si>
    <t>大师</t>
  </si>
  <si>
    <t>等级14</t>
  </si>
  <si>
    <t>等级15</t>
  </si>
  <si>
    <t>冠军</t>
  </si>
  <si>
    <t>等级16</t>
  </si>
  <si>
    <t>等级17</t>
  </si>
  <si>
    <t>泰坦</t>
  </si>
  <si>
    <t>等级18</t>
  </si>
  <si>
    <t>等级19</t>
  </si>
  <si>
    <t>等级20</t>
  </si>
  <si>
    <t>等级21</t>
  </si>
  <si>
    <t>等级22</t>
  </si>
  <si>
    <t>等级23</t>
  </si>
  <si>
    <t>等级24</t>
  </si>
  <si>
    <t>等级25</t>
  </si>
  <si>
    <t>等级26</t>
  </si>
  <si>
    <t>等级27</t>
  </si>
  <si>
    <t>等级28</t>
  </si>
  <si>
    <t>等级29</t>
  </si>
  <si>
    <t>等级30</t>
  </si>
  <si>
    <t>等级31</t>
  </si>
  <si>
    <t>等级32</t>
  </si>
  <si>
    <t>等级33</t>
  </si>
  <si>
    <t>等级34</t>
  </si>
  <si>
    <t>等级35</t>
  </si>
  <si>
    <t>5.2 研究笔记</t>
  </si>
  <si>
    <t>规则起源</t>
  </si>
  <si>
    <t>标题右边如果发现 “P数字”，则代表对应了图文攻略，浏览器输入“cocservice.top/p/数字”查看</t>
  </si>
  <si>
    <t>单位详解</t>
  </si>
  <si>
    <t>数据糖果</t>
  </si>
  <si>
    <t>标题右边如果发现 “BVXXXXXXXXXX”，则代表有视频攻略，浏览器输入“bilibili.com/video/BVXXXXXXXXXX”查看</t>
  </si>
  <si>
    <t>随着对游戏本身的研究不断扩展，并解决更多的问题。</t>
  </si>
  <si>
    <t>目录：</t>
  </si>
  <si>
    <t>目录</t>
  </si>
  <si>
    <t>记录一些有意思的数据交互</t>
  </si>
  <si>
    <t>1.单位视野</t>
  </si>
  <si>
    <t>单位视野</t>
  </si>
  <si>
    <t>——攻击敌人的重要前提</t>
  </si>
  <si>
    <t>1.天使</t>
  </si>
  <si>
    <t>——救死扶伤，但无力回天...</t>
  </si>
  <si>
    <t>1.法师塔VS炸弹人</t>
  </si>
  <si>
    <t>2.判定面积</t>
  </si>
  <si>
    <t>2.武神</t>
  </si>
  <si>
    <t>2.天女VS女巫</t>
  </si>
  <si>
    <t>法师塔VS炸弹人</t>
  </si>
  <si>
    <t>1.规则起源</t>
  </si>
  <si>
    <t>3.开墙判定</t>
  </si>
  <si>
    <t>3.冰冻法术</t>
  </si>
  <si>
    <t>3.天女VS冰人</t>
  </si>
  <si>
    <t>2.单位详解</t>
  </si>
  <si>
    <t>4.防御锁定</t>
  </si>
  <si>
    <t>亲眼所见：</t>
  </si>
  <si>
    <t>首先你只能看到你可以攻击的目标。(只能对地的看不到空军);其次而有攻击偏好的单位只会看到偏好目标接着才是其他目标;最后可以被城墙阻挡的单位可以看到城墙。</t>
  </si>
  <si>
    <t>4.攻城载具</t>
  </si>
  <si>
    <t>初始职责：</t>
  </si>
  <si>
    <r>
      <rPr>
        <sz val="11"/>
        <color theme="0"/>
        <rFont val="黑体"/>
        <charset val="134"/>
      </rPr>
      <t>治疗</t>
    </r>
    <r>
      <rPr>
        <b/>
        <sz val="11"/>
        <color rgb="FFFFC000"/>
        <rFont val="黑体"/>
        <charset val="134"/>
      </rPr>
      <t>受伤陆军</t>
    </r>
    <r>
      <rPr>
        <sz val="11"/>
        <color theme="0"/>
        <rFont val="黑体"/>
        <charset val="134"/>
      </rPr>
      <t>单位。在</t>
    </r>
    <r>
      <rPr>
        <b/>
        <sz val="11"/>
        <color rgb="FFFFC000"/>
        <rFont val="黑体"/>
        <charset val="134"/>
      </rPr>
      <t>射程范围内</t>
    </r>
    <r>
      <rPr>
        <sz val="11"/>
        <color theme="0"/>
        <rFont val="黑体"/>
        <charset val="134"/>
      </rPr>
      <t>选取</t>
    </r>
    <r>
      <rPr>
        <b/>
        <sz val="11"/>
        <color rgb="FFFFC000"/>
        <rFont val="黑体"/>
        <charset val="134"/>
      </rPr>
      <t>1.5格半径</t>
    </r>
    <r>
      <rPr>
        <sz val="11"/>
        <color theme="0"/>
        <rFont val="黑体"/>
        <charset val="134"/>
      </rPr>
      <t>里总人口最多的受伤群体治疗并护航（相同时选择最近的）。如果没有则选择</t>
    </r>
    <r>
      <rPr>
        <b/>
        <sz val="11"/>
        <color rgb="FFFFC000"/>
        <rFont val="黑体"/>
        <charset val="134"/>
      </rPr>
      <t>护航最近陆军</t>
    </r>
    <r>
      <rPr>
        <sz val="11"/>
        <color theme="0"/>
        <rFont val="黑体"/>
        <charset val="134"/>
      </rPr>
      <t>。</t>
    </r>
  </si>
  <si>
    <t>4.天女VS猎犬</t>
  </si>
  <si>
    <t>显示当前大本营最高级别</t>
  </si>
  <si>
    <t>3.数据糖果</t>
  </si>
  <si>
    <t>5.援兵顺序</t>
  </si>
  <si>
    <t>5.戈仑冰人</t>
  </si>
  <si>
    <t>5.蝙蝠法术</t>
  </si>
  <si>
    <t>LV2 TH4</t>
  </si>
  <si>
    <t>LV3 TH6</t>
  </si>
  <si>
    <t>LV4 TH7</t>
  </si>
  <si>
    <t>LV5 TH8</t>
  </si>
  <si>
    <t>LV6 TH10</t>
  </si>
  <si>
    <t>LV7 TH11</t>
  </si>
  <si>
    <t>LV8 TH12</t>
  </si>
  <si>
    <t>LV9 TH13</t>
  </si>
  <si>
    <t>LV10 TH14</t>
  </si>
  <si>
    <t>LV11 TH15</t>
  </si>
  <si>
    <t>6.隐身本质</t>
  </si>
  <si>
    <t>6.西瓜投手</t>
  </si>
  <si>
    <t>&lt;&lt;左图：射程范围内两个皮卡(50)&gt;男王(25)选择皮卡。</t>
  </si>
  <si>
    <t>6.无敌飞盾</t>
  </si>
  <si>
    <t>24.0生命</t>
  </si>
  <si>
    <t>29.0生命</t>
  </si>
  <si>
    <t>35.0生命</t>
  </si>
  <si>
    <t>53.0生命</t>
  </si>
  <si>
    <t>72.0生命</t>
  </si>
  <si>
    <t>82.0生命</t>
  </si>
  <si>
    <t>92.0生命</t>
  </si>
  <si>
    <t>112.0生命</t>
  </si>
  <si>
    <t>130.0生命</t>
  </si>
  <si>
    <t>140.0生命</t>
  </si>
  <si>
    <t>7.弹丸理论</t>
  </si>
  <si>
    <t>视界所限：</t>
  </si>
  <si>
    <r>
      <rPr>
        <sz val="11"/>
        <color theme="0"/>
        <rFont val="黑体"/>
        <charset val="134"/>
      </rPr>
      <t>视界和距离都是从影子开始计算的，或者脚站在的地方。一开始，单位会计算</t>
    </r>
    <r>
      <rPr>
        <b/>
        <sz val="11"/>
        <color rgb="FFFFC000"/>
        <rFont val="黑体"/>
        <charset val="134"/>
      </rPr>
      <t>17格范围</t>
    </r>
    <r>
      <rPr>
        <sz val="11"/>
        <color theme="0"/>
        <rFont val="黑体"/>
        <charset val="134"/>
      </rPr>
      <t>内的</t>
    </r>
    <r>
      <rPr>
        <b/>
        <sz val="11"/>
        <color rgb="FFFFC000"/>
        <rFont val="黑体"/>
        <charset val="134"/>
      </rPr>
      <t>最多三个</t>
    </r>
    <r>
      <rPr>
        <b/>
        <sz val="11"/>
        <color theme="0"/>
        <rFont val="黑体"/>
        <charset val="134"/>
      </rPr>
      <t>目标并按照</t>
    </r>
    <r>
      <rPr>
        <b/>
        <sz val="11"/>
        <color rgb="FFFFC000"/>
        <rFont val="黑体"/>
        <charset val="134"/>
      </rPr>
      <t>直线距离</t>
    </r>
    <r>
      <rPr>
        <b/>
        <sz val="11"/>
        <color theme="0"/>
        <rFont val="黑体"/>
        <charset val="134"/>
      </rPr>
      <t>排好</t>
    </r>
    <r>
      <rPr>
        <sz val="11"/>
        <color theme="0"/>
        <rFont val="黑体"/>
        <charset val="134"/>
      </rPr>
      <t>；若无法寻找目标，则直接找最近目标攻击。</t>
    </r>
  </si>
  <si>
    <t>7.飞盾战神</t>
  </si>
  <si>
    <t>7.炸弹人开墙</t>
  </si>
  <si>
    <t>LV2 TH5</t>
  </si>
  <si>
    <t>LV6 TH8</t>
  </si>
  <si>
    <t>LV7 TH9</t>
  </si>
  <si>
    <t>LV9 TH10</t>
  </si>
  <si>
    <t>LV10 TH11</t>
  </si>
  <si>
    <t>LV11 TH12</t>
  </si>
  <si>
    <t>LV12 TH13</t>
  </si>
  <si>
    <t>LV13 TH13</t>
  </si>
  <si>
    <t>LV14 TH14</t>
  </si>
  <si>
    <t>LV15 TH15</t>
  </si>
  <si>
    <t>8.传奇联赛</t>
  </si>
  <si>
    <t>8.毒药法术</t>
  </si>
  <si>
    <t>8.毒药击杀时间</t>
  </si>
  <si>
    <t>16.9伤害</t>
  </si>
  <si>
    <t>20.8伤害</t>
  </si>
  <si>
    <t>26.0伤害</t>
  </si>
  <si>
    <t>31.2伤害</t>
  </si>
  <si>
    <t>41.6伤害</t>
  </si>
  <si>
    <t>52.0伤害</t>
  </si>
  <si>
    <t>70.2伤害</t>
  </si>
  <si>
    <t>80.6伤害</t>
  </si>
  <si>
    <t>91.0伤害</t>
  </si>
  <si>
    <t>101.4伤害</t>
  </si>
  <si>
    <t>109.2伤害</t>
  </si>
  <si>
    <t>117.0伤害</t>
  </si>
  <si>
    <t>123.5伤害</t>
  </si>
  <si>
    <t>9.法术叠加</t>
  </si>
  <si>
    <t>9.隐形法术</t>
  </si>
  <si>
    <t>9.夜世界六农</t>
  </si>
  <si>
    <t>10.大守护者</t>
  </si>
  <si>
    <t>城墙所拦：</t>
  </si>
  <si>
    <t>绝大多数的陆军单位都会被城墙阻挡，而在计划的目标里如果需要开墙才能攻击，则暂不考虑。若3个目标都需要开墙，则再会寻找第四个目标，如果无需开墙则选择之，否则开墙攻击所有目标中最近的一个。</t>
  </si>
  <si>
    <t>10.炸弹人</t>
  </si>
  <si>
    <t>无法秒杀</t>
  </si>
  <si>
    <t>仔细比对不同大本营等级下的生命值和伤害，不能发现，不论哪一级大本营，法师塔都无法一击秒杀炸弹人，所以足够供炸弹人开墙了。</t>
  </si>
  <si>
    <t>11.工人小屋</t>
  </si>
  <si>
    <t>11.天鹰火炮</t>
  </si>
  <si>
    <t>12.毒药逻辑（待补充）</t>
  </si>
  <si>
    <t>12.镜像法术</t>
  </si>
  <si>
    <t>13.巨加逻辑（待补充）</t>
  </si>
  <si>
    <t>射程范围内女王(25)=男王(25)就近选择。&gt;&gt;右图
前提是必须非满血。</t>
  </si>
  <si>
    <t>以下为所有等级的炸弹人与法师塔的交互（法师塔攻击次数）</t>
  </si>
  <si>
    <t>14.尿壶逻辑（待补充）</t>
  </si>
  <si>
    <t>15.连锁逻辑（待补充）</t>
  </si>
  <si>
    <t>LV1 TH4</t>
  </si>
  <si>
    <t>16.连发逻辑（待补充）</t>
  </si>
  <si>
    <t>顾全大局：</t>
  </si>
  <si>
    <r>
      <rPr>
        <sz val="11"/>
        <color theme="0"/>
        <rFont val="黑体"/>
        <charset val="134"/>
      </rPr>
      <t>为了照顾尽可能多的单位，天使可以主动</t>
    </r>
    <r>
      <rPr>
        <b/>
        <sz val="11"/>
        <color rgb="FFFFC000"/>
        <rFont val="黑体"/>
        <charset val="134"/>
      </rPr>
      <t>转奶射程内</t>
    </r>
    <r>
      <rPr>
        <sz val="11"/>
        <color theme="0"/>
        <rFont val="黑体"/>
        <charset val="134"/>
      </rPr>
      <t>受伤群体占用最大的群体（满血单位不纳入其中）。
尤其是天女转皮卡的时候....也许并不是你期望的。</t>
    </r>
  </si>
  <si>
    <t>20.0生命</t>
  </si>
  <si>
    <t>17.宠物跟随（待补充）</t>
  </si>
  <si>
    <t>LV1 TH5</t>
  </si>
  <si>
    <t>14.3伤害</t>
  </si>
  <si>
    <t>18.弹跳逻辑（待补充）</t>
  </si>
  <si>
    <t>实验过程：先下女王打至残血，然后下天使奶女王。
接着下双石头接法师塔伤害。</t>
  </si>
  <si>
    <t>实验结果：天使主动转奶石头人，不顾女王的安危。相比天女应该很快就会凉凉了。</t>
  </si>
  <si>
    <t>LV8 TH10</t>
  </si>
  <si>
    <t>62.4伤害</t>
  </si>
  <si>
    <t>第一张图里三个目标法师塔虽然距离较远，但是不需要开墙，所以选择了法师塔。
第二张图里女王的视野只有三个会被城墙阻挡的建筑，所以选择开墙打暗黑训练营。
第三张图是实战下的女王走位，正是因为这样导致了女王开墙，也许不应该是你所想的吧......</t>
  </si>
  <si>
    <t>一旦超过射程，那么也不会再改变护航目标了，不论千里之外有人正在默默承受伤害。</t>
  </si>
  <si>
    <t>突如其来：</t>
  </si>
  <si>
    <r>
      <rPr>
        <sz val="11"/>
        <color theme="0"/>
        <rFont val="黑体"/>
        <charset val="134"/>
      </rPr>
      <t>计划并不能保证毫无差错的完成，因为任何一个原因都可以</t>
    </r>
    <r>
      <rPr>
        <b/>
        <sz val="11"/>
        <color rgb="FFFFC000"/>
        <rFont val="黑体"/>
        <charset val="134"/>
      </rPr>
      <t>突然打断计划</t>
    </r>
    <r>
      <rPr>
        <sz val="11"/>
        <color theme="0"/>
        <rFont val="黑体"/>
        <charset val="134"/>
      </rPr>
      <t>：敌人援兵攻击、电塔升起、被冰冻(飓风不会）、弹射或击退，所以他们必将重新计算，再一次选择自己认为的最近目标。</t>
    </r>
  </si>
  <si>
    <t>——我要怎样才能最大化输出？</t>
  </si>
  <si>
    <t>无情反击：</t>
  </si>
  <si>
    <r>
      <rPr>
        <sz val="11"/>
        <color theme="0"/>
        <rFont val="黑体"/>
        <charset val="134"/>
      </rPr>
      <t>仅对</t>
    </r>
    <r>
      <rPr>
        <b/>
        <sz val="11"/>
        <color rgb="FFFFC000"/>
        <rFont val="黑体"/>
        <charset val="134"/>
      </rPr>
      <t>可以攻击该敌对单位</t>
    </r>
    <r>
      <rPr>
        <sz val="11"/>
        <color theme="0"/>
        <rFont val="黑体"/>
        <charset val="134"/>
      </rPr>
      <t>且</t>
    </r>
    <r>
      <rPr>
        <b/>
        <sz val="11"/>
        <color rgb="FFFFC000"/>
        <rFont val="黑体"/>
        <charset val="134"/>
      </rPr>
      <t>无攻击偏好</t>
    </r>
    <r>
      <rPr>
        <sz val="11"/>
        <color theme="0"/>
        <rFont val="黑体"/>
        <charset val="134"/>
      </rPr>
      <t>的单位有效。一旦敌单位</t>
    </r>
    <r>
      <rPr>
        <b/>
        <sz val="11"/>
        <color rgb="FFFFC000"/>
        <rFont val="黑体"/>
        <charset val="134"/>
      </rPr>
      <t>出手</t>
    </r>
    <r>
      <rPr>
        <sz val="11"/>
        <color theme="0"/>
        <rFont val="黑体"/>
        <charset val="134"/>
      </rPr>
      <t>，那么以ta为</t>
    </r>
    <r>
      <rPr>
        <b/>
        <sz val="11"/>
        <color rgb="FFFFC000"/>
        <rFont val="黑体"/>
        <charset val="134"/>
      </rPr>
      <t>半径5格</t>
    </r>
    <r>
      <rPr>
        <sz val="11"/>
        <color theme="0"/>
        <rFont val="黑体"/>
        <charset val="134"/>
      </rPr>
      <t>内的兵会在完成当前攻击后</t>
    </r>
    <r>
      <rPr>
        <b/>
        <sz val="11"/>
        <color rgb="FFFFC000"/>
        <rFont val="黑体"/>
        <charset val="134"/>
      </rPr>
      <t>立刻吸引过来反击</t>
    </r>
    <r>
      <rPr>
        <sz val="11"/>
        <color theme="0"/>
        <rFont val="黑体"/>
        <charset val="134"/>
      </rPr>
      <t>，</t>
    </r>
    <r>
      <rPr>
        <b/>
        <sz val="11"/>
        <color rgb="FFFFC000"/>
        <rFont val="黑体"/>
        <charset val="134"/>
      </rPr>
      <t>无视城墙</t>
    </r>
    <r>
      <rPr>
        <sz val="11"/>
        <color theme="0"/>
        <rFont val="黑体"/>
        <charset val="134"/>
      </rPr>
      <t>限制。</t>
    </r>
  </si>
  <si>
    <t>普通单位：</t>
  </si>
  <si>
    <t>所有对于常规兵种的逻辑对她也适用。所以该跑偏的还是会跑偏，该开墙的还是会开墙。
所以一般请把她看作普通单位看待。</t>
  </si>
  <si>
    <t>天女VS女巫</t>
  </si>
  <si>
    <t>记忆时间：</t>
  </si>
  <si>
    <r>
      <rPr>
        <sz val="11"/>
        <color theme="0"/>
        <rFont val="黑体"/>
        <charset val="134"/>
      </rPr>
      <t>单位的记忆时间是6秒，也就是说从</t>
    </r>
    <r>
      <rPr>
        <b/>
        <sz val="11"/>
        <color rgb="FFFFC000"/>
        <rFont val="黑体"/>
        <charset val="134"/>
      </rPr>
      <t>决定下一个目标到发起攻击</t>
    </r>
    <r>
      <rPr>
        <sz val="11"/>
        <color theme="0"/>
        <rFont val="黑体"/>
        <charset val="134"/>
      </rPr>
      <t>之前如果超过6秒，那么就会重新计算目标。而很多情况下重新计算的目标和一开始的目标完全一致，而有时则不是。</t>
    </r>
  </si>
  <si>
    <t>扩展选项：</t>
  </si>
  <si>
    <r>
      <rPr>
        <sz val="11"/>
        <color theme="0"/>
        <rFont val="黑体"/>
        <charset val="134"/>
      </rPr>
      <t>如果</t>
    </r>
    <r>
      <rPr>
        <b/>
        <sz val="11"/>
        <color rgb="FFFFC000"/>
        <rFont val="黑体"/>
        <charset val="134"/>
      </rPr>
      <t>选定目标</t>
    </r>
    <r>
      <rPr>
        <sz val="11"/>
        <color theme="0"/>
        <rFont val="黑体"/>
        <charset val="134"/>
      </rPr>
      <t>后发现</t>
    </r>
    <r>
      <rPr>
        <b/>
        <sz val="11"/>
        <color rgb="FFFFC000"/>
        <rFont val="黑体"/>
        <charset val="134"/>
      </rPr>
      <t>视野内</t>
    </r>
    <r>
      <rPr>
        <sz val="11"/>
        <color theme="0"/>
        <rFont val="黑体"/>
        <charset val="134"/>
      </rPr>
      <t>还有</t>
    </r>
    <r>
      <rPr>
        <b/>
        <sz val="11"/>
        <color rgb="FFFFC000"/>
        <rFont val="黑体"/>
        <charset val="134"/>
      </rPr>
      <t>与它相连</t>
    </r>
    <r>
      <rPr>
        <sz val="11"/>
        <color theme="0"/>
        <rFont val="黑体"/>
        <charset val="134"/>
      </rPr>
      <t>的建筑，那么将会选择两个建筑</t>
    </r>
    <r>
      <rPr>
        <b/>
        <sz val="11"/>
        <color rgb="FFFFC000"/>
        <rFont val="黑体"/>
        <charset val="134"/>
      </rPr>
      <t>一起攻击</t>
    </r>
    <r>
      <rPr>
        <sz val="11"/>
        <color theme="0"/>
        <rFont val="黑体"/>
        <charset val="134"/>
      </rPr>
      <t>。</t>
    </r>
  </si>
  <si>
    <t>一击秒杀</t>
  </si>
  <si>
    <t>不论女巫还是小骷髅，在高等级女王面前都是一箭的事情。但是女巫尤其擅长人海战术，这让女王头疼不已。(63级女王可以一击秒65级女巫，59-&gt;5,55-&gt;4,50-&gt;3,41-&gt;2,39-&gt;1)</t>
  </si>
  <si>
    <t>判定面积</t>
  </si>
  <si>
    <t>——瞄准建筑的重要因素</t>
  </si>
  <si>
    <r>
      <rPr>
        <sz val="11"/>
        <color theme="0"/>
        <rFont val="黑体"/>
        <charset val="134"/>
      </rPr>
      <t>你发现了嘛？一次攻击2建筑并不是</t>
    </r>
    <r>
      <rPr>
        <b/>
        <sz val="11"/>
        <color rgb="FFFFC000"/>
        <rFont val="黑体"/>
        <charset val="134"/>
      </rPr>
      <t>优先选择</t>
    </r>
    <r>
      <rPr>
        <sz val="11"/>
        <color theme="0"/>
        <rFont val="黑体"/>
        <charset val="134"/>
      </rPr>
      <t>，她依然考虑</t>
    </r>
    <r>
      <rPr>
        <b/>
        <sz val="11"/>
        <color rgb="FFFFC000"/>
        <rFont val="黑体"/>
        <charset val="134"/>
      </rPr>
      <t>最近建筑</t>
    </r>
    <r>
      <rPr>
        <sz val="11"/>
        <color theme="0"/>
        <rFont val="黑体"/>
        <charset val="134"/>
      </rPr>
      <t>。
接下来当她发现</t>
    </r>
    <r>
      <rPr>
        <b/>
        <sz val="11"/>
        <color rgb="FFFFC000"/>
        <rFont val="黑体"/>
        <charset val="134"/>
      </rPr>
      <t>选择建筑的边缘</t>
    </r>
    <r>
      <rPr>
        <sz val="11"/>
        <color theme="0"/>
        <rFont val="黑体"/>
        <charset val="134"/>
      </rPr>
      <t>有另一个建筑物，那么完全可以冲上去一石二鸟呀！
这就是武神的选择啦！</t>
    </r>
  </si>
  <si>
    <t>难敌四手</t>
  </si>
  <si>
    <t>女王最怕的是成群的敌军，而且是源源不断的成群敌军。这也是女王害怕女巫的主要原因。接下来以数据证明为什么会造成这种结局？</t>
  </si>
  <si>
    <t>所见非闻：</t>
  </si>
  <si>
    <t>如果你仔细观察，你会发现远程兵种的抛射物不是打在建筑物占地边缘的，而是边缘里面一点的部分，这个部分就叫“判定面积”，也叫“实际面积”。</t>
  </si>
  <si>
    <t>女王</t>
  </si>
  <si>
    <t>攻击速度0.75秒/次</t>
  </si>
  <si>
    <t>召唤间隔 7秒</t>
  </si>
  <si>
    <t>触地即伤：</t>
  </si>
  <si>
    <t>但是判定受伤并不单单在“判定面积”里。应该说只要伤害(溅射型)触碰到“占地面积”，哪怕是边缘也可以遭受全额伤害。所以法师或者气球兵只要攻击建筑物连接处就可以同时对他们造成伤害。</t>
  </si>
  <si>
    <t>召唤数量 4个</t>
  </si>
  <si>
    <t>最多三连：</t>
  </si>
  <si>
    <t>看到了还不去给我“三连”？当然是不允许武神一次连砍4个建筑物，这太强了！
不是武神不想，是游戏不允许呀，臣妾做不到啊！但是一些情况下可以三连。</t>
  </si>
  <si>
    <t>如果没有骷髅，消灭一波骷髅的时间为4*0.75=3秒</t>
  </si>
  <si>
    <t>直接攻击：</t>
  </si>
  <si>
    <t>攻击建筑相连处可以造成更高的总伤害，但是单位看不到。取而代之的是单位攻击自己可以看见的建筑的边缘，也就是“判定面积”的边缘。</t>
  </si>
  <si>
    <t>所以也有足够的时间消灭一个女巫</t>
  </si>
  <si>
    <t>&lt;&lt;四连(×)</t>
  </si>
  <si>
    <t>但是如果是两个女巫呢？简单算也要6秒，足够女巫再造第二波骷髅，导致女王被越来越多的骷髅影响。</t>
  </si>
  <si>
    <t>该图雷电飞龙攻击的是兵营，但是电龙锁定的却是里面的那一块“判定面积”，而不是边缘。所以可以得出单位只能看到这个面积，也是该名字的由来。             见右图-&gt;</t>
  </si>
  <si>
    <t>人海胜利</t>
  </si>
  <si>
    <t>只需要2个女巫就可以让女王陷入死循环，但是如果多了几个帮手，结局会如何呢？以下都是理论计算，举常见方法。</t>
  </si>
  <si>
    <t>三连(√)&gt;&gt;</t>
  </si>
  <si>
    <t>配合弓箭手</t>
  </si>
  <si>
    <t>1个弓箭手需要2下才能拿下骷髅，所以在5.6秒内可以消灭2个骷髅</t>
  </si>
  <si>
    <t>弓箭女王可以在一波内拿下7个骷髅</t>
  </si>
  <si>
    <t>——啊，乖乖站好！</t>
  </si>
  <si>
    <t>结果：女王和1弓箭手组合可以打破女巫循环，至少能够在下一波召唤之前锁定一个女巫。</t>
  </si>
  <si>
    <t>建议：下2个弓箭手，并且下在女王后面。</t>
  </si>
  <si>
    <t>冰冻范围：</t>
  </si>
  <si>
    <t>借助PS，你可以明显的看到冰冻的范围了，那就是第二张图的白色区域啦。
但这不代表被冰冻住了......所以还有其他因素。</t>
  </si>
  <si>
    <t>配合法师</t>
  </si>
  <si>
    <t>由于此单位有溅射伤害，所以一次能消灭的骷髅数量不定。很适合攻击女王脚下的骷髅。</t>
  </si>
  <si>
    <t>开墙判定</t>
  </si>
  <si>
    <t>——仅帮助城墙困难症陆军单位</t>
  </si>
  <si>
    <t>同时拥有巨大的伤害，可以2下消灭女巫。</t>
  </si>
  <si>
    <t>配合飞龙宝宝</t>
  </si>
  <si>
    <t>就近原则：</t>
  </si>
  <si>
    <t>一般挑选直接阻挡目标的最近城墙，且开的次数越少越好。而且选择目标与城墙等级无关，这可以被利用导致不得不开一万血的巨硬城墙！</t>
  </si>
  <si>
    <t>仍然适合直接对女巫下手，由于和法师一样有溅射伤害，所以速度依然很快。</t>
  </si>
  <si>
    <t>配合武神</t>
  </si>
  <si>
    <t>何为阻挡：</t>
  </si>
  <si>
    <r>
      <rPr>
        <sz val="11"/>
        <color theme="0"/>
        <rFont val="黑体"/>
        <charset val="134"/>
      </rPr>
      <t>和你直接看到的不一样，也受到17格</t>
    </r>
    <r>
      <rPr>
        <b/>
        <sz val="11"/>
        <color rgb="FFFFC000"/>
        <rFont val="黑体"/>
        <charset val="134"/>
      </rPr>
      <t>视野的限制</t>
    </r>
    <r>
      <rPr>
        <sz val="11"/>
        <color theme="0"/>
        <rFont val="黑体"/>
        <charset val="134"/>
      </rPr>
      <t>，如果在这个视野里</t>
    </r>
    <r>
      <rPr>
        <b/>
        <sz val="11"/>
        <color rgb="FFFFC000"/>
        <rFont val="黑体"/>
        <charset val="134"/>
      </rPr>
      <t>看不到无需开墙的路线</t>
    </r>
    <r>
      <rPr>
        <sz val="11"/>
        <color theme="0"/>
        <rFont val="黑体"/>
        <charset val="134"/>
      </rPr>
      <t>，那么单位则会毫不犹豫的</t>
    </r>
    <r>
      <rPr>
        <b/>
        <sz val="11"/>
        <color rgb="FFFFC000"/>
        <rFont val="黑体"/>
        <charset val="134"/>
      </rPr>
      <t>判定需要开墙</t>
    </r>
    <r>
      <rPr>
        <sz val="11"/>
        <color theme="0"/>
        <rFont val="黑体"/>
        <charset val="134"/>
      </rPr>
      <t>。</t>
    </r>
  </si>
  <si>
    <t>由于0.6秒的出手时间，武神对付成群的骷髅明显得心应手。</t>
  </si>
  <si>
    <t>三女巫行</t>
  </si>
  <si>
    <t>到了3个女巫之后，威胁明显提高，一波召唤12个骷髅极其烦人。仍然提供一些除了毒药之外的反制方法。</t>
  </si>
  <si>
    <t>协调合作：</t>
  </si>
  <si>
    <r>
      <rPr>
        <sz val="11"/>
        <color theme="0"/>
        <rFont val="黑体"/>
        <charset val="134"/>
      </rPr>
      <t>一定距离内如果出现</t>
    </r>
    <r>
      <rPr>
        <b/>
        <sz val="11"/>
        <color rgb="FFFFC000"/>
        <rFont val="黑体"/>
        <charset val="134"/>
      </rPr>
      <t>残血墙</t>
    </r>
    <r>
      <rPr>
        <sz val="11"/>
        <color theme="0"/>
        <rFont val="黑体"/>
        <charset val="134"/>
      </rPr>
      <t>或者若干个兵都</t>
    </r>
    <r>
      <rPr>
        <b/>
        <sz val="11"/>
        <color rgb="FFFFC000"/>
        <rFont val="黑体"/>
        <charset val="134"/>
      </rPr>
      <t>标记需要开同一排</t>
    </r>
    <r>
      <rPr>
        <sz val="11"/>
        <color theme="0"/>
        <rFont val="黑体"/>
        <charset val="134"/>
      </rPr>
      <t>的墙，则优先集火攻击同一个。开墙完成后重新计算路线。</t>
    </r>
  </si>
  <si>
    <t>似圆非圆：</t>
  </si>
  <si>
    <t>虽然范围是圆形的，但是在游戏的2D屏幕显示里，并不是圆形的。
因为这是沿X轴旋转arccos(0.75)即41.4°得到的。</t>
  </si>
  <si>
    <t>首推武神</t>
  </si>
  <si>
    <t>成本较低且最为可靠的解决方法，因为武神打骷髅非常快，且自带溅射。</t>
  </si>
  <si>
    <t>科学炸墙：</t>
  </si>
  <si>
    <t>炸弹人优先选择能“保护建筑”的墙，如果附近视野（半径25格，路线30格）里没有则找最近的城墙爆
同时开墙遵守协调合作原则，由于较为复杂的逻辑，导致炸弹人极为不可控。</t>
  </si>
  <si>
    <t>被冻住了：</t>
  </si>
  <si>
    <t>对于军队，直接冻住影子即可。
对于建筑，冻住中心点即可。</t>
  </si>
  <si>
    <t>狂暴弓箭</t>
  </si>
  <si>
    <t>如果遇到其他高火力建筑，狂暴法术一箭双雕。后面的弓箭手可以一箭射骷髅，而且成本相对更低。</t>
  </si>
  <si>
    <t>但是务必保护好脆弱的弓箭手哦！</t>
  </si>
  <si>
    <t>防御锁定</t>
  </si>
  <si>
    <t>——防御建筑的锁定机制</t>
  </si>
  <si>
    <t>主要是溅射伤害加出手时间，使得应对成群的骷髅也还行</t>
  </si>
  <si>
    <r>
      <rPr>
        <sz val="11"/>
        <color theme="0"/>
        <rFont val="黑体"/>
        <charset val="134"/>
      </rPr>
      <t>和兵种一样遵守就近原则，选择射程内</t>
    </r>
    <r>
      <rPr>
        <b/>
        <sz val="12"/>
        <color rgb="FFFFC000"/>
        <rFont val="黑体"/>
        <charset val="134"/>
      </rPr>
      <t>可以攻击</t>
    </r>
    <r>
      <rPr>
        <sz val="11"/>
        <color theme="0"/>
        <rFont val="黑体"/>
        <charset val="134"/>
      </rPr>
      <t>的且距离防御自己</t>
    </r>
    <r>
      <rPr>
        <b/>
        <sz val="11"/>
        <color rgb="FFFFC000"/>
        <rFont val="黑体"/>
        <charset val="134"/>
      </rPr>
      <t>最近</t>
    </r>
    <r>
      <rPr>
        <sz val="11"/>
        <color theme="0"/>
        <rFont val="黑体"/>
        <charset val="134"/>
      </rPr>
      <t>的单位攻击。</t>
    </r>
  </si>
  <si>
    <t>天女VS冰人</t>
  </si>
  <si>
    <t>由于判定面积非常重要，所以图解也标注了这个区域。</t>
  </si>
  <si>
    <t>专注原则：</t>
  </si>
  <si>
    <r>
      <rPr>
        <sz val="11"/>
        <color theme="0"/>
        <rFont val="黑体"/>
        <charset val="134"/>
      </rPr>
      <t>在</t>
    </r>
    <r>
      <rPr>
        <b/>
        <sz val="11"/>
        <color rgb="FFFFC000"/>
        <rFont val="黑体"/>
        <charset val="134"/>
      </rPr>
      <t>不被打断</t>
    </r>
    <r>
      <rPr>
        <sz val="11"/>
        <color theme="0"/>
        <rFont val="黑体"/>
        <charset val="134"/>
      </rPr>
      <t>或者</t>
    </r>
    <r>
      <rPr>
        <b/>
        <sz val="11"/>
        <color rgb="FFFFC000"/>
        <rFont val="黑体"/>
        <charset val="134"/>
      </rPr>
      <t>离开攻击范围</t>
    </r>
    <r>
      <rPr>
        <sz val="11"/>
        <color theme="0"/>
        <rFont val="黑体"/>
        <charset val="134"/>
      </rPr>
      <t>的情况下，防御选择目标后定会</t>
    </r>
    <r>
      <rPr>
        <b/>
        <sz val="11"/>
        <color rgb="FFFFC000"/>
        <rFont val="黑体"/>
        <charset val="134"/>
      </rPr>
      <t>专注攻击</t>
    </r>
    <r>
      <rPr>
        <sz val="11"/>
        <color theme="0"/>
        <rFont val="黑体"/>
        <charset val="134"/>
      </rPr>
      <t>它，不会掉头打其他单位.
如下图电龙被地狱锁定是一个很好的铁证，不会因为骷髅距离更近从而掉头打骷髅。</t>
    </r>
  </si>
  <si>
    <t>这是判定冰冻成功与否的关键因素。</t>
  </si>
  <si>
    <t>超级麻烦</t>
  </si>
  <si>
    <t>单单凭借冰人本身的血量，其实并不比其他兵种优秀。作为超级大麻烦出现的原因在于它的冰冻能力，仍然防不胜防。</t>
  </si>
  <si>
    <t>弓箭女王70级</t>
  </si>
  <si>
    <t>狂暴伤害</t>
  </si>
  <si>
    <t>戈仑冰人5级</t>
  </si>
  <si>
    <t>根据计算，只需要6箭或者狂暴4箭就可以打爆冰人，那么事实真的是这样的么？</t>
  </si>
  <si>
    <t>瞄准时间：</t>
  </si>
  <si>
    <r>
      <rPr>
        <sz val="11"/>
        <color theme="0"/>
        <rFont val="黑体"/>
        <charset val="134"/>
      </rPr>
      <t>常规防御的</t>
    </r>
    <r>
      <rPr>
        <b/>
        <sz val="11"/>
        <color rgb="FFFFC000"/>
        <rFont val="黑体"/>
        <charset val="134"/>
      </rPr>
      <t>瞄准时间</t>
    </r>
    <r>
      <rPr>
        <sz val="11"/>
        <color theme="0"/>
        <rFont val="黑体"/>
        <charset val="134"/>
      </rPr>
      <t>都是</t>
    </r>
    <r>
      <rPr>
        <b/>
        <sz val="11"/>
        <color rgb="FFFFC000"/>
        <rFont val="黑体"/>
        <charset val="134"/>
      </rPr>
      <t>0.2秒</t>
    </r>
    <r>
      <rPr>
        <sz val="11"/>
        <color theme="0"/>
        <rFont val="黑体"/>
        <charset val="134"/>
      </rPr>
      <t>，在这一段时间里完成定位，转向操作
而在</t>
    </r>
    <r>
      <rPr>
        <b/>
        <sz val="11"/>
        <color rgb="FFFFC000"/>
        <rFont val="黑体"/>
        <charset val="134"/>
      </rPr>
      <t>这段时间</t>
    </r>
    <r>
      <rPr>
        <sz val="11"/>
        <color theme="0"/>
        <rFont val="黑体"/>
        <charset val="134"/>
      </rPr>
      <t>内是可以下更近的单位进行</t>
    </r>
    <r>
      <rPr>
        <b/>
        <sz val="11"/>
        <color rgb="FFFFC000"/>
        <rFont val="黑体"/>
        <charset val="134"/>
      </rPr>
      <t>干扰</t>
    </r>
    <r>
      <rPr>
        <sz val="11"/>
        <color theme="0"/>
        <rFont val="黑体"/>
        <charset val="134"/>
      </rPr>
      <t>的
因此单体防御也因此容易被</t>
    </r>
    <r>
      <rPr>
        <b/>
        <sz val="11"/>
        <color rgb="FFFFC000"/>
        <rFont val="黑体"/>
        <charset val="134"/>
      </rPr>
      <t>大量聚集</t>
    </r>
    <r>
      <rPr>
        <sz val="11"/>
        <color theme="0"/>
        <rFont val="黑体"/>
        <charset val="134"/>
      </rPr>
      <t>的单位干扰</t>
    </r>
  </si>
  <si>
    <t>其实冰人最大的问题在于严重的拖延时间能力。</t>
  </si>
  <si>
    <t>缓缓拳</t>
  </si>
  <si>
    <t>如同小番番的技能，冰人可以减缓女王50%的攻击速度。那么女王就需要1.5秒才能发射下一箭，原来0.75秒。</t>
  </si>
  <si>
    <t>如果冰人就在女王前面，那么女王消灭冰人所需要的时间为9秒，狂暴下6秒。</t>
  </si>
  <si>
    <t>花絮：0.2秒时间是如何计算的呢？我采取了加农炮和箭塔这两个对象，让他们攻击10个野蛮人，然后计算时间这样就可以得出结果了。</t>
  </si>
  <si>
    <t>冰冻力场</t>
  </si>
  <si>
    <t>这还不是终点，戈仑冰人死亡后还会冰冻敌军。而在防守时，冰冻范围5.5格，冰冻时长3.0秒。(一律以最坏计算)</t>
  </si>
  <si>
    <t>22秒</t>
  </si>
  <si>
    <t>2*10+2</t>
  </si>
  <si>
    <t>26秒</t>
  </si>
  <si>
    <t>2.4*10+2</t>
  </si>
  <si>
    <t>必然有一个疑问：冰冻可以冻住天使么？</t>
  </si>
  <si>
    <t>后面+2秒是总瞄准时间</t>
  </si>
  <si>
    <t>天使距离5格，一般放最远。戈仑冰人射程1格，5+1=6，刚好冰不到。</t>
  </si>
  <si>
    <t>平摊到一个单位是0.2秒</t>
  </si>
  <si>
    <t>在实战中一旦天使被冰到，那么很多时候天女就会凉凉。但是在被集火的时候女王被冰到往往很危</t>
  </si>
  <si>
    <t>3冰人组合</t>
  </si>
  <si>
    <t>对战中，因为45格援兵槽的出现，3冰人成功成为了常见选项，那么天女在应付这种组合的时候是不是得心应手呢？</t>
  </si>
  <si>
    <t>——向前，向前，向前！</t>
  </si>
  <si>
    <t>在不使用毒药的情况下，进攻每一个冰人要9+3=12秒</t>
  </si>
  <si>
    <t>援兵顺序</t>
  </si>
  <si>
    <t>——记忆何种顺序呢？</t>
  </si>
  <si>
    <t>直击大本：</t>
  </si>
  <si>
    <t>对于攻城战车与攻城飞艇来说，他们将会直线走向大本营然后自爆。而由于这种路线的设定，从而可以直接操纵走位。而自爆后就会放出装载在载具里的援军。</t>
  </si>
  <si>
    <t>那么拿下3冰人则需要36秒，对于天女前戏已经很致命了。</t>
  </si>
  <si>
    <t>在狂暴+毒药组合下，对于前面的冰人需要4箭，而对后面的2个需要3箭(估计计算)</t>
  </si>
  <si>
    <t>默认顺序:</t>
  </si>
  <si>
    <t>旧版本中在非部落战且经历过下线重置的情况下，援兵出来的顺序按照默认顺序执行，出兵间隔0.3秒。
一般援兵顺序与游戏历史有关，尤其是新兵种。</t>
  </si>
  <si>
    <t>需要25.5秒，其实也超过狂暴的有效时长了，往往需要接一个。</t>
  </si>
  <si>
    <t>可见3冰人对天女威胁巨大了。</t>
  </si>
  <si>
    <t>全新顺序:</t>
  </si>
  <si>
    <t>新版本调整了援兵出兵顺序
1.人口从小到大2.推出从先到后3.等级从低到高</t>
  </si>
  <si>
    <t>反制建议</t>
  </si>
  <si>
    <t>对付这种疯狂拖延时间的家伙，重点在于提前引爆。在天女被冰冻的时候下法师，则在被冰冻期间，法师可以输出2次，配合狂暴伤害达到966*2=1932。配合毒药的伤害往往可以提前引爆冰人。使得损失最小化。运气好的话同时打到两个冰人就更好了。</t>
  </si>
  <si>
    <t>在人口相同的情况下的援军顺序</t>
  </si>
  <si>
    <t>1 野蛮人 弓箭手 哥布林</t>
  </si>
  <si>
    <t>14 天使</t>
  </si>
  <si>
    <t>2 炸弹 亡灵</t>
  </si>
  <si>
    <t>15 冰人 地狱飞龙</t>
  </si>
  <si>
    <t>优点：占用小，效率高，被冻住往往不会受到全额冰冻时间，理论值2.86秒</t>
  </si>
  <si>
    <t>3 超哥</t>
  </si>
  <si>
    <t>18 雪怪</t>
  </si>
  <si>
    <t>缺点：不适合直面可以轻松消灭法师的多头和西瓜投手。</t>
  </si>
  <si>
    <t>4 法师</t>
  </si>
  <si>
    <t>20 火龙 超级武神</t>
  </si>
  <si>
    <t>5 胖子 气球 野猪 超蛮</t>
  </si>
  <si>
    <t>25 皮卡 龙骑</t>
  </si>
  <si>
    <t>使命达成：</t>
  </si>
  <si>
    <t>攻城载具可以通过多种方式放出援兵：抵达大本营自爆、被防御打爆、强行放出援兵自爆。当然这些应该都在你的掌握范围吧...也许并不是这样的。╰（‵□′）╯才不是呢！</t>
  </si>
  <si>
    <t>使用武神也是一个不错的选择，同样也要引爆冰人。在3.5秒内，武神可以0.6+1.8*2=4.2秒内出手2次(在女王第一次攻击前可以3次)。在狂暴下造成2918的惊人伤害，配合毒药可以更快引爆冰人了。在位置得当的情况下可以一次攻击两个冰人。</t>
  </si>
  <si>
    <t>6 蓝胖 矿工 猎手</t>
  </si>
  <si>
    <t>30 石 狗 电龙 超级蓝胖</t>
  </si>
  <si>
    <t>8 武神 超炸 超球</t>
  </si>
  <si>
    <t>40 超级女巫 冰狗</t>
  </si>
  <si>
    <t>10 小龙 超胖 超法</t>
  </si>
  <si>
    <t>追击防御：</t>
  </si>
  <si>
    <t>对于攻城气球来说，自己的任务再也不是前往大本营了，而是利用自己极强的伤害来直接摧毁防御目标。当然掉落后仍然可以释放载具里的援军。</t>
  </si>
  <si>
    <t>12 女巫 超弓 超亡</t>
  </si>
  <si>
    <t>优点：优秀的生命值足够应对强大的防御，效率和稳定性兼优。</t>
  </si>
  <si>
    <t>缺点：一旦武神被冻住也要受到全额冰冻时间，如果容量吃紧，往往难以给出武神的位置。</t>
  </si>
  <si>
    <t>隐身本质</t>
  </si>
  <si>
    <t>——我是皇家山羊，所以你看不见我！嘎嘎嘎</t>
  </si>
  <si>
    <t>复杂伤害：</t>
  </si>
  <si>
    <t>攻城气球投掷的是巨大且沉重的石头，但是伤害并不均匀，中间高边缘低，且对墙伤害*25倍。
所以下图会给出详细数据来阐明这种复杂的伤害机制。</t>
  </si>
  <si>
    <t>其他解法不再推荐，往往占用更高或者效率过低，不适合接下来的进攻。</t>
  </si>
  <si>
    <t>最优解法可以优化到13秒以内(配合狂暴)</t>
  </si>
  <si>
    <t>看不见我:</t>
  </si>
  <si>
    <r>
      <rPr>
        <sz val="11"/>
        <color rgb="FFFFFFFF"/>
        <rFont val="黑体"/>
        <charset val="134"/>
      </rPr>
      <t>使用隐身能力的时候，仅仅能让敌军</t>
    </r>
    <r>
      <rPr>
        <b/>
        <sz val="11"/>
        <color rgb="FFFFFF00"/>
        <rFont val="黑体"/>
        <charset val="134"/>
      </rPr>
      <t>看不到你</t>
    </r>
    <r>
      <rPr>
        <sz val="11"/>
        <color rgb="FFFFFFFF"/>
        <rFont val="黑体"/>
        <charset val="134"/>
      </rPr>
      <t>，从而</t>
    </r>
    <r>
      <rPr>
        <b/>
        <sz val="11"/>
        <color rgb="FFFFFF00"/>
        <rFont val="黑体"/>
        <charset val="134"/>
      </rPr>
      <t>无法把你作为目标</t>
    </r>
    <r>
      <rPr>
        <sz val="11"/>
        <color rgb="FFFFFFFF"/>
        <rFont val="黑体"/>
        <charset val="134"/>
      </rPr>
      <t>。但不代表这是无敌的，事实上很多类型的伤害并不能由此回避。</t>
    </r>
  </si>
  <si>
    <t>0-1格：最高伤害</t>
  </si>
  <si>
    <t>1-3格：100%二次伤害</t>
  </si>
  <si>
    <t>你可以回避：</t>
  </si>
  <si>
    <t>3-4格：随距离从100%-50%的二次伤害</t>
  </si>
  <si>
    <t>天女VS猎犬</t>
  </si>
  <si>
    <t>1.防御塔&amp;守军的锁定（仅仅锁定）</t>
  </si>
  <si>
    <t>2.部落城堡的援军出击</t>
  </si>
  <si>
    <t>0~1</t>
  </si>
  <si>
    <t>1~3</t>
  </si>
  <si>
    <t>3~4</t>
  </si>
  <si>
    <t>你不可以回避：</t>
  </si>
  <si>
    <t>最低二次</t>
  </si>
  <si>
    <t>作为coc血量第三的单位，猎犬毋庸置疑成为了女王最为头疼的单位，没有之一。同时还有一个最恶心的地方在于爆开后还可以生成大量的小熔岩犬，真是“狗”烦人的！</t>
  </si>
  <si>
    <t>1.防御的溅射伤害</t>
  </si>
  <si>
    <t>2.陷阱触发和作用</t>
  </si>
  <si>
    <t>3.已经发射的子弹</t>
  </si>
  <si>
    <r>
      <rPr>
        <sz val="14"/>
        <color theme="0"/>
        <rFont val="黑体"/>
        <charset val="134"/>
      </rPr>
      <t>弓箭女王7</t>
    </r>
    <r>
      <rPr>
        <sz val="14"/>
        <color theme="0"/>
        <rFont val="黑体"/>
        <charset val="134"/>
      </rPr>
      <t>5</t>
    </r>
    <r>
      <rPr>
        <sz val="14"/>
        <color theme="0"/>
        <rFont val="黑体"/>
        <charset val="134"/>
      </rPr>
      <t>级</t>
    </r>
  </si>
  <si>
    <t>熔岩猎犬6级</t>
  </si>
  <si>
    <t>4.西瓜投手的碎西瓜</t>
  </si>
  <si>
    <t>5.连锁电流</t>
  </si>
  <si>
    <t>第一阶段</t>
  </si>
  <si>
    <t>第一阶段是韩大狗阶段，此时由于猎犬感人的伤害，可以忽略不记，此时只需要关心女王要多快打掉这个韩大狗了！</t>
  </si>
  <si>
    <t xml:space="preserve">    图中虽然连弩无法再锁定女王，但是发射出去的弩箭不会因为取消锁定而转移目标。</t>
  </si>
  <si>
    <r>
      <rPr>
        <sz val="11"/>
        <color theme="0"/>
        <rFont val="黑体"/>
        <charset val="134"/>
      </rPr>
      <t>在正常情况下需要14</t>
    </r>
    <r>
      <rPr>
        <sz val="11"/>
        <color theme="0"/>
        <rFont val="黑体"/>
        <charset val="134"/>
      </rPr>
      <t>次，也就是</t>
    </r>
    <r>
      <rPr>
        <sz val="11"/>
        <color theme="0"/>
        <rFont val="黑体"/>
        <charset val="134"/>
      </rPr>
      <t>10.5</t>
    </r>
    <r>
      <rPr>
        <sz val="11"/>
        <color theme="0"/>
        <rFont val="黑体"/>
        <charset val="134"/>
      </rPr>
      <t>秒，效率不错嘛</t>
    </r>
  </si>
  <si>
    <t>皇家山羊:</t>
  </si>
  <si>
    <t>山羊，认真的嘛？这是家乡唯一一个部署隐身的单位。通过幻象羊毛隐身，同时隐身期间可以骗过城墙实体从而能穿过，并且使用尖锐的寒冰羊角撞击，所以在造成极高伤害的同时可以减速敌人。</t>
  </si>
  <si>
    <r>
      <rPr>
        <sz val="11"/>
        <color theme="0"/>
        <rFont val="黑体"/>
        <charset val="134"/>
      </rPr>
      <t>狂暴下则需要7次，也就是5.25</t>
    </r>
    <r>
      <rPr>
        <sz val="11"/>
        <color theme="0"/>
        <rFont val="黑体"/>
        <charset val="134"/>
      </rPr>
      <t>秒，更快！</t>
    </r>
  </si>
  <si>
    <t>第二阶段</t>
  </si>
  <si>
    <r>
      <rPr>
        <sz val="11"/>
        <color theme="0"/>
        <rFont val="黑体"/>
        <charset val="134"/>
      </rPr>
      <t>在韩大狗被拿下之后，就是大量的小狗了，威胁其实要比韩大狗大很多。因为数量多，伤害严重溢出，一箭一次都要1</t>
    </r>
    <r>
      <rPr>
        <sz val="11"/>
        <color theme="0"/>
        <rFont val="黑体"/>
        <charset val="134"/>
      </rPr>
      <t>3.5</t>
    </r>
    <r>
      <rPr>
        <sz val="11"/>
        <color theme="0"/>
        <rFont val="黑体"/>
        <charset val="134"/>
      </rPr>
      <t>秒，而且小狗的输出可不能被忽视哦！</t>
    </r>
  </si>
  <si>
    <t>山羊噩梦:</t>
  </si>
  <si>
    <r>
      <rPr>
        <sz val="11"/>
        <color theme="0"/>
        <rFont val="黑体"/>
        <charset val="134"/>
      </rPr>
      <t>山羊不是无所畏惧的，即使自己能够隐身，也可以</t>
    </r>
    <r>
      <rPr>
        <b/>
        <sz val="11"/>
        <color rgb="FFFFC000"/>
        <rFont val="黑体"/>
        <charset val="134"/>
      </rPr>
      <t>触发陷阱和电塔</t>
    </r>
    <r>
      <rPr>
        <sz val="11"/>
        <color theme="0"/>
        <rFont val="黑体"/>
        <charset val="134"/>
      </rPr>
      <t>。与此同时也会拉响</t>
    </r>
    <r>
      <rPr>
        <b/>
        <sz val="11"/>
        <color rgb="FFFFC000"/>
        <rFont val="黑体"/>
        <charset val="134"/>
      </rPr>
      <t>部落城堡</t>
    </r>
    <r>
      <rPr>
        <sz val="11"/>
        <color theme="0"/>
        <rFont val="黑体"/>
        <charset val="134"/>
      </rPr>
      <t>的</t>
    </r>
    <r>
      <rPr>
        <b/>
        <sz val="11"/>
        <color rgb="FFFFC000"/>
        <rFont val="黑体"/>
        <charset val="134"/>
      </rPr>
      <t>生物警报器</t>
    </r>
    <r>
      <rPr>
        <sz val="11"/>
        <color theme="0"/>
        <rFont val="黑体"/>
        <charset val="134"/>
      </rPr>
      <t>。</t>
    </r>
  </si>
  <si>
    <t>——寒冰力场的奥秘</t>
  </si>
  <si>
    <t>在没有毒药的情况下，这群烦人的小狗可以造成多少伤害呢？</t>
  </si>
  <si>
    <t>隐身护甲:</t>
  </si>
  <si>
    <t>由于护甲有隐身的要求，所以没有配备沉重的护甲显得异常脆弱，一个巨型炸弹可以轻松秒杀他们。</t>
  </si>
  <si>
    <t>冰冻力场：</t>
  </si>
  <si>
    <t>戈仑冰人一旦被消灭，那么延迟0.7秒后就会释放自己的冰冻力场，冻住敌军——亦指进攻方。</t>
  </si>
  <si>
    <t>女王每0.75下攻击一次，小狗每秒一次，所以可以使用程序的方法模拟这个过程。</t>
  </si>
  <si>
    <t>通过模拟程序的代码，结果如下：</t>
  </si>
  <si>
    <t>防守削弱：</t>
  </si>
  <si>
    <t>进攻时：冰冻范围7.5格，最高持续时间7秒
防守时：冰冻范围5.5格，最高持续时间3.5秒</t>
  </si>
  <si>
    <t>从外往里：</t>
  </si>
  <si>
    <t>释放冰冻力场后会保持最大范围一段时间，然后冰冻半径匀速衰减至0。
这样的情况下就更需要注意范围边缘的单位了，冰冻也是参考冰冻法术的逻辑的。</t>
  </si>
  <si>
    <r>
      <rPr>
        <sz val="11"/>
        <color theme="0"/>
        <rFont val="黑体"/>
        <charset val="134"/>
      </rPr>
      <t>在没有任何措施的情况下，可以击晕75</t>
    </r>
    <r>
      <rPr>
        <sz val="11"/>
        <color theme="0"/>
        <rFont val="黑体"/>
        <charset val="134"/>
      </rPr>
      <t>级女王3</t>
    </r>
    <r>
      <rPr>
        <sz val="11"/>
        <color theme="0"/>
        <rFont val="黑体"/>
        <charset val="134"/>
      </rPr>
      <t>3</t>
    </r>
    <r>
      <rPr>
        <sz val="11"/>
        <color theme="0"/>
        <rFont val="黑体"/>
        <charset val="134"/>
      </rPr>
      <t>90的可怜生命值，交技能往往达到了敌军的目的</t>
    </r>
  </si>
  <si>
    <t>如右图，皇家山羊触发了小炸弹和骷髅陷阱&gt;&gt;</t>
  </si>
  <si>
    <t>毒药反制</t>
  </si>
  <si>
    <t>很多时候，在韩大狗爆开之后下毒药，可以大幅度降低一群小狗的威胁。技术得当的情况下可以覆盖到12只小狗，且在6级毒药下消灭小狗只需要5秒。</t>
  </si>
  <si>
    <t>冰人等级</t>
  </si>
  <si>
    <t>外围持续</t>
  </si>
  <si>
    <t>探测性电流：</t>
  </si>
  <si>
    <t>电流的连锁无视隐身，所以即使隐身也无法避免被连锁。不过不是直接攻击隐身单位，而是通过交流电连锁作用间接伤害到TA们。</t>
  </si>
  <si>
    <t>在毒药和狂暴的优化下，消灭整个狗需要的时长被减少到13秒</t>
  </si>
  <si>
    <t>多重电击：</t>
  </si>
  <si>
    <r>
      <rPr>
        <sz val="11"/>
        <color theme="0"/>
        <rFont val="黑体"/>
        <charset val="134"/>
      </rPr>
      <t xml:space="preserve">现在版本已修复 </t>
    </r>
    <r>
      <rPr>
        <sz val="11"/>
        <color theme="2" tint="-0.249977111117893"/>
        <rFont val="黑体"/>
        <charset val="134"/>
      </rPr>
      <t>雷电飞龙的连锁闪电视隐身状态和常规状态为两种单位，所以可以造成两次伤害。</t>
    </r>
  </si>
  <si>
    <t>狗+气球</t>
  </si>
  <si>
    <t>气球同样也是女王不愿看到的，主要是因为极高的伤害。3个气球3*768=2304，再3秒补一下就是4608。也就是短短3.75秒就可以造成十分恐怖的伤害，可以瞬间消灭女王。</t>
  </si>
  <si>
    <t>单位：毫秒</t>
  </si>
  <si>
    <t>精确时机：</t>
  </si>
  <si>
    <r>
      <rPr>
        <sz val="11"/>
        <color theme="2" tint="-0.249977111117893"/>
        <rFont val="黑体"/>
        <charset val="134"/>
      </rPr>
      <t>所以如果</t>
    </r>
    <r>
      <rPr>
        <b/>
        <sz val="11"/>
        <color theme="2" tint="-0.249977111117893"/>
        <rFont val="黑体"/>
        <charset val="134"/>
      </rPr>
      <t>时机准确</t>
    </r>
    <r>
      <rPr>
        <sz val="11"/>
        <color theme="2" tint="-0.249977111117893"/>
        <rFont val="黑体"/>
        <charset val="134"/>
      </rPr>
      <t>，电龙在</t>
    </r>
    <r>
      <rPr>
        <b/>
        <sz val="11"/>
        <color theme="2" tint="-0.249977111117893"/>
        <rFont val="黑体"/>
        <charset val="134"/>
      </rPr>
      <t>攻击女王之后开技能</t>
    </r>
    <r>
      <rPr>
        <sz val="11"/>
        <color theme="2" tint="-0.249977111117893"/>
        <rFont val="黑体"/>
        <charset val="134"/>
      </rPr>
      <t>将很有可能连锁到隐身中的女王，从而造成二次伤害，对等级低的女王致命。</t>
    </r>
  </si>
  <si>
    <t>6毒药对付9级气球需要12秒，且可以走过9.048格，要比毒药范围都大。再加上小狗，可能需要12+5=17秒，已经超过毒药的有效时间16秒！不足以消灭小狗了</t>
  </si>
  <si>
    <t>最外围的冰冻时间相当于最里面的75%</t>
  </si>
  <si>
    <t>图片证据：</t>
  </si>
  <si>
    <r>
      <rPr>
        <sz val="11"/>
        <color rgb="FFFFFFFF"/>
        <rFont val="黑体"/>
        <charset val="134"/>
      </rPr>
      <t>上图：隐身中女王依旧可以被</t>
    </r>
    <r>
      <rPr>
        <b/>
        <sz val="11"/>
        <color rgb="FFFFC000"/>
        <rFont val="黑体"/>
        <charset val="134"/>
      </rPr>
      <t>间接电击</t>
    </r>
    <r>
      <rPr>
        <sz val="11"/>
        <color rgb="FFFFFFFF"/>
        <rFont val="黑体"/>
        <charset val="134"/>
      </rPr>
      <t>。</t>
    </r>
  </si>
  <si>
    <t>相权取轻</t>
  </si>
  <si>
    <t>一群小狗其实威胁更大，充分利用速度差让狗和气球分离，在狗将炸开时下毒药，那么小狗被消灭后气球也会遭到削弱，且根据距离女王会先打气球，在毒药和狂暴下，只需一下。</t>
  </si>
  <si>
    <r>
      <rPr>
        <sz val="11"/>
        <color theme="2" tint="-0.249977111117893"/>
        <rFont val="黑体"/>
        <charset val="134"/>
      </rPr>
      <t>下图：在女王被电击之后开技能，电流连锁到天使，再连锁到女王自己，从而造成</t>
    </r>
    <r>
      <rPr>
        <b/>
        <sz val="11"/>
        <color theme="2" tint="-0.249977111117893"/>
        <rFont val="黑体"/>
        <charset val="134"/>
      </rPr>
      <t>二次伤害</t>
    </r>
    <r>
      <rPr>
        <sz val="11"/>
        <color theme="2" tint="-0.249977111117893"/>
        <rFont val="黑体"/>
        <charset val="134"/>
      </rPr>
      <t>。如果女王等级较低，容易被由此秒杀。</t>
    </r>
  </si>
  <si>
    <t>综合反制</t>
  </si>
  <si>
    <t>如果不想使用狂暴，打狗的时间更长，气球会相对更快到达女王，毒药要更早下了。此时强烈推荐下2个亡灵用于对付小狗，因为亡灵也是一击一个小狗的，而且也比较实惠。</t>
  </si>
  <si>
    <t>但是这种情况触发条件非常苛刻，电流连锁时间0.128秒，你只有在这个极其短的时间内开技能（有其他目标可以延长这一时间，但是伤害下降）才能被如此伤害，错开这个时间可以非常棒的回避过高伤害。</t>
  </si>
  <si>
    <t>西瓜投手</t>
  </si>
  <si>
    <t>——骑士怒火的奥秘</t>
  </si>
  <si>
    <t>用弓箭反制也可以，2下一个，但是狂暴下1下一个，尤其适合配合狂暴。</t>
  </si>
  <si>
    <t>快速出击：</t>
  </si>
  <si>
    <t>西瓜投手拥有极其缓慢的攻击速度，但是第一发却可以以更快的速度打出去。
而且切换目标不会重置装填时间。</t>
  </si>
  <si>
    <t>炽热西瓜：</t>
  </si>
  <si>
    <t>西瓜砸向地面可不是结束，因为巨大的西瓜砸碎了会成为碎西瓜，而且在“骑士”的怒火下，碎西瓜会灼烧，从而进一步的伤害陆军。</t>
  </si>
  <si>
    <t>弹丸理论</t>
  </si>
  <si>
    <t>——追到天涯海角也不放过你！</t>
  </si>
  <si>
    <t>适宜环境</t>
  </si>
  <si>
    <t>可怜的小蝙蝠在13本完全派不上用场，除了防御的提高，还有西瓜投手和超级地狱之塔的出现，让蝙蝠快速团灭。话说西瓜投手是如何做到准确的命中小蝙蝠的？石斗术？</t>
  </si>
  <si>
    <t>异曲同工：</t>
  </si>
  <si>
    <t>碎西瓜的作用效果竟然和毒药非常相似，虽然有较高的最大伤害，但需要保持站在碎西瓜约8秒才能达到最大伤害，而离开碎西瓜后伤害仍然持续，但是持续伤害会快速下降，下降速度为上升的2倍。</t>
  </si>
  <si>
    <t>大体绪论：</t>
  </si>
  <si>
    <t>几乎所有的远程单位使用弹丸攻击，弹丸有自己的飞行速度和飞行路线，甚至还有黑科技。决定弹丸的特征有以下因素。</t>
  </si>
  <si>
    <t>所以以下数据都是针对全满12的</t>
  </si>
  <si>
    <t>2级投手</t>
  </si>
  <si>
    <t>5瓶法术</t>
  </si>
  <si>
    <t>大多情况下玩家会选择在一座建筑物里投放5瓶蝙蝠法术，那么效果如何呢？</t>
  </si>
  <si>
    <t>飞行速度：</t>
  </si>
  <si>
    <r>
      <rPr>
        <sz val="11"/>
        <color rgb="FFFFFFFF"/>
        <rFont val="黑体"/>
        <charset val="134"/>
      </rPr>
      <t>每一种子弹都有它自己的飞行速度，当然飞行</t>
    </r>
    <r>
      <rPr>
        <b/>
        <sz val="11"/>
        <color rgb="FFFFC000"/>
        <rFont val="黑体"/>
        <charset val="134"/>
      </rPr>
      <t>速度越快</t>
    </r>
    <r>
      <rPr>
        <sz val="11"/>
        <color rgb="FFFFFFFF"/>
        <rFont val="黑体"/>
        <charset val="134"/>
      </rPr>
      <t>就越快</t>
    </r>
    <r>
      <rPr>
        <b/>
        <sz val="11"/>
        <color rgb="FFFFC000"/>
        <rFont val="黑体"/>
        <charset val="134"/>
      </rPr>
      <t>击中目标</t>
    </r>
    <r>
      <rPr>
        <sz val="11"/>
        <color rgb="FFFFFFFF"/>
        <rFont val="黑体"/>
        <charset val="134"/>
      </rPr>
      <t>。一般情况下飞行速度都远大于军队移动速度。</t>
    </r>
  </si>
  <si>
    <t>所需时间</t>
  </si>
  <si>
    <t>从投放到全部生成需要12.6秒，其过程不予计算，第一步是计算所有建筑物可以顶多少次蝙蝠。</t>
  </si>
  <si>
    <t>是否追踪：</t>
  </si>
  <si>
    <r>
      <rPr>
        <sz val="11"/>
        <color rgb="FFFFFFFF"/>
        <rFont val="黑体"/>
        <charset val="134"/>
      </rPr>
      <t>每一名弓箭手都训练过“箭斗术”。她们都可以轻易射出会拐弯的箭，从而</t>
    </r>
    <r>
      <rPr>
        <b/>
        <sz val="11"/>
        <color rgb="FFFFC000"/>
        <rFont val="黑体"/>
        <charset val="134"/>
      </rPr>
      <t>追踪目标</t>
    </r>
    <r>
      <rPr>
        <sz val="11"/>
        <color rgb="FFFFFFFF"/>
        <rFont val="黑体"/>
        <charset val="134"/>
      </rPr>
      <t>。而快速移动则为躲避</t>
    </r>
    <r>
      <rPr>
        <b/>
        <sz val="11"/>
        <color rgb="FFFFC000"/>
        <rFont val="黑体"/>
        <charset val="134"/>
      </rPr>
      <t>不可追踪</t>
    </r>
    <r>
      <rPr>
        <sz val="11"/>
        <color rgb="FFFFFFFF"/>
        <rFont val="黑体"/>
        <charset val="134"/>
      </rPr>
      <t>的火球提供了有效的策略。</t>
    </r>
  </si>
  <si>
    <t>碎西瓜的伤害机制和毒药相同</t>
  </si>
  <si>
    <t>建筑物</t>
  </si>
  <si>
    <t>蝙蝠正常</t>
  </si>
  <si>
    <t>蝙蝠狂暴</t>
  </si>
  <si>
    <r>
      <rPr>
        <sz val="11"/>
        <color theme="0"/>
        <rFont val="黑体"/>
        <charset val="134"/>
      </rPr>
      <t>所有</t>
    </r>
    <r>
      <rPr>
        <b/>
        <sz val="11"/>
        <color rgb="FFFFC000"/>
        <rFont val="黑体"/>
        <charset val="134"/>
      </rPr>
      <t>单体攻击</t>
    </r>
    <r>
      <rPr>
        <sz val="11"/>
        <color theme="0"/>
        <rFont val="黑体"/>
        <charset val="134"/>
      </rPr>
      <t>的弹丸都</t>
    </r>
    <r>
      <rPr>
        <b/>
        <sz val="11"/>
        <color rgb="FFFFC000"/>
        <rFont val="黑体"/>
        <charset val="134"/>
      </rPr>
      <t>可以追踪</t>
    </r>
    <r>
      <rPr>
        <sz val="11"/>
        <color theme="0"/>
        <rFont val="黑体"/>
        <charset val="134"/>
      </rPr>
      <t>，而大部分</t>
    </r>
    <r>
      <rPr>
        <b/>
        <sz val="11"/>
        <color rgb="FFFFC000"/>
        <rFont val="黑体"/>
        <charset val="134"/>
      </rPr>
      <t>溅射伤害</t>
    </r>
    <r>
      <rPr>
        <sz val="11"/>
        <color theme="0"/>
        <rFont val="黑体"/>
        <charset val="134"/>
      </rPr>
      <t>的弹丸</t>
    </r>
    <r>
      <rPr>
        <b/>
        <sz val="11"/>
        <color rgb="FFFFC000"/>
        <rFont val="黑体"/>
        <charset val="134"/>
      </rPr>
      <t>不具备</t>
    </r>
    <r>
      <rPr>
        <sz val="11"/>
        <color theme="0"/>
        <rFont val="黑体"/>
        <charset val="134"/>
      </rPr>
      <t>追踪能力。</t>
    </r>
  </si>
  <si>
    <t>可查看下面的毒药法术</t>
  </si>
  <si>
    <t>弹道轨迹：</t>
  </si>
  <si>
    <t>部分子弹考虑到牛顿的心情可以受到重力下落并形成抛物线的弹道。而抛物线弹道击中目标所需要的时间往往不完全取决于距离本身。</t>
  </si>
  <si>
    <t>害怕博士:</t>
  </si>
  <si>
    <t>西瓜投手的碎西瓜继承了毒药法术的缺点：对王伤害太低……所以西瓜投手无论怎么砸“僵尸博士”（战争机器），都无济于事,可作为反制手段。</t>
  </si>
  <si>
    <t>查看属性：</t>
  </si>
  <si>
    <t>从1.8.4版本之后，部分单位名字右边将会出现子弹名字。电脑打开的情况下，单击这个名字可以弹出子弹的所有属性。</t>
  </si>
  <si>
    <t>反制建议:</t>
  </si>
  <si>
    <t>1.如果不想面对这座防御，请使用空军对付。</t>
  </si>
  <si>
    <t>2.西瓜投手的射程虽然很远，但是盲区也非常大，可以近身并快速解决。</t>
  </si>
  <si>
    <t>3.可以使用胖子、皮卡或者战争机器拉扯西瓜投手，但避免进入盲区。</t>
  </si>
  <si>
    <t>连弩</t>
  </si>
  <si>
    <t>&lt;-点击这里查看子弹的详细信息</t>
  </si>
  <si>
    <t>4.在防御稀疏区域进攻，别让后排在碎西瓜上呆太久。</t>
  </si>
  <si>
    <t>5.高移速单位比如野猪可以以极快的速度逃离碎西瓜区域。</t>
  </si>
  <si>
    <t>蝙蝠对大本营仅15%</t>
  </si>
  <si>
    <t>可怕防御</t>
  </si>
  <si>
    <t>蝙蝠最为害怕的是法师塔和多头地狱，其次是快速的连弩，以下会给出消灭建筑所需要的最少蝙蝠，同样使用模拟程序。不考虑接近的时间和防御瞄准时间.</t>
  </si>
  <si>
    <t>——除了男王、冰人、天狗、单头，我无所畏惧</t>
  </si>
  <si>
    <t>--正常模式--</t>
  </si>
  <si>
    <t>--狂暴模式--</t>
  </si>
  <si>
    <t>射速</t>
  </si>
  <si>
    <t>最少蝙蝠</t>
  </si>
  <si>
    <t>战斗时长</t>
  </si>
  <si>
    <t>点击后可以看到以下属性</t>
  </si>
  <si>
    <t>快速出击:</t>
  </si>
  <si>
    <r>
      <rPr>
        <sz val="11"/>
        <color theme="0"/>
        <rFont val="黑体"/>
        <charset val="134"/>
      </rPr>
      <t>攻击新目标的</t>
    </r>
    <r>
      <rPr>
        <b/>
        <sz val="11"/>
        <color rgb="FFFFC000"/>
        <rFont val="黑体"/>
        <charset val="134"/>
      </rPr>
      <t>出手时间</t>
    </r>
    <r>
      <rPr>
        <sz val="11"/>
        <color theme="0"/>
        <rFont val="黑体"/>
        <charset val="134"/>
      </rPr>
      <t>为</t>
    </r>
    <r>
      <rPr>
        <b/>
        <sz val="11"/>
        <color rgb="FFFFC000"/>
        <rFont val="黑体"/>
        <charset val="134"/>
      </rPr>
      <t>0.4秒</t>
    </r>
    <r>
      <rPr>
        <sz val="11"/>
        <color theme="0"/>
        <rFont val="黑体"/>
        <charset val="134"/>
      </rPr>
      <t>，先发制人。但是</t>
    </r>
    <r>
      <rPr>
        <b/>
        <sz val="11"/>
        <color rgb="FFFFC000"/>
        <rFont val="黑体"/>
        <charset val="134"/>
      </rPr>
      <t>连续攻击状态</t>
    </r>
    <r>
      <rPr>
        <sz val="11"/>
        <color theme="0"/>
        <rFont val="黑体"/>
        <charset val="134"/>
      </rPr>
      <t>下攻击下一个目标出手速度</t>
    </r>
    <r>
      <rPr>
        <b/>
        <sz val="11"/>
        <color rgb="FFFFC000"/>
        <rFont val="黑体"/>
        <charset val="134"/>
      </rPr>
      <t>不会提高</t>
    </r>
    <r>
      <rPr>
        <sz val="11"/>
        <color theme="0"/>
        <rFont val="黑体"/>
        <charset val="134"/>
      </rPr>
      <t>。</t>
    </r>
  </si>
  <si>
    <t>飞行速度：12格/秒</t>
  </si>
  <si>
    <t>弹丸的飞行速度</t>
  </si>
  <si>
    <t>可否追踪：可以</t>
  </si>
  <si>
    <t>弹丸是否可以追踪目标，即百发百中</t>
  </si>
  <si>
    <t>地狱塔单</t>
  </si>
  <si>
    <t>弹道轨迹：直线</t>
  </si>
  <si>
    <t>弹道的移动方式</t>
  </si>
  <si>
    <t>地狱塔多</t>
  </si>
  <si>
    <t>参考时间：0.75秒</t>
  </si>
  <si>
    <r>
      <rPr>
        <sz val="11"/>
        <color theme="0"/>
        <rFont val="黑体"/>
        <charset val="134"/>
      </rPr>
      <t>从</t>
    </r>
    <r>
      <rPr>
        <b/>
        <sz val="11"/>
        <color rgb="FFFFC000"/>
        <rFont val="黑体"/>
        <charset val="134"/>
      </rPr>
      <t>开火</t>
    </r>
    <r>
      <rPr>
        <sz val="11"/>
        <color theme="0"/>
        <rFont val="黑体"/>
        <charset val="134"/>
      </rPr>
      <t>到击中</t>
    </r>
    <r>
      <rPr>
        <b/>
        <sz val="11"/>
        <color rgb="FFFFC000"/>
        <rFont val="黑体"/>
        <charset val="134"/>
      </rPr>
      <t>射程可达</t>
    </r>
    <r>
      <rPr>
        <sz val="11"/>
        <color theme="0"/>
        <rFont val="黑体"/>
        <charset val="134"/>
      </rPr>
      <t>的</t>
    </r>
    <r>
      <rPr>
        <b/>
        <sz val="11"/>
        <color rgb="FFFFC000"/>
        <rFont val="黑体"/>
        <charset val="134"/>
      </rPr>
      <t>最远</t>
    </r>
    <r>
      <rPr>
        <sz val="11"/>
        <color theme="0"/>
        <rFont val="黑体"/>
        <charset val="134"/>
      </rPr>
      <t>目标需要的时间</t>
    </r>
  </si>
  <si>
    <t>防御优先:</t>
  </si>
  <si>
    <r>
      <rPr>
        <sz val="11"/>
        <color theme="0"/>
        <rFont val="黑体"/>
        <charset val="134"/>
      </rPr>
      <t>飞盾战神</t>
    </r>
    <r>
      <rPr>
        <b/>
        <sz val="11"/>
        <color rgb="FFFFC000"/>
        <rFont val="黑体"/>
        <charset val="134"/>
      </rPr>
      <t>优先攻击防御</t>
    </r>
    <r>
      <rPr>
        <sz val="11"/>
        <color theme="0"/>
        <rFont val="黑体"/>
        <charset val="134"/>
      </rPr>
      <t>，且可以</t>
    </r>
    <r>
      <rPr>
        <b/>
        <sz val="11"/>
        <color rgb="FFFFC000"/>
        <rFont val="黑体"/>
        <charset val="134"/>
      </rPr>
      <t>跳过城墙</t>
    </r>
    <r>
      <rPr>
        <sz val="11"/>
        <color theme="0"/>
        <rFont val="黑体"/>
        <charset val="134"/>
      </rPr>
      <t>。但是如果有人攻击她或者她的部队，她也可以</t>
    </r>
    <r>
      <rPr>
        <b/>
        <sz val="11"/>
        <color rgb="FFFFC000"/>
        <rFont val="黑体"/>
        <charset val="134"/>
      </rPr>
      <t>出手反击</t>
    </r>
    <r>
      <rPr>
        <sz val="11"/>
        <color theme="0"/>
        <rFont val="黑体"/>
        <charset val="134"/>
      </rPr>
      <t>。</t>
    </r>
  </si>
  <si>
    <t>部分特殊的子弹将会在后面说明</t>
  </si>
  <si>
    <t>备注:法师塔由于溅射伤害导致无法计算，蝙蝠对大本营有削弱，所以近似于生命值增加，多头模式近似于射速提高</t>
  </si>
  <si>
    <t>传奇联赛</t>
  </si>
  <si>
    <t>——顶级玩家的修罗场</t>
  </si>
  <si>
    <t>保持数量</t>
  </si>
  <si>
    <t>根据大多数的计算，不难发现一旦蝙蝠攻击次数超过3次，胜算大幅降低，尤其是威胁巨大的防御，所以保持数量是关键，最好让数量超过攻击次数，从而一击必杀。</t>
  </si>
  <si>
    <t>P783</t>
  </si>
  <si>
    <t>追踪理论:</t>
  </si>
  <si>
    <r>
      <rPr>
        <sz val="11"/>
        <color theme="0"/>
        <rFont val="黑体"/>
        <charset val="134"/>
      </rPr>
      <t>在导盾专业平均4.5绩点的她尤其擅长投掷追踪飞盾。而为了使盾牌能够精准弹射，她需要</t>
    </r>
    <r>
      <rPr>
        <b/>
        <sz val="11"/>
        <color rgb="FFFFC000"/>
        <rFont val="黑体"/>
        <charset val="134"/>
      </rPr>
      <t>约0.4秒</t>
    </r>
    <r>
      <rPr>
        <sz val="11"/>
        <color theme="0"/>
        <rFont val="黑体"/>
        <charset val="134"/>
      </rPr>
      <t>的时间思考并迅速投掷出去，总共攻击四个目标，且都是100%伤害。</t>
    </r>
  </si>
  <si>
    <t>一天八次：</t>
  </si>
  <si>
    <t>传奇杯采用了全新的比赛机制：每一个联赛日你拥有八次进攻和八次被进攻机会，冲杯完全取决于进攻和防守的表现，总言之需要攻守兼备。</t>
  </si>
  <si>
    <t>无敌飞盾</t>
  </si>
  <si>
    <t xml:space="preserve">                    备注：      若想获得传奇杯奖励又不想参加一天八次的联赛，怎么办？试试报名前下线让其他玩家进攻一下会有惊喜哦</t>
  </si>
  <si>
    <t>备注：飞盾飞行距离72格，足够覆盖全图</t>
  </si>
  <si>
    <t>资源独立：</t>
  </si>
  <si>
    <t>传奇杯采用了全新的资源机制：和部落战相同，一盘进攻所能获得的资源取决于敌人的防御，而被进攻时所有防御整装待发。15本满所能获取的资源为：60万金币，60万圣水和7000黑油。</t>
  </si>
  <si>
    <t>在这里统计被25级战神攻击后能拿下的建筑和剩余的生命值（满13本）</t>
  </si>
  <si>
    <t>动力学说:</t>
  </si>
  <si>
    <t>让盾牌弹射是有原理的，就是射手在盾牌投出的一刹那，手腕急速的抖动，一个抖动给了盾牌一个水平的加速度，从而形成了折线。手腕抖动的越迅速，盾牌弹射次数也越多。</t>
  </si>
  <si>
    <t>建筑</t>
  </si>
  <si>
    <t>结论</t>
  </si>
  <si>
    <t>剩余</t>
  </si>
  <si>
    <t>为了奖杯：</t>
  </si>
  <si>
    <t>传奇杯采用了全新的奖杯机制：得失的奖杯只取决于星星和百分比，根据星星所能至百分比平摊。
0星获得1-4杯，1星获得5-15杯，两星获得16-32杯，三星直接40杯。</t>
  </si>
  <si>
    <t>备注：这就是所谓的“盾斗术”。——飞盾战神</t>
  </si>
  <si>
    <t>备注：进攻失败不会像以前联赛那样掉杯，但是奖励真的很少！</t>
  </si>
  <si>
    <t>备注2：纯属瞎说</t>
  </si>
  <si>
    <t>奖杯查询：</t>
  </si>
  <si>
    <t>星星数</t>
  </si>
  <si>
    <t>百分比</t>
  </si>
  <si>
    <t>联赛奖杯</t>
  </si>
  <si>
    <t>最大掠夺资源查询：</t>
  </si>
  <si>
    <t>防守大本等级</t>
  </si>
  <si>
    <t>金水</t>
  </si>
  <si>
    <t>&gt;&gt;返回家乡联赛</t>
  </si>
  <si>
    <t>——谜一样的伤害、减速和逃逸</t>
  </si>
  <si>
    <t>BV1HZ4y1W7vd</t>
  </si>
  <si>
    <t>P1505</t>
  </si>
  <si>
    <t>法术叠加</t>
  </si>
  <si>
    <t>——1+1=2的谎言</t>
  </si>
  <si>
    <t>BV1E54y197rQ</t>
  </si>
  <si>
    <t>连弩/西瓜</t>
  </si>
  <si>
    <t>P1362</t>
  </si>
  <si>
    <r>
      <rPr>
        <sz val="11"/>
        <color theme="0"/>
        <rFont val="黑体"/>
        <charset val="134"/>
      </rPr>
      <t>在本章节中，我们将通过实验，对出现的增益型</t>
    </r>
    <r>
      <rPr>
        <b/>
        <sz val="11"/>
        <color rgb="FFFFC000"/>
        <rFont val="黑体"/>
        <charset val="134"/>
      </rPr>
      <t>法术叠加</t>
    </r>
    <r>
      <rPr>
        <sz val="11"/>
        <color theme="0"/>
        <rFont val="黑体"/>
        <charset val="134"/>
      </rPr>
      <t>现象进行系统的实验，从而得出最终结论。</t>
    </r>
  </si>
  <si>
    <t>叠加规则</t>
  </si>
  <si>
    <r>
      <rPr>
        <sz val="11"/>
        <color theme="0"/>
        <rFont val="黑体"/>
        <charset val="134"/>
      </rPr>
      <t>多瓶同等级法术叠加时敌人</t>
    </r>
    <r>
      <rPr>
        <b/>
        <sz val="11"/>
        <color rgb="FFFFC000"/>
        <rFont val="黑体"/>
        <charset val="134"/>
      </rPr>
      <t>更快</t>
    </r>
    <r>
      <rPr>
        <sz val="11"/>
        <color theme="0"/>
        <rFont val="黑体"/>
        <charset val="134"/>
      </rPr>
      <t>进入最高状态，但</t>
    </r>
    <r>
      <rPr>
        <b/>
        <sz val="11"/>
        <color rgb="FFFFC000"/>
        <rFont val="黑体"/>
        <charset val="134"/>
      </rPr>
      <t>最高状态</t>
    </r>
    <r>
      <rPr>
        <sz val="11"/>
        <color theme="0"/>
        <rFont val="黑体"/>
        <charset val="134"/>
      </rPr>
      <t>伤害不因为数量的增加而提高。</t>
    </r>
  </si>
  <si>
    <t>自身叠加</t>
  </si>
  <si>
    <r>
      <rPr>
        <sz val="11"/>
        <color theme="0"/>
        <rFont val="黑体"/>
        <charset val="134"/>
      </rPr>
      <t>飞龙宝宝与狂暴法术叠加时，采用</t>
    </r>
    <r>
      <rPr>
        <b/>
        <sz val="11"/>
        <color rgb="FFFFC000"/>
        <rFont val="黑体"/>
        <charset val="134"/>
      </rPr>
      <t>狂暴法术</t>
    </r>
    <r>
      <rPr>
        <sz val="11"/>
        <color theme="0"/>
        <rFont val="黑体"/>
        <charset val="134"/>
      </rPr>
      <t>的伤害加成并</t>
    </r>
    <r>
      <rPr>
        <b/>
        <sz val="11"/>
        <color rgb="FFFFC000"/>
        <rFont val="黑体"/>
        <charset val="134"/>
      </rPr>
      <t>兼顾</t>
    </r>
    <r>
      <rPr>
        <sz val="11"/>
        <color theme="0"/>
        <rFont val="黑体"/>
        <charset val="134"/>
      </rPr>
      <t>自身狂暴带来的</t>
    </r>
    <r>
      <rPr>
        <b/>
        <sz val="11"/>
        <color rgb="FFFFC000"/>
        <rFont val="黑体"/>
        <charset val="134"/>
      </rPr>
      <t>射速加成</t>
    </r>
    <r>
      <rPr>
        <sz val="11"/>
        <color theme="0"/>
        <rFont val="黑体"/>
        <charset val="134"/>
      </rPr>
      <t>。</t>
    </r>
  </si>
  <si>
    <t>炸弹人开墙交互</t>
  </si>
  <si>
    <r>
      <rPr>
        <sz val="11"/>
        <color theme="0"/>
        <rFont val="黑体"/>
        <charset val="134"/>
      </rPr>
      <t>超级野蛮人与狂暴法术叠加时，采用</t>
    </r>
    <r>
      <rPr>
        <b/>
        <sz val="11"/>
        <color rgb="FFFFC000"/>
        <rFont val="黑体"/>
        <charset val="134"/>
      </rPr>
      <t>狂暴法术</t>
    </r>
    <r>
      <rPr>
        <sz val="11"/>
        <color theme="0"/>
        <rFont val="黑体"/>
        <charset val="134"/>
      </rPr>
      <t>的伤害加成。</t>
    </r>
  </si>
  <si>
    <t>英雄削弱</t>
  </si>
  <si>
    <r>
      <rPr>
        <sz val="11"/>
        <color theme="0"/>
        <rFont val="黑体"/>
        <charset val="134"/>
      </rPr>
      <t>毒药</t>
    </r>
    <r>
      <rPr>
        <b/>
        <sz val="11"/>
        <color rgb="FFFFC000"/>
        <rFont val="黑体"/>
        <charset val="134"/>
      </rPr>
      <t>对英雄的效果只有5%</t>
    </r>
    <r>
      <rPr>
        <sz val="11"/>
        <color theme="0"/>
        <rFont val="黑体"/>
        <charset val="134"/>
      </rPr>
      <t>（大守护者防御状态为0%）。在不间断的中毒下将</t>
    </r>
    <r>
      <rPr>
        <b/>
        <sz val="11"/>
        <color rgb="FFFFC000"/>
        <rFont val="黑体"/>
        <charset val="134"/>
      </rPr>
      <t>保持最高等级的</t>
    </r>
    <r>
      <rPr>
        <sz val="11"/>
        <color theme="0"/>
        <rFont val="黑体"/>
        <charset val="134"/>
      </rPr>
      <t>状态，不被更低等级的取代。</t>
    </r>
  </si>
  <si>
    <t>新版本的炸弹人一共有两次伤害</t>
  </si>
  <si>
    <t>狂暴+狂暴</t>
  </si>
  <si>
    <r>
      <rPr>
        <sz val="11"/>
        <color theme="0"/>
        <rFont val="黑体"/>
        <charset val="134"/>
      </rPr>
      <t>多瓶狂暴法术叠加时，取</t>
    </r>
    <r>
      <rPr>
        <b/>
        <sz val="11"/>
        <color rgb="FFFFC000"/>
        <rFont val="黑体"/>
        <charset val="134"/>
      </rPr>
      <t>加成效果最高</t>
    </r>
    <r>
      <rPr>
        <sz val="11"/>
        <color theme="0"/>
        <rFont val="黑体"/>
        <charset val="134"/>
      </rPr>
      <t>的一个。</t>
    </r>
  </si>
  <si>
    <t>主动攻击</t>
  </si>
  <si>
    <t>被动攻击</t>
  </si>
  <si>
    <t>攻击时间1秒</t>
  </si>
  <si>
    <t>瞬间击发</t>
  </si>
  <si>
    <t>攻击完成前都必须保持存活</t>
  </si>
  <si>
    <t>死亡后触发</t>
  </si>
  <si>
    <t>提升时间</t>
  </si>
  <si>
    <t>1瓶毒药作用下从初始到最高状态的时长是12秒</t>
  </si>
  <si>
    <t>可被狂暴法术增益</t>
  </si>
  <si>
    <t>不可被狂暴法术增益</t>
  </si>
  <si>
    <t>范围：城墙边缘1.2格</t>
  </si>
  <si>
    <t>范围：自身中心1.2格</t>
  </si>
  <si>
    <t>狂暴+急速</t>
  </si>
  <si>
    <t>不论是自带的狂暴，狂暴法术的狂暴还是急速法术的加速效果，兵种所有的增益效果都取决于该方面所能提供的最大效果，无法叠加。</t>
  </si>
  <si>
    <t>因为主动攻击和被动攻击的复杂性，炸弹人开墙交互也会变得随之复杂</t>
  </si>
  <si>
    <t>开墙情况被如下定义：</t>
  </si>
  <si>
    <t>伤害机制</t>
  </si>
  <si>
    <t>法术的伤害总量与时间的关系在伤害增加阶段为三次函数关系，达到最高秒伤后为一次函数关系。</t>
  </si>
  <si>
    <t>成功开墙：城墙同时受到主动攻击和被动攻击伤害</t>
  </si>
  <si>
    <t>失败开墙：城墙只受到被动攻击的伤害</t>
  </si>
  <si>
    <t>狂暴开墙：在狂暴法术的作用下城墙受到增益的主动攻击和被动攻击</t>
  </si>
  <si>
    <t>在下面将提供计算器以计算理论毒药伤害</t>
  </si>
  <si>
    <t>2020年5月版本全满级情况下毒药消灭单位所需时间：</t>
  </si>
  <si>
    <t>英雄+狂暴</t>
  </si>
  <si>
    <r>
      <rPr>
        <sz val="11"/>
        <color theme="0"/>
        <rFont val="黑体"/>
        <charset val="134"/>
      </rPr>
      <t>英雄技能提高的伤害和狂暴提高的伤害叠加取</t>
    </r>
    <r>
      <rPr>
        <b/>
        <sz val="11"/>
        <color rgb="FFFFC000"/>
        <rFont val="黑体"/>
        <charset val="134"/>
      </rPr>
      <t>伤害加成百分比最高</t>
    </r>
    <r>
      <rPr>
        <sz val="11"/>
        <color theme="0"/>
        <rFont val="黑体"/>
        <charset val="134"/>
      </rPr>
      <t>的一个。（绝大多数情况都是取自身伤害增加）</t>
    </r>
  </si>
  <si>
    <t>开墙交互表</t>
  </si>
  <si>
    <t>满级毒药</t>
  </si>
  <si>
    <t>单位</t>
  </si>
  <si>
    <t>开墙成败</t>
  </si>
  <si>
    <t>成功</t>
  </si>
  <si>
    <t>狂暴等级</t>
  </si>
  <si>
    <t>骷髅兵</t>
  </si>
  <si>
    <t>炸弹人等级</t>
  </si>
  <si>
    <t>小熔岩犬</t>
  </si>
  <si>
    <t>超级野蛮人</t>
  </si>
  <si>
    <t>狂暴加成</t>
  </si>
  <si>
    <t>小石人</t>
  </si>
  <si>
    <t>主动伤害</t>
  </si>
  <si>
    <t>总结论</t>
  </si>
  <si>
    <t>不论是攻击速度、攻击伤害还是移动速度，不同效果的叠加只取该方面的最高加成。</t>
  </si>
  <si>
    <t>城墙等级</t>
  </si>
  <si>
    <t>隐秘哥布林</t>
  </si>
  <si>
    <t>——伙伴就是力量！</t>
  </si>
  <si>
    <t>P1702</t>
  </si>
  <si>
    <t>BV1Up4y1Y7cj</t>
  </si>
  <si>
    <t>小雪怪</t>
  </si>
  <si>
    <t>超级巨人</t>
  </si>
  <si>
    <t>P1748</t>
  </si>
  <si>
    <t>BV1zV411m7qB</t>
  </si>
  <si>
    <t>较为特殊的攻略，一共分为两期讲解，研究笔记将其二合一</t>
  </si>
  <si>
    <t>超级炸弹人</t>
  </si>
  <si>
    <t>基础性质</t>
  </si>
  <si>
    <t xml:space="preserve">移速：16。面板的属性换算成有效单位是2.0格/秒，适中的速度。（有一点慢)
攻速：1.8秒/次。四个英雄里最慢的攻速，但每次伤害其实并不低
射程：7格。这使得大守护者可以无伤对付炸弹塔、法师塔以及敌对的男王和飞盾战神。
可以跳墙（陆地模式）。可以直接越过城墙攻击敌军，但不代表大守护者不会攻击城墙！
</t>
  </si>
  <si>
    <t>备注：超过16秒则需要下额外的毒药法术</t>
  </si>
  <si>
    <t>保证伤害增加阶段不受多瓶毒药叠加影响</t>
  </si>
  <si>
    <t>衰退减速</t>
  </si>
  <si>
    <t>中毒状态的衰退速度是增加速度的2倍，最长6秒。且一旦中毒将受到全额减速（攻速和移速）。</t>
  </si>
  <si>
    <t>飞行模式</t>
  </si>
  <si>
    <t>仅进攻时使用，他将被视为空军。移速不变，但射程略微降低。实验测试值为6.63格</t>
  </si>
  <si>
    <r>
      <rPr>
        <b/>
        <sz val="11"/>
        <color rgb="FFFFC000"/>
        <rFont val="黑体"/>
        <charset val="134"/>
      </rPr>
      <t>设原来攻速为x秒/次，削弱后攻速为y秒/次，减速效果为a</t>
    </r>
    <r>
      <rPr>
        <sz val="11"/>
        <color theme="0"/>
        <rFont val="黑体"/>
        <charset val="134"/>
      </rPr>
      <t>。</t>
    </r>
  </si>
  <si>
    <t>可以反推出</t>
  </si>
  <si>
    <t>从这些数据中可以得出，9本是开墙交互的转折点，城墙和炸弹人的天平开始改变。</t>
  </si>
  <si>
    <t>9本以上在没有压制的情况下，成功开墙、狂暴开墙、失败开墙所需的次数都是相等的。</t>
  </si>
  <si>
    <t>10本及以上压制-1级并不会影响成功开墙所需要的数量，到了12本及以上压制-2级也不会影响。</t>
  </si>
  <si>
    <t>所有城墙压制+1级几乎都会降低成功开墙所需次数，但只降低10本及以下的失败开墙次数</t>
  </si>
  <si>
    <t>所有等级的城墙如果压制1级炸弹人，都不能做到1次狂暴开墙成功。</t>
  </si>
  <si>
    <t>防御模式</t>
  </si>
  <si>
    <t>在进攻中，敌对的大守护者会化作雕像，他相当于一座强化箭塔的存在，射程提高到9格。此时的伤害可以轻松秒杀没有大守护者保护的脆皮。</t>
  </si>
  <si>
    <t>所以这就是法术削弱后新的攻速计算公式了。</t>
  </si>
  <si>
    <t>生命光环仍然可以对防守方的英雄/援军/骷髅陷阱使用，故进攻时最好避免在敌对大守护者雕像的保护下对付援兵。</t>
  </si>
  <si>
    <t>减速叠加</t>
  </si>
  <si>
    <t>毒药与狂暴叠加时实际效果做乘法运算，可以先计算出狂暴状态下的结果然后和毒药的减速进行计算。</t>
  </si>
  <si>
    <t>防守模式的大守护者不会受到英雄猎手的额外伤害和毒药减速！</t>
  </si>
  <si>
    <t>生命光环可以提高距离自身9格以内的军队生命值上限，但生命值百分比不变。军队离开生命光环后会在3秒内解除效果，反之亦然。</t>
  </si>
  <si>
    <t>援军逃逸</t>
  </si>
  <si>
    <t>援军在逃逸时路线选择大概率选择最近路线，小概率选择较远或者最远路线。</t>
  </si>
  <si>
    <t>生命光环有两个属性：提升生命百分比、提升上限。
前者可以按照生命上限的百分比提高军队的生命上限。
后者则会限制生命提升的大小，以免让部分单位的提高过于巨大。</t>
  </si>
  <si>
    <t>举例：7级的矿工生命值1000，50级大守护者生命光环提升生命90%，提升上限575。</t>
  </si>
  <si>
    <t>火影西瓜</t>
  </si>
  <si>
    <t>夜世界西瓜投手（熔岩发射器）的碎西瓜的灼烧效果和毒药法术基本一致，但没有减速效果。同样也可以近似计算估计消灭单位的时间。</t>
  </si>
  <si>
    <t>生命光环既不能对大守护者自己使用，也不能直接提高治疗法术的效果，但可以对攻城器使用。</t>
  </si>
  <si>
    <t>关于西瓜投手的具体信息可以查看西瓜投手这一章节</t>
  </si>
  <si>
    <t>毒药击杀时间</t>
  </si>
  <si>
    <t>注意：生命光环不能延长攻城训练营的殉爆时间</t>
  </si>
  <si>
    <t>现在将以2021年10月版本的数据展示毒药法术杀死所有援兵单位所需要的时间，并且以血量排序。</t>
  </si>
  <si>
    <t>毒药1瓶时间16秒，如果超过这个值，代表需要多瓶毒药</t>
  </si>
  <si>
    <t>永恒书卷的本质是释放一次的“Shield”法术。所以军队离开大守护者范围后仍然保持无敌效果，释放无敌后军队再进入也不会再享受该效果。</t>
  </si>
  <si>
    <t>毒药伤害计算器</t>
  </si>
  <si>
    <t>毒药时间计算器</t>
  </si>
  <si>
    <t>毒药所需时间</t>
  </si>
  <si>
    <t>小狗</t>
  </si>
  <si>
    <t>书卷无法防御的类型：</t>
  </si>
  <si>
    <t>弓箭</t>
  </si>
  <si>
    <t>单位生命</t>
  </si>
  <si>
    <t>炸弹人、超级炸弹人、小雪怪的一次性攻击</t>
  </si>
  <si>
    <t>攻城载具的自动/手动殉爆</t>
  </si>
  <si>
    <t>毒药伤害</t>
  </si>
  <si>
    <t>镜像单位的消失</t>
  </si>
  <si>
    <t>好奇号的自动损耗</t>
  </si>
  <si>
    <t>弹簧的击飞</t>
  </si>
  <si>
    <t>备注：时间单位为秒，所有计算均为近似计算，存在少量误差。</t>
  </si>
  <si>
    <t>超哥</t>
  </si>
  <si>
    <t>空气炮、迫击炮、天鹰火炮的击退</t>
  </si>
  <si>
    <t>超过16秒自动再下一瓶毒药法术</t>
  </si>
  <si>
    <t>猎手</t>
  </si>
  <si>
    <t>13本大本营的减速</t>
  </si>
  <si>
    <t>超炸</t>
  </si>
  <si>
    <t>敌对戈仑冰人的冰冻效果</t>
  </si>
  <si>
    <t>英雄猎手的毒药效果</t>
  </si>
  <si>
    <t>——敌我不分的幻象场</t>
  </si>
  <si>
    <t>BV18V411b7ts</t>
  </si>
  <si>
    <t>蓝胖</t>
  </si>
  <si>
    <t>p1864</t>
  </si>
  <si>
    <t>超法</t>
  </si>
  <si>
    <r>
      <rPr>
        <sz val="11"/>
        <color theme="0"/>
        <rFont val="黑体"/>
        <charset val="134"/>
      </rPr>
      <t>简言之，永恒书卷</t>
    </r>
    <r>
      <rPr>
        <b/>
        <sz val="11"/>
        <color rgb="FFFFC000"/>
        <rFont val="等线"/>
        <charset val="134"/>
      </rPr>
      <t>只免疫受到的外界正伤害</t>
    </r>
  </si>
  <si>
    <t>超弓</t>
  </si>
  <si>
    <t>隐形法术的数据可以在“家乡支援军”的“圣水法术”中找到</t>
  </si>
  <si>
    <t>气球</t>
  </si>
  <si>
    <t>气球火箭兵</t>
  </si>
  <si>
    <t>跟随机制</t>
  </si>
  <si>
    <t>这是本章节的重点和难点，大守护者并不像其他单位一样自管自攻击。他会有意跟随价值最高部队以最大化能力的效果。</t>
  </si>
  <si>
    <t>隐形本质</t>
  </si>
  <si>
    <t>类似于狂暴法术，本质同样也是在一块区域内以0.25秒的间隔释放15-18次持续0.6秒的隐形场。</t>
  </si>
  <si>
    <t>猪猪</t>
  </si>
  <si>
    <t>矿工</t>
  </si>
  <si>
    <t>跟随权重</t>
  </si>
  <si>
    <t>跟随权重反应军队在大守护者眼里的重要性，大小只与军队种类有关。当单位锁定一个目标的时候，该目标会附加他的跟随权重。</t>
  </si>
  <si>
    <t>敌我不分</t>
  </si>
  <si>
    <t>如果隐形了关键防御例如西瓜投手，那么大部队肯定会挨不少的毒打。但也可以被“合理利用”，比如引导走位，或者引导盾斗术攻击正确的目标。</t>
  </si>
  <si>
    <t>小石头</t>
  </si>
  <si>
    <t>超亡</t>
  </si>
  <si>
    <t>也可以用于引开自己不想处理的援军单位，例如某韩大狗</t>
  </si>
  <si>
    <t>跟随权重有两个值：进攻方跟随权重和防守方跟随权重，以两个数字表示。</t>
  </si>
  <si>
    <t>部分单位的跟随权重将会根据生产关系分类展示。</t>
  </si>
  <si>
    <t>龙宝</t>
  </si>
  <si>
    <t>英雄/载具</t>
  </si>
  <si>
    <t>超级蓝胖</t>
  </si>
  <si>
    <t>煤气龙</t>
  </si>
  <si>
    <t>超级弓箭手</t>
  </si>
  <si>
    <t>超级武神</t>
  </si>
  <si>
    <t>瓦基丽武神</t>
  </si>
  <si>
    <t>超级女巫</t>
  </si>
  <si>
    <t>冰人</t>
  </si>
  <si>
    <t>小戈仑石人</t>
  </si>
  <si>
    <t>大宝宝</t>
  </si>
  <si>
    <t>迷你熔岩犬</t>
  </si>
  <si>
    <t>电龙</t>
  </si>
  <si>
    <t>皮卡</t>
  </si>
  <si>
    <t>狗</t>
  </si>
  <si>
    <t>大雪怪</t>
  </si>
  <si>
    <t>隐形例外</t>
  </si>
  <si>
    <t>该法术无法隐形城墙和攻城载具。</t>
  </si>
  <si>
    <t>冰狗</t>
  </si>
  <si>
    <t>开始跟随</t>
  </si>
  <si>
    <t>若距离大守护者13格以内的军队的“基础权重”之和&gt;=2000时，大守护者将“跟随攻击”。即使分散在多个目标，总和达到就可以了。</t>
  </si>
  <si>
    <t>夜世界出六农数据</t>
  </si>
  <si>
    <t>1.改装</t>
  </si>
  <si>
    <t>2.加农炮战车升18级</t>
  </si>
  <si>
    <t>3.超级特斯拉电塔升至9级</t>
  </si>
  <si>
    <t>4.战争机器升至30级</t>
  </si>
  <si>
    <t>削减权重</t>
  </si>
  <si>
    <t>当军队距离大守护者&gt;9格（生命光环范围外）时“实际权重”降低15%，&gt;11格降低20%（不叠加）。</t>
  </si>
  <si>
    <t>项目</t>
  </si>
  <si>
    <t>等级要求</t>
  </si>
  <si>
    <t>数量要求</t>
  </si>
  <si>
    <t>夜世界资源</t>
  </si>
  <si>
    <t>夜世界时间（天）</t>
  </si>
  <si>
    <t>备注</t>
  </si>
  <si>
    <t>关于隐形的介绍，可阅读规则起源的“隐身本质”。</t>
  </si>
  <si>
    <t>工人</t>
  </si>
  <si>
    <t>加农炮☀</t>
  </si>
  <si>
    <t>改装</t>
  </si>
  <si>
    <t>箭塔☀</t>
  </si>
  <si>
    <t>隐形事项</t>
  </si>
  <si>
    <t>所有隐形军队/建筑都可以正常受到伤害、法术效果、陷阱作用。并且也可以被连锁闪电击中</t>
  </si>
  <si>
    <t>迫击炮☀</t>
  </si>
  <si>
    <t>加农炮战车☽</t>
  </si>
  <si>
    <t>升级</t>
  </si>
  <si>
    <t>超级电塔☽</t>
  </si>
  <si>
    <t>战争英雄☽</t>
  </si>
  <si>
    <t>——揭示寻路和伤害的本质</t>
  </si>
  <si>
    <t>BV1M64y1Q7Js</t>
  </si>
  <si>
    <t>奥仔小屋</t>
  </si>
  <si>
    <t>新建</t>
  </si>
  <si>
    <t>p1957</t>
  </si>
  <si>
    <t>训练营☽</t>
  </si>
  <si>
    <t>衍生要求</t>
  </si>
  <si>
    <t>星空实验室☽</t>
  </si>
  <si>
    <t>优先级</t>
  </si>
  <si>
    <t>大守护者优先攻击“实际权重”最高的“非城墙目标”，如果没有此类目标，则攻击权重最高的“城墙”。</t>
  </si>
  <si>
    <t>圣水瓶☽</t>
  </si>
  <si>
    <t>三块城墙</t>
  </si>
  <si>
    <t>一般情况下炸弹人保证一次最少攻击3块城墙。如果全图都没有连着的三个城墙，则攻击离炸弹人最近的城墙。如果全图连墙都没有，炸弹人会去炸建筑。</t>
  </si>
  <si>
    <t>大本营☽</t>
  </si>
  <si>
    <t>若多个目标的权重相等时，大守护者会攻击“锁定时间”最早的目标，罕见情况下选择距离自己最近的目标。</t>
  </si>
  <si>
    <t>金罐☽</t>
  </si>
  <si>
    <t>搜索范围</t>
  </si>
  <si>
    <t>炸弹人的搜索范围为25格（从建筑中心到炸弹人所在位置）。发现被城墙保护的建筑后，炸弹人会攻击最近的城墙。（对4*4建筑，搜索范围+2格）</t>
  </si>
  <si>
    <t>双管加农炮☽</t>
  </si>
  <si>
    <t>箭塔☽</t>
  </si>
  <si>
    <t>多管迫击炮☽</t>
  </si>
  <si>
    <t>升本要求</t>
  </si>
  <si>
    <t>如果军队目前需要开墙且同时满足城墙与目标距离&gt;=6格(从城墙到目标数5个空格)和目标在大守护者射程外。跟随权重会转移到城墙上，否则依然附加在目标上。</t>
  </si>
  <si>
    <t>空炸起源</t>
  </si>
  <si>
    <t>判定开墙</t>
  </si>
  <si>
    <t>当 “直接靠近建筑和开墙接近建筑边缘的路程差”与“占地边长和判定边长的差”之和 大于等于16格时，炸弹人会选择开墙。如果从建筑边缘到城墙缺口的距离大于等于4格，炸弹人也会开墙。</t>
  </si>
  <si>
    <t>记忆时间</t>
  </si>
  <si>
    <t>大守护者会在切换目标时记忆6秒当前目标，此后将重新计算目标，目标的“跟随权重”和“锁定时间”将全部重置。</t>
  </si>
  <si>
    <t>速度加成</t>
  </si>
  <si>
    <t>大守护者部署后军队死亡或者逃出大守护者13格后并不会立刻改变目标的跟随权重，只有重新计算后才会刷新。</t>
  </si>
  <si>
    <t>合计</t>
  </si>
  <si>
    <t>重新计算时，如果目前的跟随权重&lt;2000，那么维持现状</t>
  </si>
  <si>
    <t>分析：</t>
  </si>
  <si>
    <t>1.改装过程不能加速，只能使用魔法书。迫击炮时间过长，建议用书，节省14天</t>
  </si>
  <si>
    <t>2.考虑时光钟楼的作用，钟楼加速数据如下：</t>
  </si>
  <si>
    <t>双层城墙</t>
  </si>
  <si>
    <t>双层城墙不一定能防止炸弹人开墙。正确的做法是让核心建筑远离其他建筑，类似于岛屿和大隔断架构。</t>
  </si>
  <si>
    <t>加速时间</t>
  </si>
  <si>
    <t>节省时间</t>
  </si>
  <si>
    <t>一层解决</t>
  </si>
  <si>
    <t>炸弹人会先寻找只炸一层城墙即可打开封闭建筑的方法，一层不行就考虑两层。</t>
  </si>
  <si>
    <t>3.实际升级过程中，金罐和圣水瓶必须在对应等级升满，才能存储足够的资源升级大本营</t>
  </si>
  <si>
    <t>工人小屋</t>
  </si>
  <si>
    <t>——建建建建建建建建建筑工</t>
  </si>
  <si>
    <t>BV1WM4y1T7NN</t>
  </si>
  <si>
    <t xml:space="preserve">  所以这些建筑享受不了9级钟楼的提速加成，而钟楼在4级大本解锁至4级</t>
  </si>
  <si>
    <t>p2179</t>
  </si>
  <si>
    <t xml:space="preserve">  粗略计算，金罐、圣水瓶、大本营、兵营这几项按4级钟楼加成</t>
  </si>
  <si>
    <t>弹跳与电塔</t>
  </si>
  <si>
    <t>对炸弹人而言，弹跳法术覆盖的城墙，等价于城墙消失。如果弹跳法术导致附近没有封闭建筑，则炸弹人会无视弹跳直接攻击最近的城墙！</t>
  </si>
  <si>
    <t xml:space="preserve">  金罐、圣水瓶、大本营、兵营这几项升级时间36.57/27*24=32.5天</t>
  </si>
  <si>
    <t>工人小屋相当于弱化版的对空连弩，至少从生命值、伤害、射速、射程上看都是如此。
但要注意的是维修能力！特殊的，升级状态中的建筑工人小屋不属于防御建筑！</t>
  </si>
  <si>
    <t>4.钟楼升级时无法使用，但1~7级时，升级时间&lt;1天，可以同过合理升级安排保证一天一次使用，升8级和9级分别用时1天、1.5天无法使用加速功能</t>
  </si>
  <si>
    <t>5.其他项目按满级钟楼一天一次加速计算</t>
  </si>
  <si>
    <t>铁幕工人</t>
  </si>
  <si>
    <t>工人的面板信息可以在“纪念碑谷-&gt;被遗忘的海岸”中查看，他拥有全游戏最高的十万血的生命值。而且看起来实在是太“逊”了，以至于都吸引不了部队的注意力。</t>
  </si>
  <si>
    <t>忽略资源的获取，夜世界工人时间分几项加速：</t>
  </si>
  <si>
    <t>原时间</t>
  </si>
  <si>
    <t>提速时间</t>
  </si>
  <si>
    <t>工人可以被法术效果影响。</t>
  </si>
  <si>
    <t>金罐、圣水瓶、大本营、兵营</t>
  </si>
  <si>
    <t>毒药法术：降低移动和维修速度；</t>
  </si>
  <si>
    <t>其他</t>
  </si>
  <si>
    <t>冰冻法术和雷电法术：暂停并重置建筑工的维修；</t>
  </si>
  <si>
    <t>隐形法术：对目标建筑使用，让工人暂时无法维修该建筑；</t>
  </si>
  <si>
    <t>狂暴法术：仅超级武神亡语，提高工人维修量和移动速度；</t>
  </si>
  <si>
    <t>小细节</t>
  </si>
  <si>
    <t>工人无法维修城墙，重点应该放在建筑物为好！
在联机模式中，如果工人在开战前还在007，则需要一段时间从升级中的建筑跑到小屋周围执勤。</t>
  </si>
  <si>
    <t>——揭示蜜汁发射机制</t>
  </si>
  <si>
    <t>BV1io4y1k7p9</t>
  </si>
  <si>
    <t>巡逻与范围</t>
  </si>
  <si>
    <t>建筑工人的维修范围为7格，只需要蹭到建筑物占地面积就可以了；工人闲置时按照蜜汁走位进行巡逻。因此吉尔哈特为我们画出了维修责任和巡逻路线图。</t>
  </si>
  <si>
    <t>p2140</t>
  </si>
  <si>
    <t>触发人口</t>
  </si>
  <si>
    <t>天鹰火炮需要200的人口才可以触发。当前触发人口在达到50（25%）、100（50%）、150（75%）的时候都会有视觉和听觉上的提示，有助于“我们”判断目前的情况。</t>
  </si>
  <si>
    <t>ps:2022年6月份更新将原来1级、2级触发人口180调整为200。</t>
  </si>
  <si>
    <t>计算规则</t>
  </si>
  <si>
    <t>法术5/格，英雄25/名，载具1，援军信标也是1。英雄的技能以及“非直接派遣单位”如英雄的宠物、生成的部落援军、法术召唤或复制的军队、女巫召唤的骷髅、韩大狗爆开的小狗等。这些均不会算入触发人口。</t>
  </si>
  <si>
    <t>发射机制</t>
  </si>
  <si>
    <t>天鹰武德充沛，目标的脚下会出现闪亮的标记，代表天鹰即将攻击的目标，激活时间1.125秒。天鹰一共分为三个阶段：瞄准，发射和冷却。这三个阶段的时间分别为1.93s、2.25s、7.35s，所以实际射速要比10秒/轮慢。</t>
  </si>
  <si>
    <t>不同于传统的迫击炮，发射出去的炮弹不论距离敌军多远，命中目标的时间始终都是固定的5秒。</t>
  </si>
  <si>
    <t>打断后果</t>
  </si>
  <si>
    <t>在瞄准阶段被打断，天鹰在恢复后会重新进入瞄准阶段。
在发射阶段被打断，天鹰在恢复后继续发射阶段，但不再发射炮弹，之后回到瞄准阶段。
在冷却阶段被打断，天鹰恢复后会继续冷却。</t>
  </si>
  <si>
    <t>两个伤害</t>
  </si>
  <si>
    <t>天鹰有两个伤害，一个是半径0.75格的主要伤害（每发伤害），以及半径3格的次要伤害（冲击伤害）。而次要伤害会比主动伤害延迟0.55秒触发，两者均会对人口&lt;=3的军队造成0.5格的击退。</t>
  </si>
  <si>
    <t>实际维修</t>
  </si>
  <si>
    <t>工人实际维修速度为0.709秒/次，要比面板上的0.75秒更快！实际每秒维修是面板数据上的105.78%。</t>
  </si>
  <si>
    <t>仇恨权重</t>
  </si>
  <si>
    <t>所有军队也隐藏了一个值，代表在天鹰火炮眼中的仇恨。这个值叫做enemy group weight，被称为“仇恨权重”。这是军队的固有属性。研究笔记中可以查看权重的大小。</t>
  </si>
  <si>
    <t>和天使一样，多工人的维修衰减比例为100%、100%、90%、90%、70%。</t>
  </si>
  <si>
    <t>群体大小</t>
  </si>
  <si>
    <t>天鹰的瞄准以群体为单位，群体半径3格，仇恨权重为所有在天鹰范围内的群体单位总和。</t>
  </si>
  <si>
    <t>维修优先级</t>
  </si>
  <si>
    <t>工人优先维修自己的小屋，其次是距离工人最近的受伤建筑；被打断、维修完成或建筑物被摧毁后重新计算目标。</t>
  </si>
  <si>
    <t>瞄准机制</t>
  </si>
  <si>
    <t>天鹰最初会选择射程内最近的一个群体，然后会根据算法尝试选择更远距离的群体。此过程会循环进行，直到找不到下一个群体为止，目标锁定。</t>
  </si>
  <si>
    <t>设远群体与近群体的距离差为x，远群体与近群体的仇恨权重比值为y。当远群体能刚好吸引天鹰攻击时，y与x的关系式为y=0.0001x³-0.0017x²+0.0525x+1</t>
  </si>
  <si>
    <t>如果更远距离的群体距离当前选择的群体&lt;=5格时，会被忽略。&lt;=7格时会受到超过3倍的惩罚，即需要至少3倍于近距离群体的仇恨总和才可以吸引天鹰锁定。</t>
  </si>
  <si>
    <t>选择该群体后，天鹰直接瞄准该群体内仇恨权重最高的最近目标。</t>
  </si>
  <si>
    <t>——你，并不孤独</t>
  </si>
  <si>
    <t>BV1VA411c7zo</t>
  </si>
  <si>
    <t>p2211</t>
  </si>
  <si>
    <t>基础属性</t>
  </si>
  <si>
    <t>镜像法术的半径为3.5格，在此范围内的单位可以被复制，只要持续18秒的光环还在随时都可以复制，复制间隔0.3秒。</t>
  </si>
  <si>
    <t>复制目标</t>
  </si>
  <si>
    <t>镜像可以复制“非独一无二”的生物单位，指的是在一场战斗中可以同时出现多个的单位。
不能复制英雄、攻城载具、战宠，因为其独一无二性导致无法被复制。</t>
  </si>
  <si>
    <t>劣质复读机</t>
  </si>
  <si>
    <t>镜像法术是一款劣质复读机，它不能复读当前生命值百分比和法术效果，也包括超蛮和超球的技能。</t>
  </si>
  <si>
    <t>复制结论</t>
  </si>
  <si>
    <r>
      <rPr>
        <sz val="11"/>
        <color theme="0"/>
        <rFont val="黑体"/>
        <charset val="134"/>
      </rPr>
      <t>镜像法术按法术范围内单位出现的时间先后进行复制，</t>
    </r>
    <r>
      <rPr>
        <b/>
        <sz val="11"/>
        <color rgb="FFFFC000"/>
        <rFont val="黑体"/>
        <charset val="134"/>
      </rPr>
      <t>最先出现的最先复制</t>
    </r>
    <r>
      <rPr>
        <sz val="11"/>
        <color theme="0"/>
        <rFont val="黑体"/>
        <charset val="134"/>
      </rPr>
      <t>，法术剩余单位不足以复制此单位时跳过。
当一个周期复制完成后若剩余人口未用尽，则重新按照“最先出现的最先复制”的原则继续下一周期的复制。
新单位进入法术范围后，插入于复制队列的当前复制单位后，该单位只有在下一个周期才会复制。</t>
    </r>
  </si>
  <si>
    <t>单独计算</t>
  </si>
  <si>
    <r>
      <rPr>
        <sz val="11"/>
        <color theme="0"/>
        <rFont val="黑体"/>
        <charset val="134"/>
      </rPr>
      <t>每瓶镜像单独计算，两瓶1级的镜像法术</t>
    </r>
    <r>
      <rPr>
        <b/>
        <sz val="11"/>
        <color rgb="FFFFC000"/>
        <rFont val="黑体"/>
        <charset val="134"/>
      </rPr>
      <t>不可以叠加</t>
    </r>
    <r>
      <rPr>
        <sz val="11"/>
        <color theme="0"/>
        <rFont val="黑体"/>
        <charset val="134"/>
      </rPr>
      <t>使得其能够复制一条雷龙，但可以复制另一个镜像法术复制的单位，在有些情况下非常必要。</t>
    </r>
  </si>
  <si>
    <t>完全随机</t>
  </si>
  <si>
    <t>镜像法术复制出的单位的位置会在法术光环范围内，但是完全随机的。不会受限于城墙格子，不同于骷髅法术</t>
  </si>
  <si>
    <t>5.3 小工具</t>
  </si>
  <si>
    <t>这里包含实用的计算工具</t>
  </si>
  <si>
    <t>内容如下：</t>
  </si>
  <si>
    <t>1.宝石消耗/价值</t>
  </si>
  <si>
    <t>2.闪电鞭</t>
  </si>
  <si>
    <t>宝石消耗计算</t>
  </si>
  <si>
    <t>宝石价值计算</t>
  </si>
  <si>
    <t>提示：点击项目类型可以切换</t>
  </si>
  <si>
    <t>相反：给定宝石，计算带来价值</t>
  </si>
  <si>
    <t>1.家乡圣水/金币</t>
  </si>
  <si>
    <t>已有宝石</t>
  </si>
  <si>
    <t>所需宝石：</t>
  </si>
  <si>
    <t>1.家乡建筑</t>
  </si>
  <si>
    <t>小时</t>
  </si>
  <si>
    <t>备注：由于输入精度问题，可能存在少量误差。</t>
  </si>
  <si>
    <t>闪电鞭</t>
  </si>
  <si>
    <t>计算最优闪电地震建筑组合策略，如果所需空间相同则选择伤害溢出最高的，这样工人维修影响较低。</t>
  </si>
  <si>
    <t>闪电等级</t>
  </si>
  <si>
    <t>闪电伤害</t>
  </si>
  <si>
    <t>地震等级</t>
  </si>
  <si>
    <t>地震伤害</t>
  </si>
  <si>
    <t>建筑目标（仅15本）</t>
  </si>
  <si>
    <t>目标生命</t>
  </si>
  <si>
    <t>&lt;-此项禁止编辑！</t>
  </si>
  <si>
    <t>自定义</t>
  </si>
  <si>
    <t>&lt;-如果输入，取此处</t>
  </si>
  <si>
    <t>实际生命值</t>
  </si>
  <si>
    <t>闪电法术</t>
  </si>
  <si>
    <t>雷电贡献</t>
  </si>
  <si>
    <t>地震贡献</t>
  </si>
  <si>
    <t>伤害溢出</t>
  </si>
  <si>
    <t>容错率</t>
  </si>
  <si>
    <t>允许被满级工人维修的次数</t>
  </si>
  <si>
    <t>其他解</t>
  </si>
  <si>
    <t>总空间</t>
  </si>
  <si>
    <t>5.4 纪念碑谷</t>
  </si>
  <si>
    <t>魔法物品</t>
  </si>
  <si>
    <t>部落竞赛</t>
  </si>
  <si>
    <t>游戏建议</t>
  </si>
  <si>
    <t>障碍&amp;装饰</t>
  </si>
  <si>
    <t>纪念永恒的忘却：亦或感受、亦或略过、如你所愿。</t>
  </si>
  <si>
    <t>备注：右上角为直接购买的价格，左下角为为直接售价，右下角为大本营所能存储的物品上限。</t>
  </si>
  <si>
    <t>备注：部落竞赛的所有历史，修改开始日期以查询不同的任务奖励</t>
  </si>
  <si>
    <t>备注：自然生成的障碍物和你可以买的装饰物，请问你集齐了吗？之后版本更新</t>
  </si>
  <si>
    <t>训练药水</t>
  </si>
  <si>
    <t>25宝石/10奖章</t>
  </si>
  <si>
    <t>钟楼药水</t>
  </si>
  <si>
    <t>75宝石</t>
  </si>
  <si>
    <t>资源药水</t>
  </si>
  <si>
    <t>115宝石/10奖章</t>
  </si>
  <si>
    <t>开始日期</t>
  </si>
  <si>
    <t>常规障碍物</t>
  </si>
  <si>
    <t>装饰物</t>
  </si>
  <si>
    <t>1.魔法物品</t>
  </si>
  <si>
    <t>积分要求</t>
  </si>
  <si>
    <t>奖励选择A</t>
  </si>
  <si>
    <t>奖励选择B</t>
  </si>
  <si>
    <t>奖励选择C</t>
  </si>
  <si>
    <t>经验奖励</t>
  </si>
  <si>
    <t>建议编号</t>
  </si>
  <si>
    <t>建议内容</t>
  </si>
  <si>
    <t>障碍物名字</t>
  </si>
  <si>
    <t>清理成本</t>
  </si>
  <si>
    <t>清理时间</t>
  </si>
  <si>
    <t>清理奖励</t>
  </si>
  <si>
    <t>装饰物名字</t>
  </si>
  <si>
    <t>等级需求</t>
  </si>
  <si>
    <t>建造上限</t>
  </si>
  <si>
    <t>2.月度挑战</t>
  </si>
  <si>
    <t>B1</t>
  </si>
  <si>
    <t>最灵繁的人也看不见自己的背脊。——非洲</t>
  </si>
  <si>
    <t>树</t>
  </si>
  <si>
    <t>2*2</t>
  </si>
  <si>
    <t>2000圣水</t>
  </si>
  <si>
    <t>宝石</t>
  </si>
  <si>
    <t>万能神像</t>
  </si>
  <si>
    <t>500宝石</t>
  </si>
  <si>
    <t>☀</t>
  </si>
  <si>
    <t>3.部落竞赛</t>
  </si>
  <si>
    <t>特殊加成</t>
  </si>
  <si>
    <t>B2</t>
  </si>
  <si>
    <t>最困难的事情就是认识自己。——希腊</t>
  </si>
  <si>
    <t>石头</t>
  </si>
  <si>
    <t>3*3</t>
  </si>
  <si>
    <t>20000金币</t>
  </si>
  <si>
    <t>15秒</t>
  </si>
  <si>
    <t>火把</t>
  </si>
  <si>
    <t>500圣水</t>
  </si>
  <si>
    <t>☀☀☀☀</t>
  </si>
  <si>
    <t>4.竞赛任务</t>
  </si>
  <si>
    <t>B3</t>
  </si>
  <si>
    <t>有勇气承担命运这才是英雄好汉。——黑塞</t>
  </si>
  <si>
    <t>500金币</t>
  </si>
  <si>
    <t>白旗</t>
  </si>
  <si>
    <t>5000圣水</t>
  </si>
  <si>
    <t>5.游戏建议</t>
  </si>
  <si>
    <t>B4</t>
  </si>
  <si>
    <t>与肝胆人共事，无字句处读书。——周恩来</t>
  </si>
  <si>
    <t>海盗旗</t>
  </si>
  <si>
    <t>6.障碍&amp;装饰</t>
  </si>
  <si>
    <t>效果：加速家乡训练为原来4倍，持续1小时。</t>
  </si>
  <si>
    <t>效果：使时光钟楼运行30分钟（无视冷却）</t>
  </si>
  <si>
    <t>效果：加速家乡采集器为原来2倍，持续1天。</t>
  </si>
  <si>
    <t>B5</t>
  </si>
  <si>
    <t>阅读使人充实，会谈使人敏捷，写作使人精确。——培根</t>
  </si>
  <si>
    <t>灌木</t>
  </si>
  <si>
    <t>250圣水</t>
  </si>
  <si>
    <t>矢车菊</t>
  </si>
  <si>
    <t>2500圣水</t>
  </si>
  <si>
    <t>7.被遗忘的海岸</t>
  </si>
  <si>
    <t>B6</t>
  </si>
  <si>
    <t>最大的骄傲于最大的自卑都表示心灵的最软弱无力。——斯宾诺莎</t>
  </si>
  <si>
    <t>7500圣水</t>
  </si>
  <si>
    <t>太阳花</t>
  </si>
  <si>
    <t>8.成就挑战</t>
  </si>
  <si>
    <t>售价：10宝石</t>
  </si>
  <si>
    <t>储量：5</t>
  </si>
  <si>
    <t>B7</t>
  </si>
  <si>
    <t>自知之明是最难得的知识。——西班牙</t>
  </si>
  <si>
    <t>树干</t>
  </si>
  <si>
    <t>1000圣水</t>
  </si>
  <si>
    <t>风向标</t>
  </si>
  <si>
    <t>10000圣水</t>
  </si>
  <si>
    <t>*不论上限如何，只需做满4000就可以领取额外奖励</t>
  </si>
  <si>
    <t>B8</t>
  </si>
  <si>
    <t>勇气通往天堂，怯懦通往地狱。——塞内加</t>
  </si>
  <si>
    <t>集合旗</t>
  </si>
  <si>
    <t>15000圣水</t>
  </si>
  <si>
    <t>B9</t>
  </si>
  <si>
    <t>有时候读书是一种巧妙地避开思考的方法。——赫尔普斯</t>
  </si>
  <si>
    <t>蘑菇</t>
  </si>
  <si>
    <t>100圣水</t>
  </si>
  <si>
    <t>点标旗</t>
  </si>
  <si>
    <t>力量药水</t>
  </si>
  <si>
    <t>300宝石</t>
  </si>
  <si>
    <t>英雄药水</t>
  </si>
  <si>
    <t>工人药水</t>
  </si>
  <si>
    <t>285宝石/30奖章</t>
  </si>
  <si>
    <t>B10</t>
  </si>
  <si>
    <t>阅读一切好书如同和过去最杰出的人谈话。——笛卡儿</t>
  </si>
  <si>
    <t>古代头骨</t>
  </si>
  <si>
    <t>500000金币</t>
  </si>
  <si>
    <t>B11</t>
  </si>
  <si>
    <t>越是没有本领的就越加自命不凡。——邓拓</t>
  </si>
  <si>
    <t>25种 国旗</t>
  </si>
  <si>
    <t>100000金币</t>
  </si>
  <si>
    <t>竞赛任务</t>
  </si>
  <si>
    <t>B12</t>
  </si>
  <si>
    <t>越是无能的人，越喜欢挑剔别人的错儿。——爱尔兰</t>
  </si>
  <si>
    <t>皮卡超人神像</t>
  </si>
  <si>
    <t>1000000金币</t>
  </si>
  <si>
    <t>B13</t>
  </si>
  <si>
    <t>知人者智，自知者明。胜人者有力，自胜者强。——老子</t>
  </si>
  <si>
    <t>超级英雄雕像</t>
  </si>
  <si>
    <t>备注：所有任务全部洗牌</t>
  </si>
  <si>
    <t>B14</t>
  </si>
  <si>
    <t>意志坚强的人能把世界放在手中像泥块一样任意揉捏。——歌德</t>
  </si>
  <si>
    <t>10000金币</t>
  </si>
  <si>
    <t>5000夜本金币</t>
  </si>
  <si>
    <t>B15</t>
  </si>
  <si>
    <t>最具挑战性的挑战莫过于提升自我。——迈克尔·F·斯特利</t>
  </si>
  <si>
    <t>小松树</t>
  </si>
  <si>
    <t>10000夜本金币</t>
  </si>
  <si>
    <t>效果：强化军队至实验室最高等级，持续1小时。</t>
  </si>
  <si>
    <t>效果：强化英雄5级1小时，最高到大本营支持上限。</t>
  </si>
  <si>
    <t>效果：加速所有工人为原来10倍，持续1小时。</t>
  </si>
  <si>
    <t>难度</t>
  </si>
  <si>
    <t>任务总数</t>
  </si>
  <si>
    <t>平均时间</t>
  </si>
  <si>
    <t>平均奖励</t>
  </si>
  <si>
    <t>均加时费</t>
  </si>
  <si>
    <t>任务难度：即使是同一个任务，在不同的难度下要求和奖励也会不同。</t>
  </si>
  <si>
    <t>B16</t>
  </si>
  <si>
    <t>业余生活要有意义，不要越轨。——华盛顿</t>
  </si>
  <si>
    <t>礼物</t>
  </si>
  <si>
    <t>1*1</t>
  </si>
  <si>
    <t>0金币</t>
  </si>
  <si>
    <t>0秒</t>
  </si>
  <si>
    <t>松树</t>
  </si>
  <si>
    <t>普通</t>
  </si>
  <si>
    <t>一般难度的任务。</t>
  </si>
  <si>
    <t>8.6小时</t>
  </si>
  <si>
    <t>任务奖励：完成任务后将会得到的积分数量。</t>
  </si>
  <si>
    <t>B17</t>
  </si>
  <si>
    <t>一个人即使已登上顶峰，也仍要自强不息。——罗素·贝克</t>
  </si>
  <si>
    <t>宝箱</t>
  </si>
  <si>
    <t>30秒</t>
  </si>
  <si>
    <t>25宝石</t>
  </si>
  <si>
    <t>远古野蛮人雕像</t>
  </si>
  <si>
    <t>250宝石</t>
  </si>
  <si>
    <t>简单</t>
  </si>
  <si>
    <t>可以快速完成的任务，但奖励相对更少。</t>
  </si>
  <si>
    <t>3小时</t>
  </si>
  <si>
    <t>加时费用：如果竞赛未能顺利完成，那么可以选择使用宝石以继续进行。</t>
  </si>
  <si>
    <t>B18</t>
  </si>
  <si>
    <t>最大的挑战和突破在于用人，而用人最大的突破在于信任人。——马云</t>
  </si>
  <si>
    <t>石板路</t>
  </si>
  <si>
    <t>☀ 25</t>
  </si>
  <si>
    <t>困难</t>
  </si>
  <si>
    <t>完成量较大的任务，需要多次完成。</t>
  </si>
  <si>
    <t>24小时</t>
  </si>
  <si>
    <t>B19</t>
  </si>
  <si>
    <t>自己活着，就是为了使别人过得更美好。——雷锋</t>
  </si>
  <si>
    <t>资源车</t>
  </si>
  <si>
    <t>？？？</t>
  </si>
  <si>
    <t>弓箭女皇雕像</t>
  </si>
  <si>
    <t>B20</t>
  </si>
  <si>
    <t>要掌握书，莫被书掌握；要为生而读，莫为读而生。——布尔沃</t>
  </si>
  <si>
    <t>2000夜本圣水</t>
  </si>
  <si>
    <t>箭靶</t>
  </si>
  <si>
    <t>20000夜本金币</t>
  </si>
  <si>
    <t>☀☀☀</t>
  </si>
  <si>
    <t>研究药水</t>
  </si>
  <si>
    <t>120宝石/20奖章</t>
  </si>
  <si>
    <t>战斗之书</t>
  </si>
  <si>
    <t>925宝石</t>
  </si>
  <si>
    <t>法术之书</t>
  </si>
  <si>
    <t>B21</t>
  </si>
  <si>
    <t>要知道对好事的称颂过于夸大，也会招来人们的反感轻蔑和嫉妒。——培根</t>
  </si>
  <si>
    <t>营火</t>
  </si>
  <si>
    <t>☀☀</t>
  </si>
  <si>
    <t>B22</t>
  </si>
  <si>
    <t>业精于勤，荒于嬉；行成于思，毁于随。——韩愈</t>
  </si>
  <si>
    <t>500夜本金币</t>
  </si>
  <si>
    <t>建筑工人雕像</t>
  </si>
  <si>
    <t>B23</t>
  </si>
  <si>
    <t>一切节省，归根到底都归结为时间的节省。——马克思</t>
  </si>
  <si>
    <t>冠军雕像</t>
  </si>
  <si>
    <t>2000奖章</t>
  </si>
  <si>
    <t>B24</t>
  </si>
  <si>
    <t>意志命运往往背道而驰，决心到最后会全部推倒。——莎士比亚</t>
  </si>
  <si>
    <t>250夜本圣水</t>
  </si>
  <si>
    <t>大师雕像</t>
  </si>
  <si>
    <t>1000奖章</t>
  </si>
  <si>
    <t>联赛相关任务</t>
  </si>
  <si>
    <t>B25</t>
  </si>
  <si>
    <t>学习是劳动，是充满思想的劳动。——乌申斯基</t>
  </si>
  <si>
    <t>7500夜本圣水</t>
  </si>
  <si>
    <t>决斗者雕像</t>
  </si>
  <si>
    <t>500奖章</t>
  </si>
  <si>
    <t>难以归类的……</t>
  </si>
  <si>
    <t>B26</t>
  </si>
  <si>
    <t>要使整个人生都过得舒适、愉快，这是不可能的，因为人类必须具备一种能应付逆境的态度。——卢梭</t>
  </si>
  <si>
    <t>100夜本圣水</t>
  </si>
  <si>
    <t>挑战者雕像</t>
  </si>
  <si>
    <t>250奖章</t>
  </si>
  <si>
    <t>效果：加速实验室研究为原来24倍，持续1小时。</t>
  </si>
  <si>
    <t>效果：立刻完成实验室升级的兵种</t>
  </si>
  <si>
    <t>效果：立刻完成实验室升级的法术</t>
  </si>
  <si>
    <t>B27</t>
  </si>
  <si>
    <t>只有把抱怨环境的心情，化为上进的力量，才是成功的保证。——罗曼·罗兰</t>
  </si>
  <si>
    <t>1000夜本圣水</t>
  </si>
  <si>
    <t>勇士雕像</t>
  </si>
  <si>
    <t>100奖章</t>
  </si>
  <si>
    <t>任务奖励</t>
  </si>
  <si>
    <t>B28</t>
  </si>
  <si>
    <t>知之者不如好之者，好之者不如乐之者。——孔子</t>
  </si>
  <si>
    <t>福气金猪</t>
  </si>
  <si>
    <t>！！绝版！！</t>
  </si>
  <si>
    <t>售价：50宝石</t>
  </si>
  <si>
    <t>储量：1</t>
  </si>
  <si>
    <t>任务信息</t>
  </si>
  <si>
    <t>B29</t>
  </si>
  <si>
    <t>勇猛、大胆和坚定的决心能够抵得上武器的精良。——达·芬奇</t>
  </si>
  <si>
    <t>春节鞭炮</t>
  </si>
  <si>
    <t>园艺大师</t>
  </si>
  <si>
    <t>在家乡和建筑大师基地中移除 n 个障碍物。</t>
  </si>
  <si>
    <t>——</t>
  </si>
  <si>
    <t>B30</t>
  </si>
  <si>
    <t>意志是一个强壮的盲人，倚靠在明眼的跛子肩上。——叔本华</t>
  </si>
  <si>
    <t>10000夜本圣水</t>
  </si>
  <si>
    <t>雪人</t>
  </si>
  <si>
    <t xml:space="preserve">    </t>
  </si>
  <si>
    <t>增援法术</t>
  </si>
  <si>
    <t>向部落成员增援总计 n 空间的法术。</t>
  </si>
  <si>
    <t>B31</t>
  </si>
  <si>
    <t>只有永远躺在泥坑里的人，才不会再掉进坑里。——黑格尔</t>
  </si>
  <si>
    <t>战争机器雕像</t>
  </si>
  <si>
    <t>建筑之书</t>
  </si>
  <si>
    <t>英雄之书</t>
  </si>
  <si>
    <t>万能之书</t>
  </si>
  <si>
    <t>无价之宝</t>
  </si>
  <si>
    <t>援助之手</t>
  </si>
  <si>
    <t>向部落成员增援总计 n 空间的部队。</t>
  </si>
  <si>
    <t>B32</t>
  </si>
  <si>
    <t>希望的灯一旦熄灭，生活刹那间变成了一片黑暗。——普列姆昌德</t>
  </si>
  <si>
    <t>飞龙雕像</t>
  </si>
  <si>
    <t>捣毁建筑</t>
  </si>
  <si>
    <t>在对抗赛中摧毁 n 座建筑。</t>
  </si>
  <si>
    <t>B33</t>
  </si>
  <si>
    <t>希望是人生的乳母。——科策布</t>
  </si>
  <si>
    <t>古老野蛮人雕像</t>
  </si>
  <si>
    <t>200000夜本金币</t>
  </si>
  <si>
    <t>60秒</t>
  </si>
  <si>
    <t>哥布林财神</t>
  </si>
  <si>
    <t>疯狂拆墙</t>
  </si>
  <si>
    <t>在对抗赛中摧毁 n 块城墙。</t>
  </si>
  <si>
    <t>B34</t>
  </si>
  <si>
    <t>形成天才的决定因素应该是勤奋。——郭沫若</t>
  </si>
  <si>
    <t>树桩</t>
  </si>
  <si>
    <t>500夜本圣水</t>
  </si>
  <si>
    <t>超级部队雕像</t>
  </si>
  <si>
    <t>对抗赛破坏大师</t>
  </si>
  <si>
    <t>在对抗赛中达到总计 n %的摧毁率。</t>
  </si>
  <si>
    <t>B35</t>
  </si>
  <si>
    <t>学到很多东西的诀窍，就是一下子不要学很多。——洛克</t>
  </si>
  <si>
    <t>小树林</t>
  </si>
  <si>
    <t>20000夜本圣水</t>
  </si>
  <si>
    <t>皇冠传说雕像</t>
  </si>
  <si>
    <t>对抗赛摘星达人</t>
  </si>
  <si>
    <t>在对抗赛中赢得 n 颗胜利之星。</t>
  </si>
  <si>
    <t>B36</t>
  </si>
  <si>
    <t>自己的鞋子，自己知道紧在哪里。——西班牙</t>
  </si>
  <si>
    <t>小树</t>
  </si>
  <si>
    <t>Supercell十周年喷泉</t>
  </si>
  <si>
    <t>500宝石/5月挑战80分</t>
  </si>
  <si>
    <t>拆毁建筑</t>
  </si>
  <si>
    <t>在联机模式中摧毁 n 座建筑。</t>
  </si>
  <si>
    <t>B37</t>
  </si>
  <si>
    <t>我们唯一不会改正的缺点是软弱。——拉罗什福科</t>
  </si>
  <si>
    <t>大树</t>
  </si>
  <si>
    <t>齿轮雕像</t>
  </si>
  <si>
    <t>效果：立刻完成建筑的建造与升级</t>
  </si>
  <si>
    <t>效果：立刻完成英雄的升级</t>
  </si>
  <si>
    <t>效果：所有需要立刻完成的一切都可以秒</t>
  </si>
  <si>
    <t>暴力拆墙</t>
  </si>
  <si>
    <t>在联机模式中摧毁 n 块城墙。</t>
  </si>
  <si>
    <t>B38</t>
  </si>
  <si>
    <t>我这个人走得很慢，但是我从不后退。——亚伯拉罕·林肯</t>
  </si>
  <si>
    <t>"一块生日蛋糕"</t>
  </si>
  <si>
    <t>毁灭领主</t>
  </si>
  <si>
    <t>在联机模式中达到总计 n %的摧毁率。</t>
  </si>
  <si>
    <t>B39</t>
  </si>
  <si>
    <t>勿问成功的秘诀为何，且尽全力做你应该做的事吧。——美华纳</t>
  </si>
  <si>
    <t>废弃船锚</t>
  </si>
  <si>
    <t>胜利之星收藏家</t>
  </si>
  <si>
    <t>在联机模式中赢得总计 n 颗胜利之星。</t>
  </si>
  <si>
    <t>B40</t>
  </si>
  <si>
    <t>学而不思则罔，思而不学则殆。——孔子</t>
  </si>
  <si>
    <t>滚木圣诞树</t>
  </si>
  <si>
    <t>速星狂人</t>
  </si>
  <si>
    <t>在对抗赛前 n 秒内累计赢得 n 颗胜利之星。</t>
  </si>
  <si>
    <t>B41</t>
  </si>
  <si>
    <t>学问是异常珍贵的东西，从任何源泉吸收都不可耻。——阿卜·日·法拉兹</t>
  </si>
  <si>
    <t>高草丛</t>
  </si>
  <si>
    <t>50夜本圣水</t>
  </si>
  <si>
    <t>0夜本圣水</t>
  </si>
  <si>
    <t>烟花迷弟</t>
  </si>
  <si>
    <t>抢星狂人</t>
  </si>
  <si>
    <t>在联机模式战斗前 n 秒内累计赢得 n 颗胜利之星。</t>
  </si>
  <si>
    <t>B42</t>
  </si>
  <si>
    <t>只有在人群中间，才能认识自己。——德国</t>
  </si>
  <si>
    <t>潺潺清泉</t>
  </si>
  <si>
    <t>金币符石</t>
  </si>
  <si>
    <t>1500宝石</t>
  </si>
  <si>
    <t>圣水符石</t>
  </si>
  <si>
    <t>黑油符石</t>
  </si>
  <si>
    <t>3000宝石</t>
  </si>
  <si>
    <t>英雄免入</t>
  </si>
  <si>
    <t>在联机模式中不使用英雄，并赢得 n 颗胜利之星。</t>
  </si>
  <si>
    <t>B43</t>
  </si>
  <si>
    <t>重复别人所说的话，只需要教育；而要挑战别人所说的话，则需要头脑。——玛丽·佩蒂博恩·普尔</t>
  </si>
  <si>
    <t>烽火雕像</t>
  </si>
  <si>
    <t>法术禁区</t>
  </si>
  <si>
    <t>在联机模式中不使用法术，并赢得 n 颗胜利之星。</t>
  </si>
  <si>
    <t>B44</t>
  </si>
  <si>
    <t>卓越的人一大优点是：在不利与艰难的遭遇里百折不饶。——贝多芬</t>
  </si>
  <si>
    <t>备注：宝箱上限出现一个，挖掉后大约7天后再次生成。</t>
  </si>
  <si>
    <t>遇强则强</t>
  </si>
  <si>
    <t>在联机模式中进攻大本营等级高于自己的村庄，并赢得 n 颗胜利之星。</t>
  </si>
  <si>
    <t>B45</t>
  </si>
  <si>
    <t>自己的饭量自己知道。——苏联</t>
  </si>
  <si>
    <t>备注2：礼物是圣诞奇袭法术生成的，点击就可以瞬间清理。</t>
  </si>
  <si>
    <t>备注：无法从商店里购买的均为绝版！</t>
  </si>
  <si>
    <t>毁灭10本</t>
  </si>
  <si>
    <t>在联机模式中进攻10级大本营村庄，并赢得 n 颗胜利之星。</t>
  </si>
  <si>
    <t>B46</t>
  </si>
  <si>
    <t>我们若已接受最坏的，就再没有什么损失。——卡耐基</t>
  </si>
  <si>
    <t>终结11本</t>
  </si>
  <si>
    <t>在联机模式中进攻11级大本营村庄，并赢得 n 颗胜利之星。</t>
  </si>
  <si>
    <t>B47</t>
  </si>
  <si>
    <t>书到用时方恨少、事非经过不知难。——陆游</t>
  </si>
  <si>
    <t>粉碎12本</t>
  </si>
  <si>
    <t>在联机模式中进攻12级大本营村庄，并赢得 n 颗胜利之星。</t>
  </si>
  <si>
    <t>B48</t>
  </si>
  <si>
    <t>书籍把我们引入最美好的社会，使我们认识各个时代的伟大智者。——史美尔斯</t>
  </si>
  <si>
    <t>特殊障碍物</t>
  </si>
  <si>
    <t>效果：填满金币</t>
  </si>
  <si>
    <t>效果：填满圣水</t>
  </si>
  <si>
    <t>效果：填满黑油</t>
  </si>
  <si>
    <t>攻陷13本</t>
  </si>
  <si>
    <t>在联机模式中进攻13级大本营村庄，并赢得 n 颗胜利之星。</t>
  </si>
  <si>
    <t>B49</t>
  </si>
  <si>
    <t>熟读唐诗三百首，不会作诗也会吟。——孙洙</t>
  </si>
  <si>
    <t>轻取6本</t>
  </si>
  <si>
    <t>在联机模式中进攻6级大本营村庄，并赢得 n 颗胜利之星。</t>
  </si>
  <si>
    <t>B50</t>
  </si>
  <si>
    <t>谁和我一样用功，谁就会和我一样成功。——莫扎特</t>
  </si>
  <si>
    <t>圣诞树 2012</t>
  </si>
  <si>
    <t>25000金币</t>
  </si>
  <si>
    <t>50000金币</t>
  </si>
  <si>
    <t>完胜7本</t>
  </si>
  <si>
    <t>在联机模式中进攻7级大本营村庄，并赢得 n 颗胜利之星。</t>
  </si>
  <si>
    <t>B51</t>
  </si>
  <si>
    <t>天下之事常成于困约，而败于奢靡。——陆游</t>
  </si>
  <si>
    <t>圣诞树 2013</t>
  </si>
  <si>
    <t>75000金币</t>
  </si>
  <si>
    <t>专攻8本</t>
  </si>
  <si>
    <t>在联机模式中进攻8级大本营村庄，并赢得 n 颗胜利之星。</t>
  </si>
  <si>
    <t>B52</t>
  </si>
  <si>
    <t>生命不等于是呼吸，生命是活动。——卢梭</t>
  </si>
  <si>
    <t>万圣节墓碑 2014</t>
  </si>
  <si>
    <t>25000圣水</t>
  </si>
  <si>
    <t>75000圣水</t>
  </si>
  <si>
    <t>决胜9本</t>
  </si>
  <si>
    <t>在联机模式中进攻9级大本营村庄，并赢得 n 颗胜利之星。</t>
  </si>
  <si>
    <t>B53</t>
  </si>
  <si>
    <t>伟大的事业，需要决心，能力，组织和责任感。　——易卜生</t>
  </si>
  <si>
    <t>圣诞树 2014</t>
  </si>
  <si>
    <t>夜金符石</t>
  </si>
  <si>
    <t>夜水符石</t>
  </si>
  <si>
    <t>战斗之锤</t>
  </si>
  <si>
    <t>120奖章</t>
  </si>
  <si>
    <t>泰坦陨落</t>
  </si>
  <si>
    <t>在联机模式中进攻处于泰坦杯联赛的村庄，并赢得 n 颗胜利之星。</t>
  </si>
  <si>
    <t>B54</t>
  </si>
  <si>
    <t>唯书籍不朽。——乔特</t>
  </si>
  <si>
    <t>万圣节坩埚 2015</t>
  </si>
  <si>
    <t>传奇之星</t>
  </si>
  <si>
    <t>在联机模式中进攻处于传奇杯联赛的村庄，并赢得 n 颗胜利之星。</t>
  </si>
  <si>
    <t>B55</t>
  </si>
  <si>
    <t>为中华之崛起而读书。——周恩来</t>
  </si>
  <si>
    <t>圣诞树 2015</t>
  </si>
  <si>
    <t>连战连捷</t>
  </si>
  <si>
    <t>在联机模式中连胜 n 场。</t>
  </si>
  <si>
    <t>B56</t>
  </si>
  <si>
    <t>书不仅是生活，而且是现在、过去和未来文化生活的源泉。——库法耶夫</t>
  </si>
  <si>
    <t>恐怖南瓜 2016</t>
  </si>
  <si>
    <t>三星猎人</t>
  </si>
  <si>
    <t>在联机模式中赢得 n 场三星完胜。</t>
  </si>
  <si>
    <t>B57</t>
  </si>
  <si>
    <t>生命不可能有两次，但许多人连一次也不善于度过。——吕凯特</t>
  </si>
  <si>
    <t>圣诞树 2016</t>
  </si>
  <si>
    <t>暗黑重油挑战</t>
  </si>
  <si>
    <t>在单场联机模式战斗中掠夺 n 暗黑重油。</t>
  </si>
  <si>
    <t>B58</t>
  </si>
  <si>
    <t>问渠哪得清如许，为有源头活水来。——朱熹</t>
  </si>
  <si>
    <t>5周岁生日蛋糕 17</t>
  </si>
  <si>
    <t>圣水挑战</t>
  </si>
  <si>
    <t>在单场联机模式战斗中掠夺 n 圣水。</t>
  </si>
  <si>
    <t>B59</t>
  </si>
  <si>
    <t>我的努力求学没有得到别的好处，只不过是愈来愈发觉自己的无知。——笛卡儿</t>
  </si>
  <si>
    <t>礼物 2017</t>
  </si>
  <si>
    <t>效果：填满夜本金币</t>
  </si>
  <si>
    <t>效果：填满夜本圣水</t>
  </si>
  <si>
    <t>效果：立刻升级军队，但不消耗资源。</t>
  </si>
  <si>
    <t>金币挑战</t>
  </si>
  <si>
    <t>在单场联机模式战斗中掠夺 n 金币。</t>
  </si>
  <si>
    <t>B60</t>
  </si>
  <si>
    <t>生活的道路一旦选定，就要勇敢地走到底，决不回头。——左拉</t>
  </si>
  <si>
    <t>万圣节障碍物 2017</t>
  </si>
  <si>
    <t>暗黑重油大劫案</t>
  </si>
  <si>
    <t>在联机模式中共掠夺 n 暗黑重油。</t>
  </si>
  <si>
    <t>B61</t>
  </si>
  <si>
    <t>奢侈是舒适的，否则就不是奢侈。——CocoChanel</t>
  </si>
  <si>
    <t>新年烟花 2018</t>
  </si>
  <si>
    <t>售价：100宝石</t>
  </si>
  <si>
    <t>圣水大盗</t>
  </si>
  <si>
    <t>在联机模式中共掠夺 n 圣水。</t>
  </si>
  <si>
    <t>B62</t>
  </si>
  <si>
    <t>少而好学，如日出之阳；壮而好学，如日中之光；志而好学，如炳烛之光。——刘向</t>
  </si>
  <si>
    <t>圣诞树 2017</t>
  </si>
  <si>
    <t>金币猎手</t>
  </si>
  <si>
    <t>在联机模式中共掠夺 n 金币。</t>
  </si>
  <si>
    <t>B63</t>
  </si>
  <si>
    <t>三军可夺帅也，匹夫不可夺志也。——孔丘</t>
  </si>
  <si>
    <t>摇钱树 2018</t>
  </si>
  <si>
    <t>1000金币</t>
  </si>
  <si>
    <t>B64</t>
  </si>
  <si>
    <t>人生就是学校。在那里，与其说好的教师是幸福，不如说好的教师是不幸。——海贝尔</t>
  </si>
  <si>
    <t>6周岁生日蛋糕 18</t>
  </si>
  <si>
    <t>建筑之锤</t>
  </si>
  <si>
    <t>法术之锤</t>
  </si>
  <si>
    <t>英雄之锤</t>
  </si>
  <si>
    <t>165奖章</t>
  </si>
  <si>
    <t>B65</t>
  </si>
  <si>
    <t>接受挑战，就可以享受胜利的喜悦。——杰纳勒尔·乔治·S·巴顿</t>
  </si>
  <si>
    <t>圣诞树 2018</t>
  </si>
  <si>
    <t>B66</t>
  </si>
  <si>
    <t>节制使快乐增加并使享受加强。——德谟克利特</t>
  </si>
  <si>
    <t>女巫帽 2018</t>
  </si>
  <si>
    <t>B67</t>
  </si>
  <si>
    <t>今天应做的事没有做，明天再早也是耽误了。——裴斯泰洛齐</t>
  </si>
  <si>
    <t>斯派克的仙人掌</t>
  </si>
  <si>
    <t>B68</t>
  </si>
  <si>
    <t>决定一个人的一生，以及整个命运的，只是一瞬之间。——歌德</t>
  </si>
  <si>
    <t>红火灯笼 2019</t>
  </si>
  <si>
    <t>1000夜本金币</t>
  </si>
  <si>
    <t>75000夜水</t>
  </si>
  <si>
    <t>B69</t>
  </si>
  <si>
    <t>懒人无法享受休息之乐。——拉布克</t>
  </si>
  <si>
    <t>7周岁生日惊喜 19</t>
  </si>
  <si>
    <t>7777圣水</t>
  </si>
  <si>
    <t>77777圣水</t>
  </si>
  <si>
    <t>B70</t>
  </si>
  <si>
    <t>浪费时间是一桩大罪过。——卢梭</t>
  </si>
  <si>
    <t>万圣节障碍物 19</t>
  </si>
  <si>
    <t>效果：立刻升级建筑，但不消耗资源。</t>
  </si>
  <si>
    <t>效果：立刻升级法术，但不消耗资源。</t>
  </si>
  <si>
    <t>效果：立刻升级英雄，但不消耗资源。</t>
  </si>
  <si>
    <t>B71</t>
  </si>
  <si>
    <t>既然我已经踏上这条道路，那么，任何东西都不应妨碍我沿着这条路走下去。——康德</t>
  </si>
  <si>
    <t>圣诞节障碍物 19</t>
  </si>
  <si>
    <t>B72</t>
  </si>
  <si>
    <t>家庭成为快乐的种子在外也不致成为障碍物但在旅行之际却是夜间的伴侣。——西塞罗</t>
  </si>
  <si>
    <t>红火灯笼 2020</t>
  </si>
  <si>
    <t>B73</t>
  </si>
  <si>
    <t>坚持意志伟大的事业需要始终不渝的精神。——伏尔泰</t>
  </si>
  <si>
    <t>惊魂树 2020</t>
  </si>
  <si>
    <t>B74</t>
  </si>
  <si>
    <t>路漫漫其修道远，吾将上下而求索。——屈原</t>
  </si>
  <si>
    <t>圣诞树 2019</t>
  </si>
  <si>
    <t>摧毁建筑/英雄</t>
  </si>
  <si>
    <t>B75</t>
  </si>
  <si>
    <t>内外相应，言行相称。——韩非</t>
  </si>
  <si>
    <t>移位铲子</t>
  </si>
  <si>
    <t>100宝石</t>
  </si>
  <si>
    <t>超级药水</t>
  </si>
  <si>
    <t>B76</t>
  </si>
  <si>
    <t>你热爱生命吗？那么别浪费时间，因为时间是组成生命的材料。——富兰克林</t>
  </si>
  <si>
    <t>8周岁生日蛋糕 20</t>
  </si>
  <si>
    <t>8888金币</t>
  </si>
  <si>
    <t>88888金币</t>
  </si>
  <si>
    <t>B77</t>
  </si>
  <si>
    <t>坚强的信心，能使平凡的人做出惊人的事业。——马尔顿</t>
  </si>
  <si>
    <t>无人墓 2020</t>
  </si>
  <si>
    <t>B78</t>
  </si>
  <si>
    <t>读一切好书，就是和许多高尚的人谈话。——笛卡儿</t>
  </si>
  <si>
    <t>圣诞树 2020</t>
  </si>
  <si>
    <t>B79</t>
  </si>
  <si>
    <t>读书有三到，谓心到，眼到，口到。——朱熹</t>
  </si>
  <si>
    <t>鸿运盆栽 2020</t>
  </si>
  <si>
    <t>悬赏英雄</t>
  </si>
  <si>
    <t>在联机模式中击败的英雄等级累计达到 n 。</t>
  </si>
  <si>
    <t>B80</t>
  </si>
  <si>
    <t>读书之法，在循序而渐进，熟读而精思。——朱熹</t>
  </si>
  <si>
    <t>9周岁生日蛋糕 21</t>
  </si>
  <si>
    <t>9999金币</t>
  </si>
  <si>
    <t>99999金币</t>
  </si>
  <si>
    <t>悬赏女皇</t>
  </si>
  <si>
    <t>在联机模式中击败的弓箭女皇等级累计达到 n 。</t>
  </si>
  <si>
    <t>B81</t>
  </si>
  <si>
    <t>对一个人来说，所期望的不是别的，而仅仅是他能全力以赴和献身于一种美好事业。——爱因斯坦</t>
  </si>
  <si>
    <t>效果：移动障碍物到指定位置，但保留障碍物</t>
  </si>
  <si>
    <t>效果：立刻升级城墙，部分城墙需要更多戒指</t>
  </si>
  <si>
    <t>效果：立刻强化一个超级兵种，无需黑油</t>
  </si>
  <si>
    <t>悬赏蛮王</t>
  </si>
  <si>
    <t>在联机模式中击败的野蛮人之王等级累计达到 n 。</t>
  </si>
  <si>
    <t>B82</t>
  </si>
  <si>
    <t>敢于浪费哪怕一个钟头时间的人，说明他还不懂得珍惜生命的全部价值。——达尔文</t>
  </si>
  <si>
    <t>备注：如果错过了刷新时间，那么就永远不会再出现！！！</t>
  </si>
  <si>
    <t>悬赏大守护者</t>
  </si>
  <si>
    <t>在联机模式中击败的大守护者等级累计达到 n 。</t>
  </si>
  <si>
    <t>B83</t>
  </si>
  <si>
    <t>感激每一个新的挑战，因为它会锻造你的意志和品格。——佚名</t>
  </si>
  <si>
    <t>售价：5宝石</t>
  </si>
  <si>
    <t>储量：25</t>
  </si>
  <si>
    <t>悬赏战神</t>
  </si>
  <si>
    <t>在联机模式中击败的飞盾战神等级累计达到 n 。</t>
  </si>
  <si>
    <t>B84</t>
  </si>
  <si>
    <t>共同的事业，共同的斗争，可以使人们产生忍受一切的力量。　——奥斯特洛夫斯基</t>
  </si>
  <si>
    <t>摧毁防空火箭</t>
  </si>
  <si>
    <t>在联机模式中摧毁 n 个防空火箭。</t>
  </si>
  <si>
    <t>B85</t>
  </si>
  <si>
    <t>古之立大事者，不惟有超世之才，亦必有坚忍不拔之志。——苏轼</t>
  </si>
  <si>
    <t>摧毁空气炮</t>
  </si>
  <si>
    <t>在联机模式中摧毁 n 个空气炮。</t>
  </si>
  <si>
    <t>B86</t>
  </si>
  <si>
    <t>故立志者，为学之心也；为学者，立志之事也。——王阳明</t>
  </si>
  <si>
    <t>突袭箭塔</t>
  </si>
  <si>
    <t>在联机模式中摧毁 n 个箭塔。</t>
  </si>
  <si>
    <t>B87</t>
  </si>
  <si>
    <t>读一本好书，就如同和一个高尚的人在交谈。——歌德</t>
  </si>
  <si>
    <t>全力拆营</t>
  </si>
  <si>
    <t>在联机模式中摧毁 n 座兵营。</t>
  </si>
  <si>
    <t>B88</t>
  </si>
  <si>
    <t>过去一切时代的精华尽在书中。——卡莱尔</t>
  </si>
  <si>
    <t>摧毁炸弹塔</t>
  </si>
  <si>
    <t>在联机模式中摧毁 n 个炸弹塔。</t>
  </si>
  <si>
    <t>B89</t>
  </si>
  <si>
    <t>好的书籍是最贵重的珍宝。——别林斯基</t>
  </si>
  <si>
    <t>小屋破坏王</t>
  </si>
  <si>
    <t>在联机模式中摧毁 n 座建筑工人小屋。</t>
  </si>
  <si>
    <t>B90</t>
  </si>
  <si>
    <t>读书是易事，思索是难事，但两者缺一，便全无用处。——富兰克林</t>
  </si>
  <si>
    <t>月度挑战</t>
  </si>
  <si>
    <t>拆除加农炮</t>
  </si>
  <si>
    <t>在联机模式中摧毁 n 个加农炮。</t>
  </si>
  <si>
    <t>B91</t>
  </si>
  <si>
    <t>读书是在别人思想的帮助下，建立起自己的思想。——鲁巴金</t>
  </si>
  <si>
    <t>被遗忘的海岸</t>
  </si>
  <si>
    <t>攻占部落城堡</t>
  </si>
  <si>
    <t>在联机模式中摧毁 n 个部落城堡。</t>
  </si>
  <si>
    <t>B92</t>
  </si>
  <si>
    <t>合理安排时间，就等于节约时间。——培根</t>
  </si>
  <si>
    <t>备注：这里记载的是月度挑战所出现的任务，每个月都会选择其中的一部分作为该月挑战的内容。</t>
  </si>
  <si>
    <t>捣毁暗黑重油钻井</t>
  </si>
  <si>
    <t>在联机模式中摧毁 n 个黑油钻井。</t>
  </si>
  <si>
    <t>B93</t>
  </si>
  <si>
    <t>你想成为幸福的人吗？但愿你首先学会吃得起苦。——屠格涅夫</t>
  </si>
  <si>
    <t>备注：曾经出现过的兵种、法术、陷阱，你还记得吗？（部分由于年代过于久远，可能再也记不起来了）</t>
  </si>
  <si>
    <t>摧毁暗黑重油罐</t>
  </si>
  <si>
    <t>在联机模式中摧毁 n 个黑油罐子。</t>
  </si>
  <si>
    <t>B94</t>
  </si>
  <si>
    <t>抛弃时间的人，时间也抛弃他。——莎士比亚</t>
  </si>
  <si>
    <t>使用单位赢得战斗</t>
  </si>
  <si>
    <t>在联机模式中赢得 n 场战斗，每场战斗需使用 x 只指定单位。</t>
  </si>
  <si>
    <t>破坏暗黑法术工厂</t>
  </si>
  <si>
    <t>在联机模式中摧毁 n 个暗黑法术工厂。</t>
  </si>
  <si>
    <t>B95</t>
  </si>
  <si>
    <t>普通人只想到如何度过时间，有才能的人设法利用时间。——叔本华</t>
  </si>
  <si>
    <t>01,皇家幽灵</t>
  </si>
  <si>
    <t>参加 n 场对抗赛，每场战斗需使用 x 只指定单位且赢得至少1颗胜利之星。</t>
  </si>
  <si>
    <t>天鹰陨落</t>
  </si>
  <si>
    <t>在联机模式中摧毁 n 个天鹰火炮。</t>
  </si>
  <si>
    <t>B96</t>
  </si>
  <si>
    <t>读书破万卷，下笔如有神。——杜甫</t>
  </si>
  <si>
    <t>02,派对法师</t>
  </si>
  <si>
    <t>皇家幽灵</t>
  </si>
  <si>
    <t>出现于2019/2021/2022万圣节</t>
  </si>
  <si>
    <t>使用单位</t>
  </si>
  <si>
    <t>胜利场数</t>
  </si>
  <si>
    <t>拆除圣水收集器</t>
  </si>
  <si>
    <t>在联机模式中摧毁 n 个圣水泵。</t>
  </si>
  <si>
    <t>B97</t>
  </si>
  <si>
    <t>取得成就时坚持不懈，要比遭到失败时顽强不屈更重要。——拉罗什夫科</t>
  </si>
  <si>
    <t>03,艾尔普里莫</t>
  </si>
  <si>
    <t>训练成本</t>
  </si>
  <si>
    <t>摧毁圣水瓶</t>
  </si>
  <si>
    <t>在联机模式中摧毁 n 个圣水瓶。</t>
  </si>
  <si>
    <t>B98</t>
  </si>
  <si>
    <t>人的一生是短的，但如果卑劣地过这一生，就太长了。——莎士比亚</t>
  </si>
  <si>
    <t>04,攻城锤</t>
  </si>
  <si>
    <t>任务需求</t>
  </si>
  <si>
    <t>捣毁金矿</t>
  </si>
  <si>
    <t>在联机模式中摧毁 n 个采金场。</t>
  </si>
  <si>
    <t>B99</t>
  </si>
  <si>
    <t>读书忌死读，死读钻牛角。——叶圣陶</t>
  </si>
  <si>
    <t>05,寒冰法师</t>
  </si>
  <si>
    <t>名字</t>
  </si>
  <si>
    <t>对象</t>
  </si>
  <si>
    <t>数量需求</t>
  </si>
  <si>
    <t>常规</t>
  </si>
  <si>
    <t>大型</t>
  </si>
  <si>
    <t>摧毁储金罐</t>
  </si>
  <si>
    <t>在联机模式中摧毁 n 个储金罐。</t>
  </si>
  <si>
    <t>B100</t>
  </si>
  <si>
    <t>不要回避苦恼和困难，挺起身来向它挑战，进而克服它。——池田大作</t>
  </si>
  <si>
    <t>06,南瓜野蛮人</t>
  </si>
  <si>
    <t>亡灵高飞</t>
  </si>
  <si>
    <t>摧毁地狱之塔</t>
  </si>
  <si>
    <t>在联机模式中摧毁 n 个地狱之塔。</t>
  </si>
  <si>
    <t>B101</t>
  </si>
  <si>
    <t>理想的书籍是智慧的钥匙。——列夫·托尔斯泰</t>
  </si>
  <si>
    <t>07,巨型骷髅</t>
  </si>
  <si>
    <t>隐身时长：12秒</t>
  </si>
  <si>
    <t>天狗制霸</t>
  </si>
  <si>
    <t>摧毁野蛮人之王王座</t>
  </si>
  <si>
    <t>在联机模式中摧毁 n 个野蛮人之王王座。</t>
  </si>
  <si>
    <t>B102</t>
  </si>
  <si>
    <t>没有智慧的头脑，就象没有腊烛的灯笼。——列夫·托尔斯泰</t>
  </si>
  <si>
    <t>08,生日派对</t>
  </si>
  <si>
    <t>龙涎三尺</t>
  </si>
  <si>
    <t>扫荡实验室</t>
  </si>
  <si>
    <t>在联机模式中摧毁 n 个实验室。</t>
  </si>
  <si>
    <t>B103</t>
  </si>
  <si>
    <t>读书给人以快乐、给人以光彩、给人以才干。——培根</t>
  </si>
  <si>
    <t>09,圣诞奇袭</t>
  </si>
  <si>
    <t>出手延迟：2.4秒</t>
  </si>
  <si>
    <t>电龙出击</t>
  </si>
  <si>
    <t>摧毁迫击炮</t>
  </si>
  <si>
    <t>在联机模式中摧毁 n 个迫击炮。</t>
  </si>
  <si>
    <t>B104</t>
  </si>
  <si>
    <t>读一本好书，就如同和一个高尚的人在交谈——歌德</t>
  </si>
  <si>
    <t>10,南瓜炸弹</t>
  </si>
  <si>
    <t>火烧连营</t>
  </si>
  <si>
    <t>摧毁弓箭女皇王座</t>
  </si>
  <si>
    <t>在联机模式中摧毁 n 个弓箭女皇王座。</t>
  </si>
  <si>
    <t>B105</t>
  </si>
  <si>
    <t>11,冷冻炸弹</t>
  </si>
  <si>
    <t>训练时间：150秒</t>
  </si>
  <si>
    <t>备注：1.被这家伙击中的单位在4秒内同时降低50%的移速和攻速。</t>
  </si>
  <si>
    <t>畅行无阻</t>
  </si>
  <si>
    <t>投石无路</t>
  </si>
  <si>
    <t>在联机模式中摧毁 n 座投石炮。</t>
  </si>
  <si>
    <t>B106</t>
  </si>
  <si>
    <t>书籍是造就灵魂的工具。——雨果</t>
  </si>
  <si>
    <t>12,玲珑陷阱</t>
  </si>
  <si>
    <t>备注：2.2022年万圣节推出时训练费用取消。</t>
  </si>
  <si>
    <t>出骑制胜</t>
  </si>
  <si>
    <t>破坏法术工厂</t>
  </si>
  <si>
    <t>在联机模式中摧毁 n 个法术工厂。</t>
  </si>
  <si>
    <t>B107</t>
  </si>
  <si>
    <t>天才免不了有障碍，因为障碍会创造天才。——罗曼·罗兰</t>
  </si>
  <si>
    <t>13.旧版冰冻</t>
  </si>
  <si>
    <t>野蛮冲撞</t>
  </si>
  <si>
    <t>摧毁特斯拉电磁塔</t>
  </si>
  <si>
    <t>在联机模式中摧毁 n 个伏击电塔。</t>
  </si>
  <si>
    <t>B108</t>
  </si>
  <si>
    <t>书籍是全世界的营养品，生活里没有书籍就好像没有阳光；智慧里没有书籍就好像鸟儿没有翅膀。——莎士比亚</t>
  </si>
  <si>
    <t>14.旧版雷电</t>
  </si>
  <si>
    <t>旋风过境</t>
  </si>
  <si>
    <t>摧毁大守护者王座</t>
  </si>
  <si>
    <t>在联机模式中摧毁 n 个大守护者王座。</t>
  </si>
  <si>
    <t>B109</t>
  </si>
  <si>
    <t>15.建筑工人</t>
  </si>
  <si>
    <t>天使强援</t>
  </si>
  <si>
    <t>推倒法师塔</t>
  </si>
  <si>
    <t>在联机模式中摧毁 n 个法师塔。</t>
  </si>
  <si>
    <t>B110</t>
  </si>
  <si>
    <t>没有一种不幸可与失掉时间相比了。——屠格涅夫</t>
  </si>
  <si>
    <t>16.骷髅飞桶</t>
  </si>
  <si>
    <t>胜利飞行</t>
  </si>
  <si>
    <t>摧毁X连弩</t>
  </si>
  <si>
    <t>在联机模式中摧毁 n 个连弩。</t>
  </si>
  <si>
    <t>B111</t>
  </si>
  <si>
    <t>成功＝艰苦的劳动＋正确的方法＋少谈空话。——爱因斯坦</t>
  </si>
  <si>
    <t>17.蛮羊骑士</t>
  </si>
  <si>
    <t>派对法师</t>
  </si>
  <si>
    <t>出现于2019/2020/2021年周年庆</t>
  </si>
  <si>
    <t>重甲冠军</t>
  </si>
  <si>
    <t>摧毁空中炸弹发射器</t>
  </si>
  <si>
    <t>在对抗赛中摧毁 n 个空炸起源。</t>
  </si>
  <si>
    <t>B112</t>
  </si>
  <si>
    <t>无知是迷信之母。——巴尔扎克</t>
  </si>
  <si>
    <t>女巫制敌</t>
  </si>
  <si>
    <t>防空火炮终结者</t>
  </si>
  <si>
    <t>在对抗赛中摧毁 n 个防空火炮。</t>
  </si>
  <si>
    <t>B113</t>
  </si>
  <si>
    <t>物竞天择，适者生存。——赫胥黎</t>
  </si>
  <si>
    <t>妙手回春</t>
  </si>
  <si>
    <t>箭塔复仇者</t>
  </si>
  <si>
    <t>在对抗赛中摧毁 n 个多功能箭塔。</t>
  </si>
  <si>
    <t>B114</t>
  </si>
  <si>
    <t>电闪雷鸣</t>
  </si>
  <si>
    <t>推倒时光钟楼</t>
  </si>
  <si>
    <t>在对抗赛中摧毁 n 个时光钟楼。</t>
  </si>
  <si>
    <t>B115</t>
  </si>
  <si>
    <t>最聪明的人是最不愿浪费时间的人。——但丁</t>
  </si>
  <si>
    <t>狂暴袭击</t>
  </si>
  <si>
    <t>粉碎撼地巨石</t>
  </si>
  <si>
    <t>在对抗赛中摧毁 n 个撼地巨石。</t>
  </si>
  <si>
    <t>B116</t>
  </si>
  <si>
    <t>完成工作的方法，是爱惜每一分钟。——达尔文</t>
  </si>
  <si>
    <t>骷髅成群</t>
  </si>
  <si>
    <t>双管加农炮末日</t>
  </si>
  <si>
    <t>在对抗赛中摧毁 n 个双管加农炮。</t>
  </si>
  <si>
    <t>B117</t>
  </si>
  <si>
    <t>理想的书籍是智慧的铜匙。——列夫托尔斯泰</t>
  </si>
  <si>
    <t>地下霸主</t>
  </si>
  <si>
    <t>熄灭熔岩火炮</t>
  </si>
  <si>
    <t>在对抗赛中摧毁 n 个熔岩火炮。</t>
  </si>
  <si>
    <t>B118</t>
  </si>
  <si>
    <t>读书而不思考，等于吃饭而不消化。——波尔克</t>
  </si>
  <si>
    <t>投石全中</t>
  </si>
  <si>
    <t>宝石大劫案</t>
  </si>
  <si>
    <t>在对抗赛中摧毁 n 个宝石矿井。</t>
  </si>
  <si>
    <t>B119</t>
  </si>
  <si>
    <t>人的影响短暂而微弱，书的影响则广泛而深远。——普希金</t>
  </si>
  <si>
    <t>巨无不胜</t>
  </si>
  <si>
    <t>铲除巨型加农炮</t>
  </si>
  <si>
    <t>在对抗赛中摧毁 n 个巨型大炮。</t>
  </si>
  <si>
    <t>B120</t>
  </si>
  <si>
    <t>奇迹多在厄运中出现。——培根</t>
  </si>
  <si>
    <t>分身有术</t>
  </si>
  <si>
    <t>解除警戒</t>
  </si>
  <si>
    <t>在对抗赛中摧毁 n 个守卫岗哨。</t>
  </si>
  <si>
    <t>B121</t>
  </si>
  <si>
    <t>对自己不满是任何真正有才能的人的根本特征之一。——契诃夫</t>
  </si>
  <si>
    <t>唯快不破</t>
  </si>
  <si>
    <t>破坏星空实验室</t>
  </si>
  <si>
    <t>在对抗赛中摧毁 n 个星空实验室。</t>
  </si>
  <si>
    <t>B122</t>
  </si>
  <si>
    <t>金钱这种东西，只要能解决个人的生活就行，若是过多了，它会成为遏制人类才能的祸害。——诺贝尔</t>
  </si>
  <si>
    <t>百步穿杨</t>
  </si>
  <si>
    <t>熔岩末日</t>
  </si>
  <si>
    <t>在对抗赛中摧毁 n 个西瓜投手。</t>
  </si>
  <si>
    <t>B123</t>
  </si>
  <si>
    <t>没有大胆的猜测就作不出伟大的发现。——牛顿</t>
  </si>
  <si>
    <t>巧取胜利</t>
  </si>
  <si>
    <t>超级特斯拉克星</t>
  </si>
  <si>
    <t>在对抗赛中摧毁 n 个超级电塔。</t>
  </si>
  <si>
    <t>B124</t>
  </si>
  <si>
    <t>先相信你自己，然后别人才会相信你。——屠格涅夫</t>
  </si>
  <si>
    <t>石力碾压</t>
  </si>
  <si>
    <t>多管噩梦</t>
  </si>
  <si>
    <t>在对抗赛中摧毁 n 个多管迫击炮。</t>
  </si>
  <si>
    <t>B125</t>
  </si>
  <si>
    <t>耐心是一切聪明才智的基础。——柏拉图</t>
  </si>
  <si>
    <t>艾尔普里莫</t>
  </si>
  <si>
    <t>出现于2019初推出荒野乱斗</t>
  </si>
  <si>
    <t>寒意袭人</t>
  </si>
  <si>
    <t>狂轰建筑大师大本营</t>
  </si>
  <si>
    <t>在对抗赛中摧毁 n 个建筑大师大本营。</t>
  </si>
  <si>
    <t>B126</t>
  </si>
  <si>
    <t>法力无边</t>
  </si>
  <si>
    <t>B127</t>
  </si>
  <si>
    <t>毒雾弥漫</t>
  </si>
  <si>
    <t>B128</t>
  </si>
  <si>
    <t>我扑在书上，就像饥饿的人扑在面包上。——高尔基</t>
  </si>
  <si>
    <t>地动山摇</t>
  </si>
  <si>
    <t>B129</t>
  </si>
  <si>
    <t>不要问你的国家能够为你做些什么，而要问你可以为国家做些什么。——林肯</t>
  </si>
  <si>
    <t>畅通无阻</t>
  </si>
  <si>
    <t>B130</t>
  </si>
  <si>
    <t>有很多良友，胜于有很多财富。——莎士比亚</t>
  </si>
  <si>
    <t>冰天雪地</t>
  </si>
  <si>
    <t>B131</t>
  </si>
  <si>
    <t>世界上最宽阔的是海洋，比海洋更宽阔的是天空，比天空更宽阔的是人的胸怀。——雨果</t>
  </si>
  <si>
    <t>蝙蝠压境</t>
  </si>
  <si>
    <t>使用特定单位</t>
  </si>
  <si>
    <t>B132</t>
  </si>
  <si>
    <t>衡量一个人的真正品格，是看他在知道没人看见的时候干些什么。——孟德斯鸠</t>
  </si>
  <si>
    <t>异变力量</t>
  </si>
  <si>
    <t>B133</t>
  </si>
  <si>
    <t>读一本好书，就是和许多高尚的人谈话。——歌德</t>
  </si>
  <si>
    <t>龙宝狂欢</t>
  </si>
  <si>
    <t>夜龙宝宝</t>
  </si>
  <si>
    <t>B134</t>
  </si>
  <si>
    <t>希望是生命的源泉，失去它生命就会枯竭。——富兰克林</t>
  </si>
  <si>
    <t>训练时间：240秒</t>
  </si>
  <si>
    <t>战车迫近</t>
  </si>
  <si>
    <t>B135</t>
  </si>
  <si>
    <t>如果说我比别人看得要远一点，那是因为我站在巨人的肩上。——牛顿</t>
  </si>
  <si>
    <t>劲爆拆墙</t>
  </si>
  <si>
    <t>B136</t>
  </si>
  <si>
    <t>我的最高原则是：不论对任何困难都绝不屈服。——居里夫人</t>
  </si>
  <si>
    <t>隐身有术</t>
  </si>
  <si>
    <t>在一场联机模式中赢得一颗胜利之星，需使用一个蝙蝠法术。</t>
  </si>
  <si>
    <t>B137</t>
  </si>
  <si>
    <t>青年时种下什么，老年时就收获什么。——易卜生</t>
  </si>
  <si>
    <t>野猪天降</t>
  </si>
  <si>
    <t>在一场联机模式中赢得一颗胜利之星，需使用一个镜像法术。</t>
  </si>
  <si>
    <t>B138</t>
  </si>
  <si>
    <t>对一切来说，只有热爱才是最好的老师，它远远胜过责任感。——爱因斯坦</t>
  </si>
  <si>
    <t>出现于12本推出前夕——夯木节</t>
  </si>
  <si>
    <t>狂暴奇袭</t>
  </si>
  <si>
    <t>在一场联机模式中赢得一颗胜利之星，需使用一个地震法术。</t>
  </si>
  <si>
    <t>B139</t>
  </si>
  <si>
    <t>生活就像海洋，只有意志坚强的人，才能到达彼岸。——马克思</t>
  </si>
  <si>
    <t>骷髅计划</t>
  </si>
  <si>
    <t>在一场联机模式中赢得一颗胜利之星，需使用一个冰冻法术。</t>
  </si>
  <si>
    <t>B140</t>
  </si>
  <si>
    <t>没有伟大的愿望，就没有伟大的天才。——巴尔扎克</t>
  </si>
  <si>
    <t>一拳定音</t>
  </si>
  <si>
    <t>在一场联机模式中赢得一颗胜利之星，需使用一个急速法术。</t>
  </si>
  <si>
    <t>B141</t>
  </si>
  <si>
    <t>读一切好的书，就是和许多高尚的人说话。——笛卡尔</t>
  </si>
  <si>
    <t>重甲告捷</t>
  </si>
  <si>
    <t>在一场联机模式中赢得一颗胜利之星，需使用一个疗伤法术。</t>
  </si>
  <si>
    <t>B142</t>
  </si>
  <si>
    <t>不经巨大的困难，不会有伟大的事业。——伏尔泰</t>
  </si>
  <si>
    <t>蝙蝠成群</t>
  </si>
  <si>
    <t>隐身高手</t>
  </si>
  <si>
    <t>在一场联机模式中赢得一颗胜利之星，需使用一个隐形法术。</t>
  </si>
  <si>
    <t>B143</t>
  </si>
  <si>
    <t>在一场联机模式中赢得一颗胜利之星，需使用一个弹跳法术。</t>
  </si>
  <si>
    <t>B144</t>
  </si>
  <si>
    <t>今天所做之事勿候明天，自己所做之事勿候他人。——歌德</t>
  </si>
  <si>
    <t>在一场联机模式中赢得一颗胜利之星，需使用一个雷电法术。</t>
  </si>
  <si>
    <t>B145</t>
  </si>
  <si>
    <t>克城墙*4</t>
  </si>
  <si>
    <t>使用单位赢得星星</t>
  </si>
  <si>
    <t>在联机模式中赢得 n 颗胜利之星，每场战斗需使用 x 只指定单位。</t>
  </si>
  <si>
    <t>在一场联机模式中赢得一颗胜利之星，需使用一个毒药法术。</t>
  </si>
  <si>
    <t>B146</t>
  </si>
  <si>
    <t>我所学到的任何有价值的知识都是由自学中得来的。——达尔文</t>
  </si>
  <si>
    <t>在对抗赛中赢得 n 颗胜利之星，每场战斗需使用 x 个指定单位。</t>
  </si>
  <si>
    <t>在一场联机模式中赢得一颗胜利之星，需使用一个狂暴法术。</t>
  </si>
  <si>
    <t>B147</t>
  </si>
  <si>
    <t>天才就是百分之二的灵感，百分之九十八的汗水。——爱迪生</t>
  </si>
  <si>
    <t>训练时间：120秒</t>
  </si>
  <si>
    <t>在一场联机模式中赢得一颗胜利之星，需使用一个骷髅法术。</t>
  </si>
  <si>
    <t>B148</t>
  </si>
  <si>
    <t>人并不是因为美丽才可爱，而是因为可爱才美丽。——托尔斯泰</t>
  </si>
  <si>
    <t>弓箭手伏击</t>
  </si>
  <si>
    <t>在一场联机模式中赢得一颗胜利之星，需使用1x弓箭手。</t>
  </si>
  <si>
    <t>B149</t>
  </si>
  <si>
    <t>理想的书籍是智慧的钥匙。——托尔斯泰</t>
  </si>
  <si>
    <t>飞龙宝宝传说</t>
  </si>
  <si>
    <t>在一场联机模式中赢得一颗胜利之星，需使用1x飞龙宝宝。</t>
  </si>
  <si>
    <t>B150</t>
  </si>
  <si>
    <t>立志、工作、成功，是人类活动的三大要素。——巴斯德</t>
  </si>
  <si>
    <t>野蛮人乱斗</t>
  </si>
  <si>
    <t>在一场联机模式中赢得一颗胜利之星，需使用1x野蛮人。</t>
  </si>
  <si>
    <t>B151</t>
  </si>
  <si>
    <t>灵感——这是一个不喜欢采访懒汉的客人。——车尔尼雪夫斯基</t>
  </si>
  <si>
    <t>攻城锤撞碎后放出四个野蛮人</t>
  </si>
  <si>
    <t>滚石派对</t>
  </si>
  <si>
    <t>在一场联机模式中赢得一颗胜利之星，需使用1x巨石投手。</t>
  </si>
  <si>
    <t>B152</t>
  </si>
  <si>
    <t>天才出于勤奋。——高尔基</t>
  </si>
  <si>
    <t>飞龙在天</t>
  </si>
  <si>
    <t>在一场联机模式中赢得一颗胜利之星，需使用1x飞龙。</t>
  </si>
  <si>
    <t>B153</t>
  </si>
  <si>
    <t>人的差异在于业余时间。——爱因斯坦</t>
  </si>
  <si>
    <t>寒冰法师</t>
  </si>
  <si>
    <t>出现于2021/2020/2019/2018/2017年圣诞节</t>
  </si>
  <si>
    <t>哥布林诡计</t>
  </si>
  <si>
    <t>龙骑竞速</t>
  </si>
  <si>
    <t>在一场联机模式中赢得一颗胜利之星，需使用1x龙骑士。</t>
  </si>
  <si>
    <t>B154</t>
  </si>
  <si>
    <t>人不是为失败而生的，一个人可以被消灭，但不能被打败。——海明威</t>
  </si>
  <si>
    <t>巨人出击</t>
  </si>
  <si>
    <t>雷电飞龙大暴击</t>
  </si>
  <si>
    <t>在一场联机模式中赢得一颗胜利之星，需使用1x雷电飞龙。</t>
  </si>
  <si>
    <t>B155</t>
  </si>
  <si>
    <t>机遇只偏爱那些有准备的头脑。——巴斯德</t>
  </si>
  <si>
    <t>炸墙日</t>
  </si>
  <si>
    <t>在一场联机模式中赢得一颗胜利之星，需使用1x巨人。</t>
  </si>
  <si>
    <t>B156</t>
  </si>
  <si>
    <t>人的一生可能燃烧也可能腐朽，我不能腐朽，我愿意燃烧起来！——奥斯特洛夫斯基</t>
  </si>
  <si>
    <t>气球闪电战</t>
  </si>
  <si>
    <t>在一场联机模式中赢得一颗胜利之星，需使用1x哥布林。</t>
  </si>
  <si>
    <t>B157</t>
  </si>
  <si>
    <t>失败乃成功之母。——牛顿</t>
  </si>
  <si>
    <t>法师派对</t>
  </si>
  <si>
    <t>石人碾压</t>
  </si>
  <si>
    <t>在一场联机模式中赢得一颗胜利之星，需使用1x戈仑石人。</t>
  </si>
  <si>
    <t>B158</t>
  </si>
  <si>
    <t>人只有献身于社会，才能找出那短暂而有风险的生命的意义。——爱因斯坦</t>
  </si>
  <si>
    <t>治愈之力</t>
  </si>
  <si>
    <t>斗篷与毒器</t>
  </si>
  <si>
    <t>在一场联机模式中赢得一颗胜利之星，需使用1x英雄猎手。</t>
  </si>
  <si>
    <t>B159</t>
  </si>
  <si>
    <t>学习永远不晚。——高尔基</t>
  </si>
  <si>
    <t>亡灵浩劫</t>
  </si>
  <si>
    <t>在一场联机模式中赢得一颗胜利之星，需使用1x天使。</t>
  </si>
  <si>
    <t>B160</t>
  </si>
  <si>
    <t>辛苦是获得一切的定律。——牛顿</t>
  </si>
  <si>
    <t>野猪突袭</t>
  </si>
  <si>
    <t>在一场联机模式中赢得一颗胜利之星，需使用1x野猪骑士。</t>
  </si>
  <si>
    <t>B161</t>
  </si>
  <si>
    <t>利用时间是一个极其高级的规律。——恩格斯</t>
  </si>
  <si>
    <t>冰临城下</t>
  </si>
  <si>
    <t>在一场联机模式中赢得一颗胜利之星，需使用1x戈仑冰人。</t>
  </si>
  <si>
    <t>B162</t>
  </si>
  <si>
    <t>天才就是这样，终身努力，便成天才。——门捷列夫</t>
  </si>
  <si>
    <t>皮卡强袭</t>
  </si>
  <si>
    <t>熔岩之爱</t>
  </si>
  <si>
    <t>在一场联机模式中赢得一颗胜利之星，需使用1x熔岩猎犬。</t>
  </si>
  <si>
    <t>B163</t>
  </si>
  <si>
    <t>不知道并不可怕和有害。任何人都不可能什么都知道，可怕的和有害的是不知道而伪装知道。——托尔斯泰</t>
  </si>
  <si>
    <t>瓦基丽旋风</t>
  </si>
  <si>
    <t>在一场联机模式中赢得一颗胜利之星，需使用1x气球兵。</t>
  </si>
  <si>
    <t>B164</t>
  </si>
  <si>
    <t>浪费别人的时间是谋财害命，浪费自己的时间是慢性自杀。——列宁</t>
  </si>
  <si>
    <t>矿工行动</t>
  </si>
  <si>
    <t>在一场联机模式中赢得一颗胜利之星，需使用1x掘地矿工。</t>
  </si>
  <si>
    <t>B165</t>
  </si>
  <si>
    <t>忘掉今天的人将被明天忘掉。——歌德</t>
  </si>
  <si>
    <t>击中的目标在2秒内降低50%的移速和攻速</t>
  </si>
  <si>
    <t>女巫时光</t>
  </si>
  <si>
    <t>在一场联机模式中赢得一颗胜利之星，需使用1x亡灵。</t>
  </si>
  <si>
    <t>B166</t>
  </si>
  <si>
    <t>生活永远不像我们想的那样好，但也不会像我们想像的那样糟。——莫泊桑</t>
  </si>
  <si>
    <t>在一场联机模式中赢得一颗胜利之星，需使用1x皮卡超人。</t>
  </si>
  <si>
    <t>B167</t>
  </si>
  <si>
    <t>人生的价值，并不是用时间，而是用深度去衡量的。——列夫·托尔斯泰</t>
  </si>
  <si>
    <t>在一场联机模式中赢得一颗胜利之星，需使用1x瓦基丽武神。</t>
  </si>
  <si>
    <t>B168</t>
  </si>
  <si>
    <t>一个人追求的目标越高，他的才力就发展得越快，对社会就越有益。——高尔基</t>
  </si>
  <si>
    <t>南瓜野蛮人</t>
  </si>
  <si>
    <t>出现于2017万圣节</t>
  </si>
  <si>
    <t>在一场联机模式中赢得一颗胜利之星，需使用1x炸弹人。</t>
  </si>
  <si>
    <t>B169</t>
  </si>
  <si>
    <t>劳动一日，可得一夜的安眠；勤劳一生，可得幸福的长眠。——达·芬奇</t>
  </si>
  <si>
    <t>南瓜生命</t>
  </si>
  <si>
    <t>本体生命</t>
  </si>
  <si>
    <t>在一场联机模式中赢得一颗胜利之星，需使用1x女巫。</t>
  </si>
  <si>
    <t>B170</t>
  </si>
  <si>
    <t>世界上最快乐的事，莫过于为理想而奋斗。——苏格拉底</t>
  </si>
  <si>
    <t>狂暴野蛮人大暴走</t>
  </si>
  <si>
    <t>在一场联机模式中赢得一颗胜利之星，需使用1x法师。</t>
  </si>
  <si>
    <t>B171</t>
  </si>
  <si>
    <t>我要扼住命运的咽喉，它妄想使我屈服，这绝对办不到。生活是这样美好，活他一千辈子吧！——贝多芬</t>
  </si>
  <si>
    <t>隐秘弓箭手狙击行动</t>
  </si>
  <si>
    <t>毛球猛兽</t>
  </si>
  <si>
    <t>在一场联机模式中赢得一颗胜利之星，需使用1x大雪怪。</t>
  </si>
  <si>
    <t>B172</t>
  </si>
  <si>
    <t>立志是事业的大门，工作是登门入室的的旅途。——巴斯德</t>
  </si>
  <si>
    <t>异变亡灵大乱斗</t>
  </si>
  <si>
    <t>飞龙宝宝迷魂计</t>
  </si>
  <si>
    <t>在一场对抗赛中赢得一颗胜利之星，需使用1x飞龙宝宝。</t>
  </si>
  <si>
    <t>B173</t>
  </si>
  <si>
    <t>发明家全靠一股了不起的信心支持，才有勇气在不可知的天地中前进。——巴而扎克</t>
  </si>
  <si>
    <t>巨人拳击手出击</t>
  </si>
  <si>
    <t>在一场对抗赛中赢得一颗胜利之星，需使用1x异变亡灵。</t>
  </si>
  <si>
    <t>B174</t>
  </si>
  <si>
    <t>把语言化为行动，比把行动化为语言困难得多。——高尔基</t>
  </si>
  <si>
    <t>攻击距离：0.4格</t>
  </si>
  <si>
    <t>炸弹兵狂轰滥炸</t>
  </si>
  <si>
    <t>在一场对抗赛中赢得一颗胜利之星，需使用1x炸弹兵。</t>
  </si>
  <si>
    <t>B175</t>
  </si>
  <si>
    <t>耐心和恒心总会得到报酬的。——爱因斯坦</t>
  </si>
  <si>
    <t>加农炮战车漫游记</t>
  </si>
  <si>
    <t>在一场对抗赛中赢得一颗胜利之星，需使用1x巨人拳击手。</t>
  </si>
  <si>
    <t>B176</t>
  </si>
  <si>
    <t>出淤泥而不染，濯清涟而不妖。——周敦颐</t>
  </si>
  <si>
    <t>训练时间：20秒</t>
  </si>
  <si>
    <t>骷髅气球暗夜行</t>
  </si>
  <si>
    <t>在一场对抗赛中赢得一颗胜利之星，需使用1x加农炮战车。</t>
  </si>
  <si>
    <t>B177</t>
  </si>
  <si>
    <t>走自己的路，让别人说去！——但丁</t>
  </si>
  <si>
    <t>备注：有南瓜头套作为盾牌</t>
  </si>
  <si>
    <t>在一场对抗赛中赢得一颗胜利之星，需使用1x骷髅气球。</t>
  </si>
  <si>
    <t>B178</t>
  </si>
  <si>
    <t>立志是事业的大门，工作是登堂入室的旅程。——巴斯德</t>
  </si>
  <si>
    <t>暗夜女巫蝙蝠战</t>
  </si>
  <si>
    <t>超级皮卡横扫千军</t>
  </si>
  <si>
    <t>在一场对抗赛中赢得一颗胜利之星，需使用1x超级皮卡。</t>
  </si>
  <si>
    <t>B179</t>
  </si>
  <si>
    <t>吾爱吾师，吾更爱真理。——亚里士多德</t>
  </si>
  <si>
    <t>巨型骷髅</t>
  </si>
  <si>
    <t>出现于2017万圣节、2017年底、2018万圣节、2022万圣节</t>
  </si>
  <si>
    <t>在一场对抗赛中赢得一颗胜利之星，需使用1x暗夜女巫。</t>
  </si>
  <si>
    <t>B180</t>
  </si>
  <si>
    <t>给我一个支点，我可以撬起地球。——阿基米德</t>
  </si>
  <si>
    <t>攻城战车破墙计</t>
  </si>
  <si>
    <t>在一场对抗赛中赢得一颗胜利之星，需使用1x狂暴野蛮人。</t>
  </si>
  <si>
    <t>B181</t>
  </si>
  <si>
    <t>如果不想在世界上虚度一生，那就要学习一辈子。——高尔基</t>
  </si>
  <si>
    <t>攻城飞艇大空袭</t>
  </si>
  <si>
    <t>在一场对抗赛中赢得一颗胜利之星，需使用1x隐秘弓箭手。</t>
  </si>
  <si>
    <t>B182</t>
  </si>
  <si>
    <t>书是人类进步的阶梯。——高尔基</t>
  </si>
  <si>
    <t>空降堡垒</t>
  </si>
  <si>
    <t>在一场联机模式中赢得一颗胜利之星，需使用1x攻城训练营。</t>
  </si>
  <si>
    <t>B183</t>
  </si>
  <si>
    <t>要成就一件大事业，必须从小事做起。——列宁</t>
  </si>
  <si>
    <t>滚木出击</t>
  </si>
  <si>
    <t>在一场联机模式中赢得一颗胜利之星，需使用1x攻城滚木车。</t>
  </si>
  <si>
    <t>B184</t>
  </si>
  <si>
    <t>不想当将军的士兵，不是好士兵。——拿破仑</t>
  </si>
  <si>
    <t>在一场联机模式中赢得一颗胜利之星，需使用1x攻城战车。</t>
  </si>
  <si>
    <t>B185</t>
  </si>
  <si>
    <t>知识就是力量。——培根</t>
  </si>
  <si>
    <t>自爆半径：2.0格</t>
  </si>
  <si>
    <t>巨石攻城</t>
  </si>
  <si>
    <t>在一场联机模式中赢得一颗胜利之星，需使用1x攻城气球。</t>
  </si>
  <si>
    <t>B186</t>
  </si>
  <si>
    <t>如果错过太阳时你流了泪，那么你也要错过群星。——泰戈尔</t>
  </si>
  <si>
    <t>自爆延迟：2.0秒</t>
  </si>
  <si>
    <t>在一场联机模式中赢得一颗胜利之星，需使用1x攻城飞艇。</t>
  </si>
  <si>
    <t>B187</t>
  </si>
  <si>
    <t>良好的开端是成功的一半。——亚里士多德</t>
  </si>
  <si>
    <t>超级力量！</t>
  </si>
  <si>
    <t>在联机模式中部署 n 空间的超级部队。</t>
  </si>
  <si>
    <t>B188</t>
  </si>
  <si>
    <t>只有在那崎岖的小路上不畏艰险奋勇攀登的人，才有希望达到光辉的顶点。——马克思</t>
  </si>
  <si>
    <t>火爆火箭</t>
  </si>
  <si>
    <t>参加 n 场联机模式战斗，每场战斗需使用1x火箭气球兵且赢得至少1颗胜利之星。</t>
  </si>
  <si>
    <t>B189</t>
  </si>
  <si>
    <t>要散布阳光到别人心里，先得自己心里有阳光。——罗曼·罗兰</t>
  </si>
  <si>
    <t>隐秘诡计</t>
  </si>
  <si>
    <t>参加 n 场联机模式战斗，每场战斗需使用1x隐秘哥布林且赢得至少1颗胜利之星。</t>
  </si>
  <si>
    <t>B190</t>
  </si>
  <si>
    <t>美是到处都有的，对于我们的眼睛，不是缺少美，而是缺少发现。——罗丹</t>
  </si>
  <si>
    <t>狂野秀发</t>
  </si>
  <si>
    <t>参加 n 场联机模式战斗，每场战斗需使用1x超级野蛮人且赢得至少1颗胜利之星。</t>
  </si>
  <si>
    <t>B191</t>
  </si>
  <si>
    <t>你若要喜爱你自己的价值，你就得给世界创造价值。——歌德</t>
  </si>
  <si>
    <t>最强巨人</t>
  </si>
  <si>
    <t>参加 n 场联机模式战斗，每场战斗需使用1x超级巨人且赢得至少1颗胜利之星。</t>
  </si>
  <si>
    <t>B192</t>
  </si>
  <si>
    <t>受苦的人，没有悲观的权利。——尼采</t>
  </si>
  <si>
    <t>亡灵飞袭</t>
  </si>
  <si>
    <t>参加 n 场联机模式战斗，每场战斗需使用1x超级亡灵且赢得至少1颗胜利之星。</t>
  </si>
  <si>
    <t>B193</t>
  </si>
  <si>
    <t>一个人的价值，应该看他贡献什么，而不应当看他取得什么。——爱因斯坦</t>
  </si>
  <si>
    <t>出现于2018万圣节、2020万圣节</t>
  </si>
  <si>
    <t>瓦基丽之怒</t>
  </si>
  <si>
    <t>参加 n 场联机模式战斗，每场战斗需使用1x超级瓦基丽武神且赢得至少1颗胜利之星。</t>
  </si>
  <si>
    <t>B194</t>
  </si>
  <si>
    <t>成功=艰苦劳动+正确的方法+少说空话。--爱因斯坦</t>
  </si>
  <si>
    <t>天外飞猪</t>
  </si>
  <si>
    <t>破墙记</t>
  </si>
  <si>
    <t>参加 n 场联机模式战斗，每场战斗需使用1x超级炸弹人且赢得至少1颗胜利之星。</t>
  </si>
  <si>
    <t>B195</t>
  </si>
  <si>
    <t>上天赋予的生命，就是要为人类的繁荣和平和幸福而奉献。——松下幸之助</t>
  </si>
  <si>
    <t>女巫和拍档</t>
  </si>
  <si>
    <t>参加 n 场联机模式战斗，每场战斗需使用1x超级女巫且赢得至少1颗胜利之星。</t>
  </si>
  <si>
    <t>B196</t>
  </si>
  <si>
    <t>如果有一天，我能够对我们的公共利益有所贡献，我就会认为自己是世界上最幸福的人了。——果戈理</t>
  </si>
  <si>
    <t>投速：1秒/次</t>
  </si>
  <si>
    <t>超级魔法</t>
  </si>
  <si>
    <t>参加 n 场联机模式战斗，每场战斗需使用1x超级法师且赢得至少1颗胜利之星。</t>
  </si>
  <si>
    <t>B197</t>
  </si>
  <si>
    <t>认识了生活的全部意义的人，才不会随便死去，哪怕只有一点机会，就不会放弃生活。——海涅</t>
  </si>
  <si>
    <t>摧毁建筑</t>
  </si>
  <si>
    <t>参加 n 场联机模式战斗，每场战斗需使用1x寒冰猎犬且赢得至少1颗胜利之星。</t>
  </si>
  <si>
    <t>B198</t>
  </si>
  <si>
    <t>忍耐和坚持虽是痛苦的事情，但却能渐渐地为你带来好处。——奥维德</t>
  </si>
  <si>
    <t>范围溅射：1.2格</t>
  </si>
  <si>
    <t>在联机模式/对抗赛中摧毁 n 个建筑。</t>
  </si>
  <si>
    <t>烈焰灼烧</t>
  </si>
  <si>
    <t>参加 n 场联机模式战斗，每场战斗需使用1x地狱飞龙且赢得至少1颗胜利之星。</t>
  </si>
  <si>
    <t>B199</t>
  </si>
  <si>
    <t>每一种恩惠都有一枚倒钩，它将钩住吞食那份恩惠的嘴巴，施恩者想把他拖到哪里就得到那里。——堂恩</t>
  </si>
  <si>
    <t>穿透狙击</t>
  </si>
  <si>
    <t>参加 n 场联机模式战斗，每场战斗需使用1x超级弓箭手且赢得至少1颗胜利之星。</t>
  </si>
  <si>
    <t>B200</t>
  </si>
  <si>
    <t>让我们享受人生的滋味吧，如果我们感受得越多，我们就会生活得越长久。——法朗士</t>
  </si>
  <si>
    <t>参加 n 场联机模式战斗，每场战斗需使用1x超级巨石投手且赢得至少1颗胜利之星。</t>
  </si>
  <si>
    <t>B201</t>
  </si>
  <si>
    <t>奖励</t>
  </si>
  <si>
    <t>B202</t>
  </si>
  <si>
    <t>思想家是主动的，梦幻家是被动的。——雨果《海上劳工》</t>
  </si>
  <si>
    <t>B203</t>
  </si>
  <si>
    <t>清晨的阳光不算温暖，瞬息的安逸不算幸福。(蒙古谚语)</t>
  </si>
  <si>
    <t>圣水收集器</t>
  </si>
  <si>
    <t>B204</t>
  </si>
  <si>
    <t>如果幸福在于肉体的快感，那么就应当说，牛找到草料吃的时候是幸福的。——赫拉克利特</t>
  </si>
  <si>
    <t>金矿</t>
  </si>
  <si>
    <t>B205</t>
  </si>
  <si>
    <t>享受着爱和荣誉的人，才会感到生存的乐趣。——莎士比亚《查理二世》</t>
  </si>
  <si>
    <t>B206</t>
  </si>
  <si>
    <t>荣誉是什么?就是别人的爱，希望为别人谋利而获得人们夸奖。——《托尔斯泰论集》</t>
  </si>
  <si>
    <t>B207</t>
  </si>
  <si>
    <t>被人爱和爱别人是同样的幸福，而且一旦得到它，就够受用一辈子。——托尔斯泰《哥萨克》</t>
  </si>
  <si>
    <t>蛮羊骑士</t>
  </si>
  <si>
    <t>2022圣诞节</t>
  </si>
  <si>
    <t>B208</t>
  </si>
  <si>
    <t>谁要在世界上遇到过一次友爱的心，体会过肝胆相照的境界，就是尝到了天上人间的欢乐。——罗曼·罗兰《约翰·克利斯朵夫》)</t>
  </si>
  <si>
    <t>B209</t>
  </si>
  <si>
    <t>精神的沟通用不着语言，只要是两颗充满着爱的心就行了。——罗曼·罗兰《约翰·克利斯朵夫》</t>
  </si>
  <si>
    <t>B210</t>
  </si>
  <si>
    <t>最好的朋友是那种不喜欢多说，能与你默默相对而又息息息相通的人。——高尔基《孤独的人》</t>
  </si>
  <si>
    <t>B211</t>
  </si>
  <si>
    <t>朋友看朋友是透明的;他们彼此交换生命。——罗曼·罗兰《约翰·克利斯朵夫》</t>
  </si>
  <si>
    <t>移速：2.3格/秒</t>
  </si>
  <si>
    <t>暗黑重油钻井</t>
  </si>
  <si>
    <t>B212</t>
  </si>
  <si>
    <t>社会犹如一条船，每个人都要有掌舵的准备。——易卜生</t>
  </si>
  <si>
    <t>暗黑重油罐</t>
  </si>
  <si>
    <t>B213</t>
  </si>
  <si>
    <t>路再长也有终点，夜再黑也有尽头。(桑给巴尔谚语)</t>
  </si>
  <si>
    <t>蛮羊冲锋：挡道城墙</t>
  </si>
  <si>
    <t>B214</t>
  </si>
  <si>
    <t>人类所有的力量，只是耐心加上时间的混合，所谓强者，是既有意志，又能等待时机。——巴尔扎克《人间喜剧》</t>
  </si>
  <si>
    <t>B215</t>
  </si>
  <si>
    <t>我们要消除这个暗礁，就必须等待时间、机会和有利条件。——狄更斯《荒凉山庄》</t>
  </si>
  <si>
    <t>B216</t>
  </si>
  <si>
    <t>真正的幸福只有当你真实地认识到人生的价值时，才能体会到。——穆尼尔·纳素夫</t>
  </si>
  <si>
    <t>训练时间：60秒</t>
  </si>
  <si>
    <t>暗黑法术工厂</t>
  </si>
  <si>
    <t>B217</t>
  </si>
  <si>
    <t>一无所有的人是有福的，因为他们将获得一切!——罗曼罗兰</t>
  </si>
  <si>
    <t>B218</t>
  </si>
  <si>
    <t>当你幸福的时候，切勿丧失使你成为幸福的德行。——莫罗阿</t>
  </si>
  <si>
    <t>B219</t>
  </si>
  <si>
    <t>生活的苦难压不垮我。我心中的欢乐不是我自己的，我把欢乐注进音乐，为的是让全世界感到欢乐。——莫扎特</t>
  </si>
  <si>
    <t>B220</t>
  </si>
  <si>
    <t>时间是一个伟大的作者，它会给每个人写出完美的结局来。——卓别林</t>
  </si>
  <si>
    <t>成就挑战</t>
  </si>
  <si>
    <t>总奖励</t>
  </si>
  <si>
    <t>B221</t>
  </si>
  <si>
    <t>从不浪费时间的人，没有工夫抱怨时间不够。——杰弗逊</t>
  </si>
  <si>
    <t>特斯拉电磁塔</t>
  </si>
  <si>
    <t>B222</t>
  </si>
  <si>
    <t>每一个人都嘲笑陈旧的时尚，却虔诚地追求新的时尚。——梭罗</t>
  </si>
  <si>
    <t>备注：所有的成就你做好了嘛</t>
  </si>
  <si>
    <t>B223</t>
  </si>
  <si>
    <t>不是锤的打击，而是水的载歌载舞才形成了美丽的鹅卵石。——泰戈尔</t>
  </si>
  <si>
    <t>生日派对！</t>
  </si>
  <si>
    <t>出现于2017年5周年庆</t>
  </si>
  <si>
    <t>成就名称</t>
  </si>
  <si>
    <t>具体内容</t>
  </si>
  <si>
    <t>完成后</t>
  </si>
  <si>
    <t>宝石奖励</t>
  </si>
  <si>
    <t>B224</t>
  </si>
  <si>
    <t>一个能思想的人，才真是一个力量无边的人。——巴尔扎克</t>
  </si>
  <si>
    <t>礼物溅射：2.5格</t>
  </si>
  <si>
    <t>配置成本</t>
  </si>
  <si>
    <t>储金罐达人</t>
  </si>
  <si>
    <t>将储金罐升至2级</t>
  </si>
  <si>
    <t>最高储金罐等级：&lt;value&gt;</t>
  </si>
  <si>
    <t>B225</t>
  </si>
  <si>
    <t>他看到风向对他不利，就知道瞎忙也是白搭，唯一的办法是坐下来等待。——泰戈尔《沉船》</t>
  </si>
  <si>
    <t>将储金罐升至5级</t>
  </si>
  <si>
    <t>B226</t>
  </si>
  <si>
    <t>人类是唯一会脸红的动物，或是唯一该脸红的动物。——马克吐温</t>
  </si>
  <si>
    <t>放置时间：0.15秒</t>
  </si>
  <si>
    <t>建筑大师大本营</t>
  </si>
  <si>
    <t>将储金罐升至10级</t>
  </si>
  <si>
    <t>B227</t>
  </si>
  <si>
    <t>时间是世界上一切成就的土壤。时间给空想者痛苦，给创造者幸福。——麦金西</t>
  </si>
  <si>
    <t>生效延迟：1.75秒</t>
  </si>
  <si>
    <t>B228</t>
  </si>
  <si>
    <t>治学有三大原则：广见闻，多阅读，勤实验。——戴布劳格林</t>
  </si>
  <si>
    <t>击晕时长：2.0秒</t>
  </si>
  <si>
    <t>消灭哥布林！</t>
  </si>
  <si>
    <t>在单人模式地图上赢取10颗星</t>
  </si>
  <si>
    <t>单人模式地图上获得的星数：&lt;value&gt;</t>
  </si>
  <si>
    <t>B229</t>
  </si>
  <si>
    <t>勇于求知的人决不至于空闲无事。——孟德斯鸠</t>
  </si>
  <si>
    <t>在单人模式地图上赢取50颗星</t>
  </si>
  <si>
    <t>B230</t>
  </si>
  <si>
    <t>没有感恩就没有真正的美德。——卢梭</t>
  </si>
  <si>
    <t>配置时间：360秒</t>
  </si>
  <si>
    <t>在单人模式地图上赢取150颗星</t>
  </si>
  <si>
    <t>B231</t>
  </si>
  <si>
    <t>不要心平气和，不要容你自己昏睡!趁你还年轻，强壮、灵活，要永不疲倦地做好事。——契诃夫</t>
  </si>
  <si>
    <t>攻击后最多生成5个礼物</t>
  </si>
  <si>
    <t>B232</t>
  </si>
  <si>
    <t>沉沉的黑夜都是白天的前奏。——郭小川</t>
  </si>
  <si>
    <t>礼物是障眼法，其中有一个是炸弹，其他是5000圣水</t>
  </si>
  <si>
    <t>更大，更好</t>
  </si>
  <si>
    <t>将大本营升至3级</t>
  </si>
  <si>
    <t>目前大本营的等级：&lt;value&gt;</t>
  </si>
  <si>
    <t>B233</t>
  </si>
  <si>
    <t>推动你的事业，不要让你的事业推动你。——爱因斯坦</t>
  </si>
  <si>
    <t>将大本营升至5级</t>
  </si>
  <si>
    <t>B234</t>
  </si>
  <si>
    <t>壮志与热情是伟业的辅冀。——歌德</t>
  </si>
  <si>
    <t>圣诞奇袭</t>
  </si>
  <si>
    <t>出现于大多数圣诞节(2012/2016/2019/2020/2021/2022)</t>
  </si>
  <si>
    <t>将大本营升至8级</t>
  </si>
  <si>
    <t>B235</t>
  </si>
  <si>
    <t>一个人如同一只钟表，是以他的行动来确定其价值。——佩恩</t>
  </si>
  <si>
    <t>礼物溅射：4格</t>
  </si>
  <si>
    <t>B236</t>
  </si>
  <si>
    <t>信仰是伟大的情感，一种创造力量。——高尔基</t>
  </si>
  <si>
    <t>伤害溅射：1格</t>
  </si>
  <si>
    <t>星空实验室</t>
  </si>
  <si>
    <t>清爽整洁</t>
  </si>
  <si>
    <t>移除5个障碍物（树木和岩石等）</t>
  </si>
  <si>
    <t>总共移除障碍物：&lt;value&gt;</t>
  </si>
  <si>
    <t>B237</t>
  </si>
  <si>
    <t>智慧、勤劳和天才，高于显贵和富有。——贝多芬</t>
  </si>
  <si>
    <t>移除50个障碍物（树木和岩石等）</t>
  </si>
  <si>
    <t>B238</t>
  </si>
  <si>
    <t>为什么只看到你兄弟身上有刺，而不是你眼中有梁木呢？——基督</t>
  </si>
  <si>
    <t>超级特斯拉电磁塔</t>
  </si>
  <si>
    <t>移除500个障碍物（树木和岩石等）</t>
  </si>
  <si>
    <t>B239</t>
  </si>
  <si>
    <t>每次间隔：0.1秒</t>
  </si>
  <si>
    <t>熔岩发射器</t>
  </si>
  <si>
    <t>B240</t>
  </si>
  <si>
    <t>人的全部本领无非是耐心和时间的混合物。——巴尔扎克</t>
  </si>
  <si>
    <t>新兵集结</t>
  </si>
  <si>
    <t>在兵营中解锁弓箭手</t>
  </si>
  <si>
    <t>B241</t>
  </si>
  <si>
    <t>创造者才是真正的享受者。——富尔克</t>
  </si>
  <si>
    <t>其他任务</t>
  </si>
  <si>
    <t>在兵营中解锁炸弹人</t>
  </si>
  <si>
    <t>B242</t>
  </si>
  <si>
    <t>在兵营中解锁飞龙</t>
  </si>
  <si>
    <t>B243</t>
  </si>
  <si>
    <t>B244</t>
  </si>
  <si>
    <t>介绍</t>
  </si>
  <si>
    <t>抓金手</t>
  </si>
  <si>
    <t>盗取20000金币</t>
  </si>
  <si>
    <t>总共获得金币战利品：&lt;value&gt;</t>
  </si>
  <si>
    <t>B245</t>
  </si>
  <si>
    <t>联机模式每日一星</t>
  </si>
  <si>
    <t>在联机模式中赢得一颗胜利之星。</t>
  </si>
  <si>
    <t>盗取1000000金币</t>
  </si>
  <si>
    <t>B246</t>
  </si>
  <si>
    <t>时间是我的财产，我的田亩是时间。——歌德</t>
  </si>
  <si>
    <t>对抗赛每日一星</t>
  </si>
  <si>
    <t>在对抗赛中赢得一颗胜利之星。</t>
  </si>
  <si>
    <t>盗取100000000金币</t>
  </si>
  <si>
    <t>B247</t>
  </si>
  <si>
    <t>求学如值树，春天开花，秋天结果。——爱因斯坦</t>
  </si>
  <si>
    <t>每日增援</t>
  </si>
  <si>
    <t>向部落成员增援总计15空间的部队。</t>
  </si>
  <si>
    <t>B248</t>
  </si>
  <si>
    <t>生活中唯一乐趣就是忘却。——托尔斯泰</t>
  </si>
  <si>
    <t>南瓜炸弹</t>
  </si>
  <si>
    <t>出现于2012/2013年万圣节</t>
  </si>
  <si>
    <t>常胜将军</t>
  </si>
  <si>
    <t>在联机模式中获胜7场。</t>
  </si>
  <si>
    <t>盗取20000圣水</t>
  </si>
  <si>
    <t>总共获得圣水战利品：&lt;value&gt;</t>
  </si>
  <si>
    <t>B249</t>
  </si>
  <si>
    <t>暂时的是现实，永生的是理想。——罗曼·罗兰《爱与死的搏斗》</t>
  </si>
  <si>
    <t>布置成本</t>
  </si>
  <si>
    <t>在联机模式中赢得3场三星完胜。</t>
  </si>
  <si>
    <t>盗取1000000圣水</t>
  </si>
  <si>
    <t>B250</t>
  </si>
  <si>
    <t>人的心灵是有翅膀的，会在梦中飞翔。——高尔基《流水》</t>
  </si>
  <si>
    <t>在联机模式中赢得总计15颗胜利之星。</t>
  </si>
  <si>
    <t>盗取100000000圣水</t>
  </si>
  <si>
    <t>在联机模式中达到总计500%的摧毁率。</t>
  </si>
  <si>
    <t>C01</t>
  </si>
  <si>
    <t>同样是秒建筑或者科技，夜本的费用是家乡的2倍，看来夜本时间和资源宝贵啊。</t>
  </si>
  <si>
    <t>在联机模式中掠夺2500000金币。</t>
  </si>
  <si>
    <t>战无不胜！</t>
  </si>
  <si>
    <t>在联机模式中累计赢得75个奖杯</t>
  </si>
  <si>
    <t>最高奖杯记录：&lt;value&gt;</t>
  </si>
  <si>
    <t>C02</t>
  </si>
  <si>
    <t>不过总计秒建筑的费用相差不大，因为夜本的建筑是家乡的一半。</t>
  </si>
  <si>
    <t>延迟：2.0秒</t>
  </si>
  <si>
    <t>4本解锁</t>
  </si>
  <si>
    <t>在联机模式中掠夺2500000圣水。</t>
  </si>
  <si>
    <t>在联机模式中累计赢得750个奖杯</t>
  </si>
  <si>
    <t>C03</t>
  </si>
  <si>
    <t>为什么夜本一个兵营只能装一种兵？因为夜本的墙也是一排一排的，为了游戏的核心——简单。</t>
  </si>
  <si>
    <t>在联机模式中掠夺25000暗黑重油。</t>
  </si>
  <si>
    <t>在联机模式中累计赢得1250个奖杯</t>
  </si>
  <si>
    <t>C04</t>
  </si>
  <si>
    <t>虽然建造部落只需要4万金币，但是选择了建立部落到强盛所需要花的代价远高于这个值。</t>
  </si>
  <si>
    <t>向部落成员增援总计250空间的部队。</t>
  </si>
  <si>
    <t>C05</t>
  </si>
  <si>
    <t>障碍物比如树木需要8小时才能生长，而高草从只需要3小时。而障碍物上限是45，高草丛是50</t>
  </si>
  <si>
    <t>冷冻炸弹</t>
  </si>
  <si>
    <t>出现于16年圣诞节后</t>
  </si>
  <si>
    <t>向部落成员增援总计25空间的法术。</t>
  </si>
  <si>
    <t>帝国缔造者</t>
  </si>
  <si>
    <t>重建部落城堡</t>
  </si>
  <si>
    <t>目前的部落城堡等级：&lt;value&gt;</t>
  </si>
  <si>
    <t>C06</t>
  </si>
  <si>
    <t>游戏对新人还是很照顾的，会给你3天的护盾，而开局也会给你500宝石和750金水</t>
  </si>
  <si>
    <t>偷袭陆空</t>
  </si>
  <si>
    <t>填充成本</t>
  </si>
  <si>
    <t>在家乡和建筑大师基地中移除25个障碍物。</t>
  </si>
  <si>
    <t>将部落城堡升至2级</t>
  </si>
  <si>
    <t>C07</t>
  </si>
  <si>
    <t>部落奖杯计算方法是：先以10人一组排序，从高到底每组分别为50%，20%，12%，10%，3%</t>
  </si>
  <si>
    <t>触发半径:2格</t>
  </si>
  <si>
    <t>5.0秒</t>
  </si>
  <si>
    <t>在联机模式中连胜3场。</t>
  </si>
  <si>
    <t>将部落城堡升至4级</t>
  </si>
  <si>
    <t>C08</t>
  </si>
  <si>
    <t>取消军队会原样退还，但是建筑只能得到一半的造价补偿。</t>
  </si>
  <si>
    <t>冰冻半径:3格</t>
  </si>
  <si>
    <t>在单场联机模式战斗中掠夺2000暗黑重油。</t>
  </si>
  <si>
    <t>C09</t>
  </si>
  <si>
    <t>低本打高本没有加成，反之则有处罚。越一级为80%，两级50%，三级25%，四级5%，后面的别想了</t>
  </si>
  <si>
    <t>在单场联机模式战斗中掠夺200000金币。</t>
  </si>
  <si>
    <t>拆墙达人</t>
  </si>
  <si>
    <t>在联机模式中摧毁10块城墙</t>
  </si>
  <si>
    <t>总共摧毁城墙：&lt;value&gt;</t>
  </si>
  <si>
    <t>C10</t>
  </si>
  <si>
    <t>王会追击单位，哪怕在自己的防守范围外。如果王在5秒内无法攻击追击中的单位，那么他会返回</t>
  </si>
  <si>
    <t>5本解锁，使用金币</t>
  </si>
  <si>
    <t>在单场联机模式战斗中掠夺200000圣水。</t>
  </si>
  <si>
    <t>在联机模式中摧毁100块城墙</t>
  </si>
  <si>
    <t>C11</t>
  </si>
  <si>
    <t>范围防御武器比如迫击炮不会因为瞄准目标的突然死亡而重新装填，但是单体防御会。</t>
  </si>
  <si>
    <t>对抗赛冠军</t>
  </si>
  <si>
    <t>在对抗赛中获胜10场。</t>
  </si>
  <si>
    <t>在联机模式中摧毁2000块城墙</t>
  </si>
  <si>
    <t>C12</t>
  </si>
  <si>
    <t>提前请求援军真的很贵，因为这要话相当于秒建筑6倍的价格，所以等吧。</t>
  </si>
  <si>
    <t>在对抗赛中赢得30颗胜利之星。</t>
  </si>
  <si>
    <t>C13</t>
  </si>
  <si>
    <t>部落战得到40%的星星会得到10个经验，而得到60%的星星则是25，胜利就是50经验了</t>
  </si>
  <si>
    <t>在对抗赛中达到总计1000%的摧毁率。</t>
  </si>
  <si>
    <t>攻城拔寨</t>
  </si>
  <si>
    <t>在联机模式中摧毁10座大本营</t>
  </si>
  <si>
    <t>总共摧毁大本营：&lt;value&gt;</t>
  </si>
  <si>
    <t>C14</t>
  </si>
  <si>
    <t>虽然黑油的威力是圣水的三倍，但是价值却是圣水的100倍。</t>
  </si>
  <si>
    <t>玲珑炸弹</t>
  </si>
  <si>
    <t>出现于17年5岁生日</t>
  </si>
  <si>
    <t>在联机模式中进攻11级大本营村庄，并赢得10颗胜利之星。</t>
  </si>
  <si>
    <t>在联机模式中摧毁100座大本营</t>
  </si>
  <si>
    <t>C15</t>
  </si>
  <si>
    <t>部落邮件最长256个字符，而平常说话最长128个字符，中文字占2字符。</t>
  </si>
  <si>
    <t>作用时间</t>
  </si>
  <si>
    <t>在联机模式中进攻10级大本营村庄，并赢得10颗胜利之星。</t>
  </si>
  <si>
    <t>在联机模式中摧毁2000座大本营</t>
  </si>
  <si>
    <t>C16</t>
  </si>
  <si>
    <t>敌军部落援军的搜寻范围是9格，这只是为了计算方便，对玩家只需要记住最近的就对了。</t>
  </si>
  <si>
    <t>在联机模式中进攻9级大本营村庄，并赢得10颗胜利之星。</t>
  </si>
  <si>
    <t>C17</t>
  </si>
  <si>
    <t>要获取护盾必须同时满足2个条件：摧毁超过30%以及派出相当于敌军兵营三分之一的兵</t>
  </si>
  <si>
    <t>作用半径:3格</t>
  </si>
  <si>
    <t>在联机模式中进攻8级大本营村庄，并赢得10颗胜利之星。</t>
  </si>
  <si>
    <t>工棚破坏者</t>
  </si>
  <si>
    <t>在联机模式中摧毁25个建筑工人小屋</t>
  </si>
  <si>
    <t>总共摧毁建筑工人小屋：&lt;value&gt;</t>
  </si>
  <si>
    <t>C18</t>
  </si>
  <si>
    <t>日常进攻时摧毁50%就可以获得80%的联赛奖励，再摧毁20%就能拿全额，怎么样？</t>
  </si>
  <si>
    <t>4本解锁，金币</t>
  </si>
  <si>
    <t>在联机模式中进攻7级大本营村庄，并赢得10颗胜利之星。</t>
  </si>
  <si>
    <t>在联机模式中摧毁250个建筑工人小屋</t>
  </si>
  <si>
    <t>C19</t>
  </si>
  <si>
    <t>九本开始更换阵型需要1天的时间冷却才能开友谊战，所以八本还是有需要的。</t>
  </si>
  <si>
    <t>作用期间生命值上限和移速分别降低50%</t>
  </si>
  <si>
    <t>在联机模式中进攻6级大本营村庄，并赢得10颗胜利之星。</t>
  </si>
  <si>
    <t>在联机模式中摧毁2500个建筑工人小屋</t>
  </si>
  <si>
    <t>C20</t>
  </si>
  <si>
    <t>夜本开局就要多得多，都是5000金水，因为夜本的1本相当于家乡的3本。</t>
  </si>
  <si>
    <t>在联机模式中不使用法术，并赢得10颗胜利之星。</t>
  </si>
  <si>
    <t>C21</t>
  </si>
  <si>
    <t>夜本的第一盘很迷，因为开局给你的是4个10级黄毛，并且敌人用强大兵种打你两星！</t>
  </si>
  <si>
    <t>在联机模式中不使用英雄，并赢得10颗胜利之星。</t>
  </si>
  <si>
    <t>赢得25场联机模式战斗</t>
  </si>
  <si>
    <t>总共赢得的联机模式战斗次数：&lt;value&gt;</t>
  </si>
  <si>
    <t>C22</t>
  </si>
  <si>
    <t>更迷的是第一次胜利就给50奖杯和5000金水，哇！</t>
  </si>
  <si>
    <t>在联机模式中进攻大本营等级高于自己的村庄，并赢得10颗胜利之星。</t>
  </si>
  <si>
    <t>赢得250场联机模式战斗</t>
  </si>
  <si>
    <t>C23</t>
  </si>
  <si>
    <t>夜本要降到极低杯特别的难，因为敌人拿到30杯胜利而你只降了几个杯。</t>
  </si>
  <si>
    <t>部落对战达人</t>
  </si>
  <si>
    <t>在部落对战中赢得15颗胜利之星。</t>
  </si>
  <si>
    <t>赢得5000场联机模式战斗</t>
  </si>
  <si>
    <t>C24</t>
  </si>
  <si>
    <t>时光钟楼加速费用（从加速用完到下一次免费加速的时间）是秒建筑的86%。</t>
  </si>
  <si>
    <t>在联机模式中进攻处于泰坦杯联赛的村庄，并赢得10颗胜利之星。</t>
  </si>
  <si>
    <t>C25</t>
  </si>
  <si>
    <t>单位一开始选择目标是不会考虑城墙的，而且一次性只思考3个目标，这是为了流畅。</t>
  </si>
  <si>
    <t>在联机模式中击败的野蛮人之王等级累计达到250。</t>
  </si>
  <si>
    <t>固若金汤</t>
  </si>
  <si>
    <t>成功防御10次进攻</t>
  </si>
  <si>
    <t>总共成功防御次数：&lt;value&gt;</t>
  </si>
  <si>
    <t>C26</t>
  </si>
  <si>
    <t>部落立即请求援兵的宝石消耗是秒建筑的6倍，所以最好等待。</t>
  </si>
  <si>
    <t>在联机模式中击败的弓箭女皇等级累计达到250。</t>
  </si>
  <si>
    <t>成功防御250次进攻</t>
  </si>
  <si>
    <t>C27</t>
  </si>
  <si>
    <t>在使用符石时如果仓库容量&gt;=70%，那么会提醒即将满库，意思是不建议使用。当容量=100%则无法使用符石。</t>
  </si>
  <si>
    <t>在联机模式中击败的大守护者等级累计达到100。</t>
  </si>
  <si>
    <t>成功防御5000次进攻</t>
  </si>
  <si>
    <t>C28</t>
  </si>
  <si>
    <t>升级建筑的经验与时间有关，先转换成秒数，然后开方向下取整</t>
  </si>
  <si>
    <t>在联机模式中击败的英雄等级累计达到500。</t>
  </si>
  <si>
    <t>在联机模式中进攻12级大本营村庄，并赢得10颗胜利之星。</t>
  </si>
  <si>
    <t>患难之交</t>
  </si>
  <si>
    <t>向部落成员派出100空间援兵</t>
  </si>
  <si>
    <t>总共派出援兵：&lt;value&gt;</t>
  </si>
  <si>
    <t>W1</t>
  </si>
  <si>
    <t>雪怪的高于平均的生命值和攻击力可以为主力清边，尤其是生成的小雪怪拥有较高的生命值去吸引其他防御，它们可以跳墙并且对防御造成大量伤害，使得清边更为顺利。</t>
  </si>
  <si>
    <t>在联机模式中摧毁250座建筑。</t>
  </si>
  <si>
    <t>向部落成员派出5000空间援兵</t>
  </si>
  <si>
    <t>W2</t>
  </si>
  <si>
    <t>确保雪怪受到足够的伤害投放小雪怪对于增加它所造成的伤害来说非常必要。</t>
  </si>
  <si>
    <t>配置时间：2700秒</t>
  </si>
  <si>
    <t>2015年1月旧版冰冻数据，与现役冰冻截然不同</t>
  </si>
  <si>
    <t>在联机模式中摧毁125块城墙。</t>
  </si>
  <si>
    <t>向部落成员派出25000空间援兵</t>
  </si>
  <si>
    <t>W3</t>
  </si>
  <si>
    <t>与天使配合时，它也能担任坦克一职。常用于天咏转天雪。它所生成的小雪怪可以快速拿下防空火箭以保护天使。</t>
  </si>
  <si>
    <t>在对抗赛中摧毁250座建筑。</t>
  </si>
  <si>
    <t>W4</t>
  </si>
  <si>
    <t>没有天使的情况下，它们的生命值相对较低，所以雪怪更应该放在其他高血量兵种的后面例如石头人、戈仑冰人、皮卡超人。</t>
  </si>
  <si>
    <t>在对抗赛中摧毁500块城墙。</t>
  </si>
  <si>
    <t>迫击炮破坏达人</t>
  </si>
  <si>
    <t>在联机模式战斗中摧毁25门迫击炮</t>
  </si>
  <si>
    <t>总共摧毁迫击炮：&lt;value&gt;</t>
  </si>
  <si>
    <t>W5</t>
  </si>
  <si>
    <t>因为雪怪的高伤害，一个常见的策略是使用“飞艇+雪怪”组合。然后送至关键防御例如地狱塔或者天鹰火炮并辅以狂暴加以摧毁。</t>
  </si>
  <si>
    <t>2020年6月22日修改前版本</t>
  </si>
  <si>
    <t>在联机模式战斗前60秒内累计赢得5颗胜利之星。</t>
  </si>
  <si>
    <t>在联机模式战斗中摧毁500门迫击炮</t>
  </si>
  <si>
    <t>W6</t>
  </si>
  <si>
    <t>天鹰火炮和西瓜投手可以同时摧毁大雪怪和小雪怪，让它们远离中心并远离可能的攻击来限制雪怪们的效果。</t>
  </si>
  <si>
    <t>在对抗赛前60秒内累计赢得15颗胜利之星。</t>
  </si>
  <si>
    <t>在联机模式战斗中摧毁5000门迫击炮</t>
  </si>
  <si>
    <t>W7</t>
  </si>
  <si>
    <t>雷电飞龙喷射雷电从一个目标弹射到另一个目标，由此可以用于一次拿下多个建筑。</t>
  </si>
  <si>
    <t>分布半径：3.5格</t>
  </si>
  <si>
    <t>冲锋陷阵！</t>
  </si>
  <si>
    <t>在联机模式中部署1250空间的部队。</t>
  </si>
  <si>
    <t>W8</t>
  </si>
  <si>
    <t>雷电飞龙可以被当作飞行中的蓝胖（尽管需要更多人口）因为它们可以一次攻击多个单位，可帮助其他空军完成清边。</t>
  </si>
  <si>
    <t>攻击次数：6次</t>
  </si>
  <si>
    <t>法术弥漫</t>
  </si>
  <si>
    <t>在联机模式中施放50空间的法术。</t>
  </si>
  <si>
    <t>盗亦有道</t>
  </si>
  <si>
    <t>盗取20000暗黑重油</t>
  </si>
  <si>
    <t>总共获得暗黑重油战利品：&lt;value&gt;</t>
  </si>
  <si>
    <t>W9</t>
  </si>
  <si>
    <t>因为雷电飞龙极慢的速度，空气炮可以瘫痪它。为了应对这个，一瓶急速法术可以让它快速移动到攻击范围在空气炮再次开火之前攻击。或使用冰冻法术让空气炮暂停工作。</t>
  </si>
  <si>
    <t>攻击间隔：0.4秒</t>
  </si>
  <si>
    <t>攻城计</t>
  </si>
  <si>
    <t>在联机模式中部署5台攻城机器。</t>
  </si>
  <si>
    <t>盗取250000暗黑重油</t>
  </si>
  <si>
    <t>W10</t>
  </si>
  <si>
    <t>一个不错的攻击策略是下一排雷电飞龙加咏王在它们身后使用镜像法术、狂暴法术以快速拿下敌军基地。（一般适合联赛打两星策略）</t>
  </si>
  <si>
    <t>部落帮手</t>
  </si>
  <si>
    <t>向部落成员增援5台攻城机器。</t>
  </si>
  <si>
    <t>盗取1000000暗黑重油</t>
  </si>
  <si>
    <t>W11</t>
  </si>
  <si>
    <t>雷电飞龙的只能在两个建筑间隔最多1格的情况下连锁，所以两个建筑间可以相隔更远以阻止雷电飞龙造成更多伤害。</t>
  </si>
  <si>
    <t>生效延迟：1.1秒</t>
  </si>
  <si>
    <t>淘金热潮</t>
  </si>
  <si>
    <t>从金矿收集750000金币。</t>
  </si>
  <si>
    <t>W12</t>
  </si>
  <si>
    <t>雷电飞龙极慢的速度使得它非常容易被弓箭女皇克制，如果加上毒药或者狂暴可以在它打出第一发伤害之前消灭它。</t>
  </si>
  <si>
    <t>圣水满满</t>
  </si>
  <si>
    <t>从圣水收集器收集750000圣水。</t>
  </si>
  <si>
    <t>联赛明星</t>
  </si>
  <si>
    <t>进入水晶杯联赛</t>
  </si>
  <si>
    <t>W13</t>
  </si>
  <si>
    <t>如果你预测到雷电飞龙的连锁攻击可以打到类似于防空火箭这样的建筑，使用电塔来干扰敌军的计划。</t>
  </si>
  <si>
    <t>黑油大亨</t>
  </si>
  <si>
    <t>从暗黑重油钻井收集15000暗黑重油。</t>
  </si>
  <si>
    <t>进入大师杯联赛</t>
  </si>
  <si>
    <t>W14</t>
  </si>
  <si>
    <t>矿工类似于野猪骑士但并不优先攻击防御，他可以越过城墙攻击任何目标。然而矿工更好的地方在于钻地的时候是无敌的。</t>
  </si>
  <si>
    <t>发展家乡</t>
  </si>
  <si>
    <t>在家乡开始2座建筑的升级。</t>
  </si>
  <si>
    <t>进入冠军杯联赛</t>
  </si>
  <si>
    <t>W15</t>
  </si>
  <si>
    <t>矿工可以用于提前触发陷阱或者引出部落援军。他们也可以用于摧毁一小部分的单位。</t>
  </si>
  <si>
    <t>发展建筑大师基地</t>
  </si>
  <si>
    <t>在建筑大师基地开始2座建筑的升级。</t>
  </si>
  <si>
    <t>W16</t>
  </si>
  <si>
    <t>大量的矿工很适合攻击带有单头地狱塔的基地。因为每一次矿工钻地，地狱塔都需要重置伤害。</t>
  </si>
  <si>
    <t>建造之乐</t>
  </si>
  <si>
    <t>在家乡或建筑大师基地开始2座建筑的升级。</t>
  </si>
  <si>
    <t>连弩终结者</t>
  </si>
  <si>
    <t>在联机模式中摧毁1个X连弩</t>
  </si>
  <si>
    <t>总共摧毁X连弩：&lt;value&gt;</t>
  </si>
  <si>
    <t>W17</t>
  </si>
  <si>
    <t>利用好矿工的钻地能力。矿工的数量越多，他们摧毁建筑或者部队的速度越快，使其能够更快返回地下。防御将会有更少的时间锁定他们并且可以利用狂暴法术增加他们的伤害以攻击高血量单位例如仓库。</t>
  </si>
  <si>
    <t>建筑工人</t>
  </si>
  <si>
    <t>单兵铁幕</t>
  </si>
  <si>
    <t>加固家乡城墙</t>
  </si>
  <si>
    <t>在家乡升级10块城墙。</t>
  </si>
  <si>
    <t>在联机模式中摧毁250个X连弩</t>
  </si>
  <si>
    <t>W18</t>
  </si>
  <si>
    <t>矿工在数量较小或者攻击高血量建筑物会非常脆弱，因为他们的攻击力相对较低，所以应该让他们聚集行动。</t>
  </si>
  <si>
    <t>维修建筑</t>
  </si>
  <si>
    <t>每秒维修</t>
  </si>
  <si>
    <t>每次维修</t>
  </si>
  <si>
    <t>加固基地城墙</t>
  </si>
  <si>
    <t>在建筑大师基地升级10块城墙。</t>
  </si>
  <si>
    <t>在联机模式中摧毁2500个X连弩</t>
  </si>
  <si>
    <t>W19</t>
  </si>
  <si>
    <t>矿工在进入阵中的时候最为有用。利用蓝胖和英雄清理外围建筑让他们进入阵中。</t>
  </si>
  <si>
    <t>铜墙铁壁</t>
  </si>
  <si>
    <t>在家乡或建筑大师基地升级10块城墙。</t>
  </si>
  <si>
    <t>W20</t>
  </si>
  <si>
    <t>尽管矿工钻地时无法触发陷阱，但你仍然需要放置你的陷阱，这样矿工在钻出时会触发陷阱。</t>
  </si>
  <si>
    <t>活动达人</t>
  </si>
  <si>
    <t>完成"活动"选项卡中的1个活动。</t>
  </si>
  <si>
    <t>灭火英雄</t>
  </si>
  <si>
    <t>在联机模式中摧毁10座地狱之塔</t>
  </si>
  <si>
    <t>总共摧毁地狱之塔：&lt;value&gt;</t>
  </si>
  <si>
    <t>W21</t>
  </si>
  <si>
    <t>你可以用紧凑阵型并且让仓库放在防御附近以反制矿工。通过这一点，矿工当他们在地下将拥有更少的时间被治疗。保持他们在地上攻击仓库可以让防御对他们造成最大伤害。</t>
  </si>
  <si>
    <t>大力士之友</t>
  </si>
  <si>
    <t>在部落竞赛中累计获得500积分。</t>
  </si>
  <si>
    <t>在联机模式中摧毁250座地狱之塔</t>
  </si>
  <si>
    <t>W22</t>
  </si>
  <si>
    <t>地面模式的骷髅陷阱或者大量部落城堡守军（弓箭手）可以暂缓矿工很长的时间因为他们较慢的攻击速度。有可能矿工钻地后只走很小一段距离再次攻击这些干扰单位，消耗超出必要的时间。</t>
  </si>
  <si>
    <t>胜利明星</t>
  </si>
  <si>
    <t>在家乡赢取4次每日胜利之星奖励。</t>
  </si>
  <si>
    <t>在联机模式中摧毁5000座地狱之塔</t>
  </si>
  <si>
    <t>W23</t>
  </si>
  <si>
    <t>飞龙宝宝可以被认为比它的父亲飞龙更加通用。他们有一半的生命值、一半（更低）的伤害以及一半的人口，但他们有狂暴技能。</t>
  </si>
  <si>
    <t>万有引利</t>
  </si>
  <si>
    <t>在建筑大师基地赢取"第3次获胜奖励"共计4次。</t>
  </si>
  <si>
    <t>W24</t>
  </si>
  <si>
    <t>飞龙宝宝尤其适合清边或者摧毁外围建筑以引导部队进入阵型中间。他们有相对较高的生命值并且可以在狂暴时造成高额伤害。</t>
  </si>
  <si>
    <t>每日胜利之星奖励</t>
  </si>
  <si>
    <t>赢得家乡每日胜利之星奖励。</t>
  </si>
  <si>
    <t>战争英雄</t>
  </si>
  <si>
    <t>在部落对战中为您的部落赢得10颗星</t>
  </si>
  <si>
    <t>在部落对战中总共为部落赢得&lt;value&gt;颗胜利之星</t>
  </si>
  <si>
    <t>W25</t>
  </si>
  <si>
    <t>尽管飞龙宝宝是非常厉害的空军，很多防御那它束手无策。但高等级的防空火箭仍然是飞龙宝宝的克星。</t>
  </si>
  <si>
    <t>太逊了以至于吸引不了军队的火力</t>
  </si>
  <si>
    <t>每日对抗赛奖励</t>
  </si>
  <si>
    <t>赢得建筑大师基地第3次获胜奖励。</t>
  </si>
  <si>
    <t>在部落对战中为您的部落赢得150颗星</t>
  </si>
  <si>
    <t>W26</t>
  </si>
  <si>
    <t>飞龙宝宝是非常好的部落援军。作为飞行单位，它可以躲开绝大多数陆军的攻击，并且其溅射伤害让它可以轻易摧毁集群部队。</t>
  </si>
  <si>
    <t>在部落对战中获胜3场。</t>
  </si>
  <si>
    <t>在部落对战中为您的部落赢得1000颗星</t>
  </si>
  <si>
    <t>W27</t>
  </si>
  <si>
    <t>皮卡超人是所有常规单位中攻击最高的且拥有非常高的生命值，所以很建议放置两个皮卡在阵型的两个角落或者靠近敌军防御的位置。绝大多数的建筑无法抵抗皮卡的两次攻击，所以两只皮卡就可以一击摧毁它们。</t>
  </si>
  <si>
    <t>在联机模式中部署3空间的超级部队。</t>
  </si>
  <si>
    <t>W28</t>
  </si>
  <si>
    <t>皮卡超人极高的生命值和伤害使得她们可以轻易拿下敌军英雄。然而如果应对隔墙的弓箭女皇，她可以在皮卡破墙之前造成大量伤害，尤其是高等级的女皇。</t>
  </si>
  <si>
    <t>熟能生巧</t>
  </si>
  <si>
    <t>在家乡村庄友谊战中累计赢得3颗胜利之星。</t>
  </si>
  <si>
    <t>部落对战大富翁</t>
  </si>
  <si>
    <t>从部落城堡收集800000金币</t>
  </si>
  <si>
    <t>通过部落对战奖励获得的金币总数：&lt;value&gt;</t>
  </si>
  <si>
    <t>W29</t>
  </si>
  <si>
    <t>不要训练纯皮卡流因为她们无法应对飞行的部落援军例如飞龙。在皮卡后面放置法师或者飞龙以反制它们。</t>
  </si>
  <si>
    <t>运筹帷幄</t>
  </si>
  <si>
    <t>在建筑大师基地友谊战中累计赢得3颗胜利之星。</t>
  </si>
  <si>
    <t>从部落城堡收集15000000金币</t>
  </si>
  <si>
    <t>W30</t>
  </si>
  <si>
    <t>用溅射伤害的单位放在她后面以应对大量防守援军或者骷髅。</t>
  </si>
  <si>
    <t>从部落城堡收集100000000金币</t>
  </si>
  <si>
    <t>W31</t>
  </si>
  <si>
    <t>皮卡可以抵御陷阱的伤害。放置一些炸弹人或者攻城战车以帮助她推进敌军基地。</t>
  </si>
  <si>
    <t>W32</t>
  </si>
  <si>
    <t>皮卡超人并不会受到弹簧的作用，然而她仍然可以触发这个陷阱。</t>
  </si>
  <si>
    <t>火炮杀手</t>
  </si>
  <si>
    <t>在联机模式中摧毁20门天鹰火炮</t>
  </si>
  <si>
    <t>总共摧毁天鹰火炮：&lt;value&gt;</t>
  </si>
  <si>
    <t>W33</t>
  </si>
  <si>
    <t>鉴于皮卡较低的攻击速度，她不适合攻击集群的敌军。超过15的野蛮人或弓箭手可以轻松将她拿下。另一方面也可以使用女巫或者亡灵反制。</t>
  </si>
  <si>
    <t>在联机模式中摧毁200门天鹰火炮</t>
  </si>
  <si>
    <t>W34</t>
  </si>
  <si>
    <t>骷髅陷阱可以吸引皮卡超人好几秒钟。</t>
  </si>
  <si>
    <t>在联机模式中摧毁2000门天鹰火炮</t>
  </si>
  <si>
    <t>W35</t>
  </si>
  <si>
    <t>如果主要目标是英雄，你可以在镜像电龙流派中将一条电龙替换成英雄猎手。这样同时也可以带更多的气球。</t>
  </si>
  <si>
    <t>W36</t>
  </si>
  <si>
    <t>因为英雄猎手可以跳墙，所以你可以把她们混编入主力一起作战。她们将会攻击英雄而不是干其他的事情。</t>
  </si>
  <si>
    <t>分享即关爱</t>
  </si>
  <si>
    <t>增援的法术容量达到100</t>
  </si>
  <si>
    <t>增援法术所占容量：&lt;value&gt;</t>
  </si>
  <si>
    <t>W37</t>
  </si>
  <si>
    <t>如果所有的英雄都被击倒，她们也可以毒援军，这会十分有用。</t>
  </si>
  <si>
    <t>增援的法术容量达到2000</t>
  </si>
  <si>
    <t>W38</t>
  </si>
  <si>
    <t>在天女滑步的时候混入一名英雄猎手可以得到极大的价值，由此可以省下对抗英雄用的毒药或者冰冻法术。</t>
  </si>
  <si>
    <t>增援的法术容量达到10000</t>
  </si>
  <si>
    <t>W39</t>
  </si>
  <si>
    <t>作为部落城堡的守军，英雄猎手能够很有效地攻击敌方英雄，包括两种模式下的咏王。即使没有英雄在场，她的毒药减速能力依然让她成为防守中有价值的单位。</t>
  </si>
  <si>
    <t>W40</t>
  </si>
  <si>
    <t>英雄猎手是抵御天女滑步的绝佳兵种。她们极高的攻击力和减速能力迫使女王开技能，即使有毒药法术的情况下。如果攻击者不能快速投放雷电或者冰冻，英雄猎手可以轻易拿下女王，即使带有技能。</t>
  </si>
  <si>
    <t>村庄守护者</t>
  </si>
  <si>
    <t>为您的村庄绑定一个社交账号，避免村庄丢失。</t>
  </si>
  <si>
    <t>已完成！</t>
  </si>
  <si>
    <t>W41</t>
  </si>
  <si>
    <t>让戈仑冰人承受所有的溅射伤害防御，然后在它的后面放脆皮。</t>
  </si>
  <si>
    <t>W42</t>
  </si>
  <si>
    <t>既然冰人自己所能造成的伤害非常低，那么在它的后面放高伤害单位如法师或者女巫是非常重要的。</t>
  </si>
  <si>
    <t>精英工程师</t>
  </si>
  <si>
    <t>将建筑大师大本营升至3级</t>
  </si>
  <si>
    <t>建筑大师大本营当前等级：&lt;value&gt;</t>
  </si>
  <si>
    <t>W43</t>
  </si>
  <si>
    <t>冰人可以反制单头地狱塔。当冰人被消灭后，它将会冻住地狱塔，使得其他单位能够拿下这座防御。</t>
  </si>
  <si>
    <t>将建筑大师大本营升至5级</t>
  </si>
  <si>
    <t>W44</t>
  </si>
  <si>
    <t>冰人可以作为高价值的坦克，尤其是配合英雄。因为它们可以冻住高伤害防御一段时间让英雄达到应有的效果。</t>
  </si>
  <si>
    <t>将建筑大师大本营升至8级</t>
  </si>
  <si>
    <t>W45</t>
  </si>
  <si>
    <t>戈仑冰人也可以作为城堡守军，不仅可以吸收大量的伤害，同时当它被消灭后也可以冻住敌军一段时间。让防御和其他守军对它们造成更多伤害。然而作为守军时范围和冰冻时长都会被削弱。</t>
  </si>
  <si>
    <t>W46</t>
  </si>
  <si>
    <t>蓝胖并没有很高的生命值，所以它在没有保护的情况下非常脆弱。确保它在有戈仑石人或者巨人这类坦克单位后面。</t>
  </si>
  <si>
    <t>全面进化</t>
  </si>
  <si>
    <t>在建筑大师训练营中解锁隐秘弓箭手</t>
  </si>
  <si>
    <t>W47</t>
  </si>
  <si>
    <t>使用大量的蓝胖是非常有力的策略，因为它们可以快速拿下大量的建筑。</t>
  </si>
  <si>
    <t>在建筑大师训练营中解锁加农炮战车</t>
  </si>
  <si>
    <t>W48</t>
  </si>
  <si>
    <t>蓝胖的弹射能力使其可以成为清边的绝佳单位。它的清边表现比法师更好，然而需要更多的空间。</t>
  </si>
  <si>
    <t>在建筑大师训练营中解锁超级皮卡</t>
  </si>
  <si>
    <t>W49</t>
  </si>
  <si>
    <t>天鹰火炮可以一次性对成群的蓝胖造成大量伤害。两发即可秒杀它们。</t>
  </si>
  <si>
    <t>W50</t>
  </si>
  <si>
    <t>分散你的防御建筑使得蓝胖无法一次攻击更多。</t>
  </si>
  <si>
    <t>奇袭大本营</t>
  </si>
  <si>
    <t>在对抗赛中摧毁5座建筑大师大本营</t>
  </si>
  <si>
    <t>总共摧毁建筑大师大本营：&lt;value&gt;</t>
  </si>
  <si>
    <t>W51</t>
  </si>
  <si>
    <t>把你的大本营从其他建筑分离开来，这样蓝胖无法通过攻击其他建筑砸到大本营。</t>
  </si>
  <si>
    <t>在对抗赛中摧毁100座建筑大师大本营</t>
  </si>
  <si>
    <t>W52</t>
  </si>
  <si>
    <t>熔岩猎犬有极高的生命值，它们很适合当坦克，尤其是空军的坦克。它们保护飞龙、亡灵、气球和飞龙宝宝，类似于戈仑石人保护法师和女巫。</t>
  </si>
  <si>
    <t>在对抗赛中摧毁2000座建筑大师大本营</t>
  </si>
  <si>
    <t>W53</t>
  </si>
  <si>
    <t>熔岩猎犬可以引开空中防御，阻止防空火箭摧毁成群的飞龙、气球兵、亡灵。</t>
  </si>
  <si>
    <t>W54</t>
  </si>
  <si>
    <t>确保熔岩猎犬避开能够轻易杀死它们的单头地狱塔。然而让小熔岩犬在地狱塔上引开单头塔一段时间也是有帮助的。也许使用冰冻法术冻住地狱之塔是一个不错的决定，其他部队将在地狱之塔消灭熔岩猎犬前拿下它。</t>
  </si>
  <si>
    <t>冠军建筑大师</t>
  </si>
  <si>
    <t>在对抗赛中达到200个奖杯</t>
  </si>
  <si>
    <t>对抗赛奖杯记录：&lt;value&gt;</t>
  </si>
  <si>
    <t>W55</t>
  </si>
  <si>
    <t>分散放置防空火箭是一个不错的选择。这将迫使进攻者将空军放到熔岩猎犬的后面以求保护，使空中炸弹和法师塔更加有效。</t>
  </si>
  <si>
    <t>在对抗赛中达到1000个奖杯</t>
  </si>
  <si>
    <t>W56</t>
  </si>
  <si>
    <t>搜空地雷可以对熔岩猎犬造成大量 伤害。</t>
  </si>
  <si>
    <t>在对抗赛中达到3000个奖杯</t>
  </si>
  <si>
    <t>W57</t>
  </si>
  <si>
    <t>确保最少有一个地狱之塔为单头模式，以更轻松地消灭熔岩猎犬。</t>
  </si>
  <si>
    <t>W58</t>
  </si>
  <si>
    <t>熔岩猎犬是很不错的部落城堡守军。大狗状态虽然几乎无法造成伤害，但可以吸收大量的攻击。并且爆开后的成群小狗也可以对攻击者造成大量伤害。</t>
  </si>
  <si>
    <t>改装专家</t>
  </si>
  <si>
    <t>使用建筑大师改装1个建筑</t>
  </si>
  <si>
    <t>总共改装建筑：&lt;value&gt;</t>
  </si>
  <si>
    <t>使用建筑大师改装2个建筑</t>
  </si>
  <si>
    <t>使用建筑大师改装3个建筑</t>
  </si>
  <si>
    <t>隐藏的宝藏</t>
  </si>
  <si>
    <t>重建宝石矿井</t>
  </si>
  <si>
    <t>重建时光钟楼</t>
  </si>
  <si>
    <t>重建战争机器</t>
  </si>
  <si>
    <t>竞赛冠军</t>
  </si>
  <si>
    <t>在部落竞赛中赢得10000积分</t>
  </si>
  <si>
    <t>在部落竞赛中累计赢得积分：&lt;value&gt;</t>
  </si>
  <si>
    <t>在部落竞赛中赢得50000积分</t>
  </si>
  <si>
    <t>在部落竞赛中赢得100000积分</t>
  </si>
  <si>
    <t>消灭更多哥布林！</t>
  </si>
  <si>
    <t>在单人模式地图上赢取175颗星</t>
  </si>
  <si>
    <t>在单人模式地图上赢取200颗星</t>
  </si>
  <si>
    <t>在单人模式地图上赢取225颗星</t>
  </si>
  <si>
    <t>屠龙勇士</t>
  </si>
  <si>
    <t>在单人模式关卡“龙穴历险”中击杀巨龙</t>
  </si>
  <si>
    <t>叱咤部落对战联赛</t>
  </si>
  <si>
    <t>在部落对战联赛中通过进攻为部落赢得20颗胜利之星</t>
  </si>
  <si>
    <t>在部落对战联赛中通过进攻为部落赢得的胜利之星总数：&lt;value&gt;</t>
  </si>
  <si>
    <t>在部落对战联赛中通过进攻为部落赢得100颗胜利之星</t>
  </si>
  <si>
    <t>在部落对战联赛中通过进攻为部落赢得250颗胜利之星</t>
  </si>
  <si>
    <t>将游戏绑定至Supercell ID以妥善保护您的游戏进度</t>
  </si>
  <si>
    <t>月度挑战达人</t>
  </si>
  <si>
    <t>在月度挑战中累计赢取5000积分</t>
  </si>
  <si>
    <t>总共赢取月度挑战积分：&lt;value&gt;</t>
  </si>
  <si>
    <t>在月度挑战中累计赢取15000积分</t>
  </si>
  <si>
    <t>在月度挑战中累计赢取50000积分</t>
  </si>
  <si>
    <t>碎石金刚</t>
  </si>
  <si>
    <t>在联机模式中摧毁40座投石炮</t>
  </si>
  <si>
    <t>总共摧毁投石炮：&lt;value&gt;</t>
  </si>
  <si>
    <t>在联机模式中摧毁400座投石炮</t>
  </si>
  <si>
    <t>在联机模式中摧毁4000座投石炮</t>
  </si>
  <si>
    <t>迎难而上</t>
  </si>
  <si>
    <t>在联机模式中摧毁10座配备武器的大本营</t>
  </si>
  <si>
    <t>总共摧毁配备武器的大本营：&lt;value&gt;</t>
  </si>
  <si>
    <t>在联机模式中摧毁100座配备武器的大本营</t>
  </si>
  <si>
    <t>在联机模式中摧毁2000座配备武器的大本营</t>
  </si>
  <si>
    <t>爆裂出击</t>
  </si>
  <si>
    <t>在联机模式中摧毁25个配备武器的建筑工人小屋</t>
  </si>
  <si>
    <t>总共摧毁配备武器的建筑工人小屋：&lt;value&gt;</t>
  </si>
  <si>
    <t>在联机模式中摧毁250个配备武器的建筑工人小屋</t>
  </si>
  <si>
    <t>在联机模式中摧毁2500个配备武器的建筑工人小屋</t>
  </si>
  <si>
    <t>超能出击</t>
  </si>
  <si>
    <t>启用超级部队20次</t>
  </si>
  <si>
    <t>启用超级部队的总次数：&lt;value&gt;</t>
  </si>
  <si>
    <t>启用超级部队100次</t>
  </si>
  <si>
    <t>启用超级部队250次</t>
  </si>
  <si>
    <t>攻城增援</t>
  </si>
  <si>
    <t>增援50台攻城机器</t>
  </si>
  <si>
    <t>总共增援攻城机器：&lt;value&gt;</t>
  </si>
  <si>
    <t>增援1000台攻城机器</t>
  </si>
  <si>
    <t>增援5000台攻城机器</t>
  </si>
  <si>
    <t>都城大发展</t>
  </si>
  <si>
    <t>在部落突袭中获得20000都城金币</t>
  </si>
  <si>
    <t>在部落突袭中获得250000都城金币</t>
  </si>
  <si>
    <t>在部落突袭中获得1000000都城金币</t>
  </si>
  <si>
    <t>最有价值部落成员</t>
  </si>
  <si>
    <t>贡献40000都城金币用于部落都城中的升级</t>
  </si>
  <si>
    <t>贡献500000都城金币用于部落都城中的升级</t>
  </si>
  <si>
    <t>贡献2000000金币用于部落都城中的升级</t>
  </si>
  <si>
    <t>消灭超多哥布林！</t>
  </si>
  <si>
    <t>在单人模式地图上赢取240颗星</t>
  </si>
  <si>
    <t>在单人模式地图上赢取255颗星</t>
  </si>
  <si>
    <t>在单人模式地图上赢取270颗星</t>
  </si>
  <si>
    <t>法术反制</t>
  </si>
  <si>
    <t>在联机模式中摧毁40座法术塔</t>
  </si>
  <si>
    <t>在联机模式中摧毁400座法术塔</t>
  </si>
  <si>
    <t>在联机模式中摧毁4000座法术塔</t>
  </si>
  <si>
    <t>巨石碑破坏达人</t>
  </si>
  <si>
    <t>在联机模式中摧毁20座擎天巨柱（巨石碑）</t>
  </si>
  <si>
    <t>在联机模式中摧毁200座擎天巨柱（巨石碑）</t>
  </si>
  <si>
    <t>在联机模式中摧毁2000座擎天巨柱（巨石碑）</t>
  </si>
  <si>
    <t>叛逆小孩</t>
  </si>
  <si>
    <t>在单人模式关卡“皮卡妈妈大暴走”中击败皮卡妈妈</t>
  </si>
  <si>
    <t>工作表名称：</t>
  </si>
  <si>
    <t>该表已满足自动自增的需求</t>
  </si>
  <si>
    <t>大本营实力查询</t>
  </si>
  <si>
    <r>
      <rPr>
        <sz val="11"/>
        <rFont val="等线"/>
        <charset val="134"/>
      </rPr>
      <t>都城实力查询&gt;</t>
    </r>
    <r>
      <rPr>
        <sz val="11"/>
        <rFont val="等线"/>
        <charset val="134"/>
      </rPr>
      <t>&gt;</t>
    </r>
  </si>
  <si>
    <t>竞赛历史</t>
  </si>
  <si>
    <t>语义分析引擎</t>
  </si>
  <si>
    <t>本模块经过了一些修改，与序幕的顺序统一，并且修改了等级与数量的规范 先两位等级后三位数量，中间下划线</t>
  </si>
  <si>
    <t>20%金币</t>
  </si>
  <si>
    <t>英雄药水*1</t>
  </si>
  <si>
    <t>30宝石</t>
  </si>
  <si>
    <t>高亮核心</t>
  </si>
  <si>
    <t>可用关键词</t>
  </si>
  <si>
    <t>已使用</t>
  </si>
  <si>
    <t>售卖表</t>
  </si>
  <si>
    <t>计算姬</t>
  </si>
  <si>
    <t>竞赛历史表</t>
  </si>
  <si>
    <t>用于储存所有的竞赛信息</t>
  </si>
  <si>
    <t>商人售卖计算器</t>
  </si>
  <si>
    <t>40*10</t>
  </si>
  <si>
    <t>null</t>
  </si>
  <si>
    <t>拆字位置</t>
  </si>
  <si>
    <t>40%圣水</t>
  </si>
  <si>
    <t>30%金币</t>
  </si>
  <si>
    <t>移位铲子*1</t>
  </si>
  <si>
    <t>资源消耗计算模组</t>
  </si>
  <si>
    <t>无</t>
  </si>
  <si>
    <t>建筑生命值</t>
  </si>
  <si>
    <t>地震数量</t>
  </si>
  <si>
    <t>需要雷电</t>
  </si>
  <si>
    <t>最优序列</t>
  </si>
  <si>
    <t>可行解</t>
  </si>
  <si>
    <t>值</t>
  </si>
  <si>
    <t>闪电数量</t>
  </si>
  <si>
    <t>参考生命值</t>
  </si>
  <si>
    <t>序号</t>
  </si>
  <si>
    <t>竞赛名字</t>
  </si>
  <si>
    <t>详细信息</t>
  </si>
  <si>
    <t>积分</t>
  </si>
  <si>
    <t>选择权重</t>
  </si>
  <si>
    <t>恢复费用</t>
  </si>
  <si>
    <t>禁用</t>
  </si>
  <si>
    <t>任务类型</t>
  </si>
  <si>
    <t>任务类型2</t>
  </si>
  <si>
    <t>都城之巅等级</t>
  </si>
  <si>
    <t>29*9</t>
  </si>
  <si>
    <t>拆字结果</t>
  </si>
  <si>
    <t>30%黑油</t>
  </si>
  <si>
    <t>资源药水*1</t>
  </si>
  <si>
    <t>60宝石</t>
  </si>
  <si>
    <t>在家乡和建筑大师基地中移除5个障碍物。</t>
  </si>
  <si>
    <t>累积</t>
  </si>
  <si>
    <t>中等</t>
  </si>
  <si>
    <t>项目名称</t>
  </si>
  <si>
    <t>宝石价值查询</t>
  </si>
  <si>
    <t>超链接</t>
  </si>
  <si>
    <t>表内位置</t>
  </si>
  <si>
    <t>表名</t>
  </si>
  <si>
    <t>匹配词1</t>
  </si>
  <si>
    <t>匹配词2</t>
  </si>
  <si>
    <t>匹配词3</t>
  </si>
  <si>
    <t>匹配词4</t>
  </si>
  <si>
    <t>匹配词5</t>
  </si>
  <si>
    <t>匹配词6</t>
  </si>
  <si>
    <t>匹配词7</t>
  </si>
  <si>
    <t>匹配词8</t>
  </si>
  <si>
    <t>匹配词9</t>
  </si>
  <si>
    <t>匹配词10</t>
  </si>
  <si>
    <t>匹配得分</t>
  </si>
  <si>
    <t>排行榜</t>
  </si>
  <si>
    <t>实际排行</t>
  </si>
  <si>
    <t>大本营等级</t>
  </si>
  <si>
    <t>50%金币</t>
  </si>
  <si>
    <t>移位铲子*2</t>
  </si>
  <si>
    <t>力量药水*1</t>
  </si>
  <si>
    <t>2.家乡黑油</t>
  </si>
  <si>
    <t>向部落成员增援总计3空间的法术。</t>
  </si>
  <si>
    <t>自增</t>
  </si>
  <si>
    <t>未找到目标</t>
  </si>
  <si>
    <t>无效</t>
  </si>
  <si>
    <t>法术之书*1</t>
  </si>
  <si>
    <t>英雄之书*1</t>
  </si>
  <si>
    <t>50%黑油</t>
  </si>
  <si>
    <t>3.夜本圣水/金币</t>
  </si>
  <si>
    <t>向部落成员增援总计45空间的部队。</t>
  </si>
  <si>
    <t>圣水符石*1</t>
  </si>
  <si>
    <t>战斗之书*1</t>
  </si>
  <si>
    <t>120宝石</t>
  </si>
  <si>
    <t>在对抗赛中摧毁30座建筑。</t>
  </si>
  <si>
    <t>02_002</t>
  </si>
  <si>
    <t>03_002</t>
  </si>
  <si>
    <t>04_002</t>
  </si>
  <si>
    <t>05_002</t>
  </si>
  <si>
    <t>06_003</t>
  </si>
  <si>
    <t>07_003</t>
  </si>
  <si>
    <t>08_005</t>
  </si>
  <si>
    <t>10_005</t>
  </si>
  <si>
    <t>11_005</t>
  </si>
  <si>
    <t>13_006</t>
  </si>
  <si>
    <t>15_007</t>
  </si>
  <si>
    <t>17_007</t>
  </si>
  <si>
    <t>19_007</t>
  </si>
  <si>
    <t>20_007</t>
  </si>
  <si>
    <t>21_007</t>
  </si>
  <si>
    <t>15%圣水</t>
  </si>
  <si>
    <t>钟楼药水*1</t>
  </si>
  <si>
    <t>训练药水*2</t>
  </si>
  <si>
    <t>造价翻译</t>
  </si>
  <si>
    <t>解析式号</t>
  </si>
  <si>
    <t>启用类型</t>
  </si>
  <si>
    <t>在对抗赛中摧毁60座建筑。</t>
  </si>
  <si>
    <t>气球环礁</t>
  </si>
  <si>
    <t>竞赛信息</t>
  </si>
  <si>
    <t>F149:M160</t>
  </si>
  <si>
    <t>2.1家乡主力军</t>
  </si>
  <si>
    <t>莱</t>
  </si>
  <si>
    <t>希</t>
  </si>
  <si>
    <t>蘳</t>
  </si>
  <si>
    <t>00_000</t>
  </si>
  <si>
    <t>02_001</t>
  </si>
  <si>
    <t>03_001</t>
  </si>
  <si>
    <t>08_004</t>
  </si>
  <si>
    <t>11_006</t>
  </si>
  <si>
    <t>13_007</t>
  </si>
  <si>
    <t>15_008</t>
  </si>
  <si>
    <t>17_008</t>
  </si>
  <si>
    <t>19_008</t>
  </si>
  <si>
    <t>20_008</t>
  </si>
  <si>
    <t>21_008</t>
  </si>
  <si>
    <t>20%黑油</t>
  </si>
  <si>
    <t>40宝石</t>
  </si>
  <si>
    <t>k</t>
  </si>
  <si>
    <t>在对抗赛中摧毁120座建筑。</t>
  </si>
  <si>
    <t>地震指示器</t>
  </si>
  <si>
    <t>300*8</t>
  </si>
  <si>
    <t>F85:L97</t>
  </si>
  <si>
    <t>家</t>
  </si>
  <si>
    <t>亡</t>
  </si>
  <si>
    <t>灵</t>
  </si>
  <si>
    <t>苍</t>
  </si>
  <si>
    <t>蝇</t>
  </si>
  <si>
    <t>02_025</t>
  </si>
  <si>
    <t>03_050</t>
  </si>
  <si>
    <t>04_075</t>
  </si>
  <si>
    <t>05_100</t>
  </si>
  <si>
    <t>06_125</t>
  </si>
  <si>
    <t>07_175</t>
  </si>
  <si>
    <t>08_225</t>
  </si>
  <si>
    <t>10_250</t>
  </si>
  <si>
    <t>11_275</t>
  </si>
  <si>
    <t>12_300</t>
  </si>
  <si>
    <t>13_300</t>
  </si>
  <si>
    <t>14_300</t>
  </si>
  <si>
    <t>15_325</t>
  </si>
  <si>
    <t>16_200</t>
  </si>
  <si>
    <t>竞赛时长</t>
  </si>
  <si>
    <t>特殊加成1</t>
  </si>
  <si>
    <t>指针</t>
  </si>
  <si>
    <t>50%圣水</t>
  </si>
  <si>
    <t>壁垒之戒*4</t>
  </si>
  <si>
    <t>b</t>
  </si>
  <si>
    <t>最优解</t>
  </si>
  <si>
    <t>在对抗赛中摧毁50块城墙。</t>
  </si>
  <si>
    <t>F5:L16</t>
  </si>
  <si>
    <t>野</t>
  </si>
  <si>
    <t>蛮</t>
  </si>
  <si>
    <t>人</t>
  </si>
  <si>
    <t>黄</t>
  </si>
  <si>
    <t>毛</t>
  </si>
  <si>
    <t>01_001</t>
  </si>
  <si>
    <t>05_003</t>
  </si>
  <si>
    <t>06_004</t>
  </si>
  <si>
    <t>07_004</t>
  </si>
  <si>
    <t>10_004</t>
  </si>
  <si>
    <t>12_004</t>
  </si>
  <si>
    <t>13_004</t>
  </si>
  <si>
    <t>14_004</t>
  </si>
  <si>
    <t>15_004</t>
  </si>
  <si>
    <r>
      <rPr>
        <sz val="11"/>
        <rFont val="等线"/>
        <charset val="134"/>
      </rPr>
      <t>A</t>
    </r>
    <r>
      <rPr>
        <sz val="11"/>
        <rFont val="等线"/>
        <charset val="134"/>
      </rPr>
      <t>X485:BB491</t>
    </r>
  </si>
  <si>
    <t>力量药水*2</t>
  </si>
  <si>
    <t>工人药水*1</t>
  </si>
  <si>
    <t>公式编号</t>
  </si>
  <si>
    <t>在对抗赛中摧毁100块城墙。</t>
  </si>
  <si>
    <t>AO5:BB91</t>
  </si>
  <si>
    <t>之</t>
  </si>
  <si>
    <t>王</t>
  </si>
  <si>
    <t>男</t>
  </si>
  <si>
    <t>09_004</t>
  </si>
  <si>
    <t>11_004</t>
  </si>
  <si>
    <t>AX479:BB484</t>
  </si>
  <si>
    <t>工人药水*2</t>
  </si>
  <si>
    <t>输出：</t>
  </si>
  <si>
    <t>在对抗赛中摧毁200块城墙。</t>
  </si>
  <si>
    <t>O149:W161</t>
  </si>
  <si>
    <t>大</t>
  </si>
  <si>
    <t>牦</t>
  </si>
  <si>
    <t>13_005</t>
  </si>
  <si>
    <t>14_005</t>
  </si>
  <si>
    <t>15_005</t>
  </si>
  <si>
    <r>
      <rPr>
        <sz val="11"/>
        <rFont val="等线"/>
        <charset val="134"/>
      </rPr>
      <t>AX473</t>
    </r>
    <r>
      <rPr>
        <sz val="11"/>
        <rFont val="等线"/>
        <charset val="134"/>
      </rPr>
      <t>:BB4</t>
    </r>
    <r>
      <rPr>
        <sz val="11"/>
        <rFont val="等线"/>
        <charset val="134"/>
      </rPr>
      <t>78</t>
    </r>
  </si>
  <si>
    <t>建筑之书*1</t>
  </si>
  <si>
    <t>金币符石*1</t>
  </si>
  <si>
    <t>在对抗赛中达到总计80%的摧毁率。</t>
  </si>
  <si>
    <t>BD5:BQ91</t>
  </si>
  <si>
    <t>弓</t>
  </si>
  <si>
    <t>箭</t>
  </si>
  <si>
    <t>女</t>
  </si>
  <si>
    <t>皇</t>
  </si>
  <si>
    <t>04_001</t>
  </si>
  <si>
    <t>06_002</t>
  </si>
  <si>
    <t>07_002</t>
  </si>
  <si>
    <r>
      <rPr>
        <sz val="11"/>
        <rFont val="等线"/>
        <charset val="134"/>
      </rPr>
      <t>AX467</t>
    </r>
    <r>
      <rPr>
        <sz val="11"/>
        <rFont val="等线"/>
        <charset val="134"/>
      </rPr>
      <t>:BB4</t>
    </r>
    <r>
      <rPr>
        <sz val="11"/>
        <rFont val="等线"/>
        <charset val="134"/>
      </rPr>
      <t>72</t>
    </r>
  </si>
  <si>
    <t>20%圣水</t>
  </si>
  <si>
    <t>20宝石</t>
  </si>
  <si>
    <t>在对抗赛中达到总计150%的摧毁率。</t>
  </si>
  <si>
    <t>01_080</t>
  </si>
  <si>
    <t>01_120</t>
  </si>
  <si>
    <t>02_160</t>
  </si>
  <si>
    <t>02_180</t>
  </si>
  <si>
    <t>03_200</t>
  </si>
  <si>
    <t>03_220</t>
  </si>
  <si>
    <t>04_240</t>
  </si>
  <si>
    <t>04_260</t>
  </si>
  <si>
    <t>05_280</t>
  </si>
  <si>
    <t>P4:V16</t>
  </si>
  <si>
    <t>手</t>
  </si>
  <si>
    <t>12_005</t>
  </si>
  <si>
    <r>
      <rPr>
        <sz val="11"/>
        <rFont val="等线"/>
        <charset val="134"/>
      </rPr>
      <t>AX460</t>
    </r>
    <r>
      <rPr>
        <sz val="11"/>
        <rFont val="等线"/>
        <charset val="134"/>
      </rPr>
      <t>:BB4</t>
    </r>
    <r>
      <rPr>
        <sz val="11"/>
        <rFont val="等线"/>
        <charset val="134"/>
      </rPr>
      <t>66</t>
    </r>
  </si>
  <si>
    <t>壁垒之戒*3</t>
  </si>
  <si>
    <t>在对抗赛中达到总计300%的摧毁率。</t>
  </si>
  <si>
    <t>01_004</t>
  </si>
  <si>
    <t>02_004</t>
  </si>
  <si>
    <t>03_004</t>
  </si>
  <si>
    <t>04_005</t>
  </si>
  <si>
    <t>04_006</t>
  </si>
  <si>
    <t>05_006</t>
  </si>
  <si>
    <t>P85:V97</t>
  </si>
  <si>
    <t>猪</t>
  </si>
  <si>
    <t>骑</t>
  </si>
  <si>
    <t>士</t>
  </si>
  <si>
    <t>08_002</t>
  </si>
  <si>
    <t>09_002</t>
  </si>
  <si>
    <t>10_002</t>
  </si>
  <si>
    <r>
      <rPr>
        <sz val="11"/>
        <rFont val="等线"/>
        <charset val="134"/>
      </rPr>
      <t>AX4</t>
    </r>
    <r>
      <rPr>
        <sz val="11"/>
        <rFont val="等线"/>
        <charset val="134"/>
      </rPr>
      <t>54</t>
    </r>
    <r>
      <rPr>
        <sz val="11"/>
        <rFont val="等线"/>
        <charset val="134"/>
      </rPr>
      <t>:BB4</t>
    </r>
    <r>
      <rPr>
        <sz val="11"/>
        <rFont val="等线"/>
        <charset val="134"/>
      </rPr>
      <t>59</t>
    </r>
  </si>
  <si>
    <t>40%黑油</t>
  </si>
  <si>
    <t>40%金币</t>
  </si>
  <si>
    <t>分钟</t>
  </si>
  <si>
    <t>金矿/圣水泵</t>
  </si>
  <si>
    <t>在对抗赛中赢得2颗胜利之星。</t>
  </si>
  <si>
    <t>AO98:BA160</t>
  </si>
  <si>
    <t>守</t>
  </si>
  <si>
    <t>护</t>
  </si>
  <si>
    <t>者</t>
  </si>
  <si>
    <t>永</t>
  </si>
  <si>
    <t>咏</t>
  </si>
  <si>
    <t>04_003</t>
  </si>
  <si>
    <t>05_004</t>
  </si>
  <si>
    <r>
      <rPr>
        <sz val="11"/>
        <rFont val="等线"/>
        <charset val="134"/>
      </rPr>
      <t>AX44</t>
    </r>
    <r>
      <rPr>
        <sz val="11"/>
        <rFont val="等线"/>
        <charset val="134"/>
      </rPr>
      <t>8</t>
    </r>
    <r>
      <rPr>
        <sz val="11"/>
        <rFont val="等线"/>
        <charset val="134"/>
      </rPr>
      <t>:BB4</t>
    </r>
    <r>
      <rPr>
        <sz val="11"/>
        <rFont val="等线"/>
        <charset val="134"/>
      </rPr>
      <t>53</t>
    </r>
  </si>
  <si>
    <t>在对抗赛中赢得4颗胜利之星。</t>
  </si>
  <si>
    <r>
      <rPr>
        <sz val="11"/>
        <rFont val="等线"/>
        <charset val="134"/>
      </rPr>
      <t>0</t>
    </r>
    <r>
      <rPr>
        <sz val="11"/>
        <rFont val="等线"/>
        <charset val="134"/>
      </rPr>
      <t>4</t>
    </r>
    <r>
      <rPr>
        <sz val="11"/>
        <rFont val="等线"/>
        <charset val="134"/>
      </rPr>
      <t>_004</t>
    </r>
  </si>
  <si>
    <r>
      <rPr>
        <sz val="11"/>
        <rFont val="等线"/>
        <charset val="134"/>
      </rPr>
      <t>0</t>
    </r>
    <r>
      <rPr>
        <sz val="11"/>
        <rFont val="等线"/>
        <charset val="134"/>
      </rPr>
      <t>5</t>
    </r>
    <r>
      <rPr>
        <sz val="11"/>
        <rFont val="等线"/>
        <charset val="134"/>
      </rPr>
      <t>_004</t>
    </r>
  </si>
  <si>
    <t>Z4:AG16</t>
  </si>
  <si>
    <t>巨</t>
  </si>
  <si>
    <t>胖</t>
  </si>
  <si>
    <t>子</t>
  </si>
  <si>
    <t>08_003</t>
  </si>
  <si>
    <t>09_003</t>
  </si>
  <si>
    <r>
      <rPr>
        <sz val="11"/>
        <rFont val="等线"/>
        <charset val="134"/>
      </rPr>
      <t>AX4</t>
    </r>
    <r>
      <rPr>
        <sz val="11"/>
        <rFont val="等线"/>
        <charset val="134"/>
      </rPr>
      <t>42</t>
    </r>
    <r>
      <rPr>
        <sz val="11"/>
        <rFont val="等线"/>
        <charset val="134"/>
      </rPr>
      <t>:BB44</t>
    </r>
    <r>
      <rPr>
        <sz val="11"/>
        <rFont val="等线"/>
        <charset val="134"/>
      </rPr>
      <t>7</t>
    </r>
  </si>
  <si>
    <t>80%圣水</t>
  </si>
  <si>
    <t>壁垒之戒*5</t>
  </si>
  <si>
    <t>时间消耗计算模组</t>
  </si>
  <si>
    <t>精确到秒</t>
  </si>
  <si>
    <t>在对抗赛中赢得8颗胜利之星。</t>
  </si>
  <si>
    <t>F162:M174</t>
  </si>
  <si>
    <t>闪</t>
  </si>
  <si>
    <t>枭</t>
  </si>
  <si>
    <t>05_001</t>
  </si>
  <si>
    <r>
      <rPr>
        <sz val="11"/>
        <rFont val="等线"/>
        <charset val="134"/>
      </rPr>
      <t>AX43</t>
    </r>
    <r>
      <rPr>
        <sz val="11"/>
        <rFont val="等线"/>
        <charset val="134"/>
      </rPr>
      <t>6</t>
    </r>
    <r>
      <rPr>
        <sz val="11"/>
        <rFont val="等线"/>
        <charset val="134"/>
      </rPr>
      <t>:BB4</t>
    </r>
    <r>
      <rPr>
        <sz val="11"/>
        <rFont val="等线"/>
        <charset val="134"/>
      </rPr>
      <t>41</t>
    </r>
  </si>
  <si>
    <t>黑油符石*1</t>
  </si>
  <si>
    <t>壁垒之戒*15</t>
  </si>
  <si>
    <t>80%金币</t>
  </si>
  <si>
    <t>在联机模式中摧毁75座建筑。</t>
  </si>
  <si>
    <t>Z85:AG95</t>
  </si>
  <si>
    <t>武</t>
  </si>
  <si>
    <t>神</t>
  </si>
  <si>
    <t>瓦</t>
  </si>
  <si>
    <t>丽</t>
  </si>
  <si>
    <r>
      <rPr>
        <sz val="11"/>
        <rFont val="等线"/>
        <charset val="134"/>
      </rPr>
      <t>AX4</t>
    </r>
    <r>
      <rPr>
        <sz val="11"/>
        <rFont val="等线"/>
        <charset val="134"/>
      </rPr>
      <t>30</t>
    </r>
    <r>
      <rPr>
        <sz val="11"/>
        <rFont val="等线"/>
        <charset val="134"/>
      </rPr>
      <t>:BB4</t>
    </r>
    <r>
      <rPr>
        <sz val="11"/>
        <rFont val="等线"/>
        <charset val="134"/>
      </rPr>
      <t>35</t>
    </r>
  </si>
  <si>
    <t>训练药水*3</t>
  </si>
  <si>
    <t>2.夜本建筑</t>
  </si>
  <si>
    <t>在联机模式中摧毁150座建筑。</t>
  </si>
  <si>
    <t>O162:u174</t>
  </si>
  <si>
    <t>独</t>
  </si>
  <si>
    <t>角</t>
  </si>
  <si>
    <t>连弩小屋</t>
  </si>
  <si>
    <t>01_005</t>
  </si>
  <si>
    <r>
      <rPr>
        <sz val="11"/>
        <rFont val="等线"/>
        <charset val="134"/>
      </rPr>
      <t>AX4</t>
    </r>
    <r>
      <rPr>
        <sz val="11"/>
        <rFont val="等线"/>
        <charset val="134"/>
      </rPr>
      <t>24</t>
    </r>
    <r>
      <rPr>
        <sz val="11"/>
        <rFont val="等线"/>
        <charset val="134"/>
      </rPr>
      <t>:BB42</t>
    </r>
    <r>
      <rPr>
        <sz val="11"/>
        <rFont val="等线"/>
        <charset val="134"/>
      </rPr>
      <t>9</t>
    </r>
  </si>
  <si>
    <t>钟楼药水*3</t>
  </si>
  <si>
    <t>30%圣水</t>
  </si>
  <si>
    <t>3.日夜军队/法术</t>
  </si>
  <si>
    <t>狙击塔</t>
  </si>
  <si>
    <t>在联机模式中摧毁300座建筑。</t>
  </si>
  <si>
    <t>BD98:BP136</t>
  </si>
  <si>
    <t>飞</t>
  </si>
  <si>
    <t>盾</t>
  </si>
  <si>
    <t>战</t>
  </si>
  <si>
    <t>闰</t>
  </si>
  <si>
    <t>土</t>
  </si>
  <si>
    <r>
      <rPr>
        <sz val="11"/>
        <rFont val="等线"/>
        <charset val="134"/>
      </rPr>
      <t>AX418</t>
    </r>
    <r>
      <rPr>
        <sz val="11"/>
        <rFont val="等线"/>
        <charset val="134"/>
      </rPr>
      <t>:BB4</t>
    </r>
    <r>
      <rPr>
        <sz val="11"/>
        <rFont val="等线"/>
        <charset val="134"/>
      </rPr>
      <t>23</t>
    </r>
  </si>
  <si>
    <t>力量药水*3</t>
  </si>
  <si>
    <t>4.日夜英雄</t>
  </si>
  <si>
    <t>叛军营地</t>
  </si>
  <si>
    <t>在联机模式中摧毁25块城墙。</t>
  </si>
  <si>
    <t>F98:N110</t>
  </si>
  <si>
    <t>戈</t>
  </si>
  <si>
    <t>仑</t>
  </si>
  <si>
    <t>石</t>
  </si>
  <si>
    <t>头</t>
  </si>
  <si>
    <r>
      <rPr>
        <sz val="11"/>
        <rFont val="等线"/>
        <charset val="134"/>
      </rPr>
      <t>AX4</t>
    </r>
    <r>
      <rPr>
        <sz val="11"/>
        <rFont val="等线"/>
        <charset val="134"/>
      </rPr>
      <t>11</t>
    </r>
    <r>
      <rPr>
        <sz val="11"/>
        <rFont val="等线"/>
        <charset val="134"/>
      </rPr>
      <t>:BB41</t>
    </r>
    <r>
      <rPr>
        <sz val="11"/>
        <rFont val="等线"/>
        <charset val="134"/>
      </rPr>
      <t>7</t>
    </r>
  </si>
  <si>
    <t>英雄药水*3</t>
  </si>
  <si>
    <t>5.请求增援</t>
  </si>
  <si>
    <t>免费</t>
  </si>
  <si>
    <t>目标靶</t>
  </si>
  <si>
    <t>在联机模式中摧毁50块城墙。</t>
  </si>
  <si>
    <t>01_002</t>
  </si>
  <si>
    <t>03_006</t>
  </si>
  <si>
    <t>03_008</t>
  </si>
  <si>
    <t>04_008</t>
  </si>
  <si>
    <t>05_008</t>
  </si>
  <si>
    <t>F18:M27</t>
  </si>
  <si>
    <t>哥</t>
  </si>
  <si>
    <t>布</t>
  </si>
  <si>
    <t>林</t>
  </si>
  <si>
    <t>绿</t>
  </si>
  <si>
    <t>皮</t>
  </si>
  <si>
    <t>大本防御</t>
  </si>
  <si>
    <t>AX405:BB410</t>
  </si>
  <si>
    <t>资源药水*3</t>
  </si>
  <si>
    <t>工人药水*3</t>
  </si>
  <si>
    <t>壁垒之戒*10</t>
  </si>
  <si>
    <t>6.钟楼冷却</t>
  </si>
  <si>
    <t>在联机模式中摧毁100块城墙。</t>
  </si>
  <si>
    <t>P98:X108</t>
  </si>
  <si>
    <t>巫</t>
  </si>
  <si>
    <t>召</t>
  </si>
  <si>
    <t>骷</t>
  </si>
  <si>
    <r>
      <rPr>
        <sz val="11"/>
        <rFont val="等线"/>
        <charset val="134"/>
      </rPr>
      <t>00_00</t>
    </r>
    <r>
      <rPr>
        <sz val="11"/>
        <rFont val="等线"/>
        <charset val="134"/>
      </rPr>
      <t>0</t>
    </r>
  </si>
  <si>
    <t>AX399:BB404</t>
  </si>
  <si>
    <t>在联机模式中达到总计80%的摧毁率。</t>
  </si>
  <si>
    <t>P20:X32</t>
  </si>
  <si>
    <t>炸</t>
  </si>
  <si>
    <t>弹</t>
  </si>
  <si>
    <t>随机任务积分*2</t>
  </si>
  <si>
    <t>AX393:BB398</t>
  </si>
  <si>
    <t>时间翻译</t>
  </si>
  <si>
    <t>在联机模式中达到总计150%的摧毁率。</t>
  </si>
  <si>
    <t>Z18:AH29</t>
  </si>
  <si>
    <t>气</t>
  </si>
  <si>
    <t>球</t>
  </si>
  <si>
    <t>兵</t>
  </si>
  <si>
    <r>
      <rPr>
        <sz val="11"/>
        <rFont val="等线"/>
        <charset val="134"/>
      </rPr>
      <t>1</t>
    </r>
    <r>
      <rPr>
        <sz val="11"/>
        <rFont val="等线"/>
        <charset val="134"/>
      </rPr>
      <t>5本巨型地狱之塔</t>
    </r>
  </si>
  <si>
    <t>AX386:BB392</t>
  </si>
  <si>
    <t>在联机模式中达到总计300%的摧毁率。</t>
  </si>
  <si>
    <t>Z98:AI108</t>
  </si>
  <si>
    <t>熔</t>
  </si>
  <si>
    <t>岩</t>
  </si>
  <si>
    <t>猎</t>
  </si>
  <si>
    <t>犬</t>
  </si>
  <si>
    <t>裂</t>
  </si>
  <si>
    <t>AX380:BB385</t>
  </si>
  <si>
    <t>在联机模式中赢得总计3颗胜利之星。</t>
  </si>
  <si>
    <t>F31:M43</t>
  </si>
  <si>
    <t>法</t>
  </si>
  <si>
    <t>师</t>
  </si>
  <si>
    <t>06_006</t>
  </si>
  <si>
    <t>07_006</t>
  </si>
  <si>
    <t>08_006</t>
  </si>
  <si>
    <t>09_007</t>
  </si>
  <si>
    <t>10_008</t>
  </si>
  <si>
    <t>11_008</t>
  </si>
  <si>
    <t>AX374:BB379</t>
  </si>
  <si>
    <t>在联机模式中赢得总计6颗胜利之星。</t>
  </si>
  <si>
    <t>F127:M137</t>
  </si>
  <si>
    <t>投</t>
  </si>
  <si>
    <t>蓝</t>
  </si>
  <si>
    <t>04_004</t>
  </si>
  <si>
    <t>05_005</t>
  </si>
  <si>
    <t>10_007</t>
  </si>
  <si>
    <t>AX368:BB373</t>
  </si>
  <si>
    <t>在联机模式中赢得总计10颗胜利之星。</t>
  </si>
  <si>
    <t>P127:X137</t>
  </si>
  <si>
    <t>冰</t>
  </si>
  <si>
    <t>雪</t>
  </si>
  <si>
    <t>03_005</t>
  </si>
  <si>
    <t>04_007</t>
  </si>
  <si>
    <r>
      <rPr>
        <sz val="11"/>
        <rFont val="等线"/>
        <charset val="134"/>
      </rPr>
      <t>04_00</t>
    </r>
    <r>
      <rPr>
        <sz val="11"/>
        <rFont val="等线"/>
        <charset val="134"/>
      </rPr>
      <t>8</t>
    </r>
  </si>
  <si>
    <t>AX362:BB367</t>
  </si>
  <si>
    <t>资源药水*5</t>
  </si>
  <si>
    <t>在对抗赛前60秒内累计赢得3颗胜利之星。</t>
  </si>
  <si>
    <t>P34:W44</t>
  </si>
  <si>
    <t>使</t>
  </si>
  <si>
    <t>恢</t>
  </si>
  <si>
    <t>复</t>
  </si>
  <si>
    <t>05_009</t>
  </si>
  <si>
    <t>AX356:BB361</t>
  </si>
  <si>
    <t>在联机模式战斗前60秒内累计赢得3颗胜利之星。</t>
  </si>
  <si>
    <t>Z31:AG41</t>
  </si>
  <si>
    <t>龙</t>
  </si>
  <si>
    <t>03_003</t>
  </si>
  <si>
    <t>08_007</t>
  </si>
  <si>
    <t>AX233:BB238</t>
  </si>
  <si>
    <t>在联机模式中不使用英雄，并赢得3颗胜利之星。</t>
  </si>
  <si>
    <t>Z127:AI137</t>
  </si>
  <si>
    <t>英</t>
  </si>
  <si>
    <t>雄</t>
  </si>
  <si>
    <r>
      <rPr>
        <sz val="11"/>
        <rFont val="等线"/>
        <charset val="134"/>
      </rPr>
      <t>04_00</t>
    </r>
    <r>
      <rPr>
        <sz val="11"/>
        <rFont val="等线"/>
        <charset val="134"/>
      </rPr>
      <t>4</t>
    </r>
  </si>
  <si>
    <t>AX227:BB232</t>
  </si>
  <si>
    <t>在联机模式中不使用法术，并赢得3颗胜利之星。</t>
  </si>
  <si>
    <t>F44:M54</t>
  </si>
  <si>
    <t>卡</t>
  </si>
  <si>
    <t>超</t>
  </si>
  <si>
    <t>AX221:BB226</t>
  </si>
  <si>
    <t>在联机模式中进攻大本营等级高于自己的村庄，并赢得3颗胜利之星。</t>
  </si>
  <si>
    <t>02_006</t>
  </si>
  <si>
    <t>P47:W58</t>
  </si>
  <si>
    <t>宝</t>
  </si>
  <si>
    <t>小</t>
  </si>
  <si>
    <t>AX215:BB220</t>
  </si>
  <si>
    <t>在联机模式中进攻10级大本营村庄，并赢得3颗胜利之星。</t>
  </si>
  <si>
    <t>02_005</t>
  </si>
  <si>
    <t>03_007</t>
  </si>
  <si>
    <t>04_009</t>
  </si>
  <si>
    <t>04_010</t>
  </si>
  <si>
    <t>05_011</t>
  </si>
  <si>
    <t>05_012</t>
  </si>
  <si>
    <t>Z44:AG56</t>
  </si>
  <si>
    <t>掘</t>
  </si>
  <si>
    <t>地</t>
  </si>
  <si>
    <t>矿</t>
  </si>
  <si>
    <t>工</t>
  </si>
  <si>
    <t>鼠</t>
  </si>
  <si>
    <t>06_001</t>
  </si>
  <si>
    <t>07_001</t>
  </si>
  <si>
    <t>08_001</t>
  </si>
  <si>
    <t>09_001</t>
  </si>
  <si>
    <t>10_001</t>
  </si>
  <si>
    <t>11_001</t>
  </si>
  <si>
    <t>12_001</t>
  </si>
  <si>
    <t>13_001</t>
  </si>
  <si>
    <t>14_001</t>
  </si>
  <si>
    <t>15_001</t>
  </si>
  <si>
    <t>AX209:BB214</t>
  </si>
  <si>
    <t>80%黑油</t>
  </si>
  <si>
    <t>在联机模式中进攻11级大本营村庄，并赢得3颗胜利之星。</t>
  </si>
  <si>
    <t>F56:N66</t>
  </si>
  <si>
    <t>雷</t>
  </si>
  <si>
    <t>电</t>
  </si>
  <si>
    <t>链</t>
  </si>
  <si>
    <t>连</t>
  </si>
  <si>
    <t>锁</t>
  </si>
  <si>
    <t>AX203:BB208</t>
  </si>
  <si>
    <t>在联机模式中进攻12级大本营村庄，并赢得3颗胜利之星。</t>
  </si>
  <si>
    <t>P59:W69</t>
  </si>
  <si>
    <t>怪</t>
  </si>
  <si>
    <r>
      <rPr>
        <sz val="11"/>
        <rFont val="等线"/>
        <charset val="134"/>
      </rPr>
      <t>01_00</t>
    </r>
    <r>
      <rPr>
        <sz val="11"/>
        <rFont val="等线"/>
        <charset val="134"/>
      </rPr>
      <t>1</t>
    </r>
  </si>
  <si>
    <t>AX196:BB202</t>
  </si>
  <si>
    <t>在联机模式中进攻13级大本营村庄，并赢得3颗胜利之星。</t>
  </si>
  <si>
    <t>F69:N79</t>
  </si>
  <si>
    <r>
      <rPr>
        <sz val="11"/>
        <rFont val="等线"/>
        <charset val="134"/>
      </rPr>
      <t>04_00</t>
    </r>
    <r>
      <rPr>
        <sz val="11"/>
        <rFont val="等线"/>
        <charset val="134"/>
      </rPr>
      <t>1</t>
    </r>
  </si>
  <si>
    <r>
      <rPr>
        <sz val="11"/>
        <rFont val="等线"/>
        <charset val="134"/>
      </rPr>
      <t>05_00</t>
    </r>
    <r>
      <rPr>
        <sz val="11"/>
        <rFont val="等线"/>
        <charset val="134"/>
      </rPr>
      <t>1</t>
    </r>
  </si>
  <si>
    <r>
      <rPr>
        <sz val="11"/>
        <rFont val="等线"/>
        <charset val="134"/>
      </rPr>
      <t>06_00</t>
    </r>
    <r>
      <rPr>
        <sz val="11"/>
        <rFont val="等线"/>
        <charset val="134"/>
      </rPr>
      <t>1</t>
    </r>
  </si>
  <si>
    <r>
      <rPr>
        <sz val="11"/>
        <rFont val="等线"/>
        <charset val="134"/>
      </rPr>
      <t>07_00</t>
    </r>
    <r>
      <rPr>
        <sz val="11"/>
        <rFont val="等线"/>
        <charset val="134"/>
      </rPr>
      <t>1</t>
    </r>
  </si>
  <si>
    <r>
      <rPr>
        <sz val="11"/>
        <rFont val="等线"/>
        <charset val="134"/>
      </rPr>
      <t>08_00</t>
    </r>
    <r>
      <rPr>
        <sz val="11"/>
        <rFont val="等线"/>
        <charset val="134"/>
      </rPr>
      <t>1</t>
    </r>
  </si>
  <si>
    <r>
      <rPr>
        <sz val="11"/>
        <rFont val="等线"/>
        <charset val="134"/>
      </rPr>
      <t>09_00</t>
    </r>
    <r>
      <rPr>
        <sz val="11"/>
        <rFont val="等线"/>
        <charset val="134"/>
      </rPr>
      <t>1</t>
    </r>
  </si>
  <si>
    <r>
      <rPr>
        <sz val="11"/>
        <rFont val="等线"/>
        <charset val="134"/>
      </rPr>
      <t>10_00</t>
    </r>
    <r>
      <rPr>
        <sz val="11"/>
        <rFont val="等线"/>
        <charset val="134"/>
      </rPr>
      <t>1</t>
    </r>
  </si>
  <si>
    <r>
      <rPr>
        <sz val="11"/>
        <rFont val="等线"/>
        <charset val="134"/>
      </rPr>
      <t>11_00</t>
    </r>
    <r>
      <rPr>
        <sz val="11"/>
        <rFont val="等线"/>
        <charset val="134"/>
      </rPr>
      <t>1</t>
    </r>
  </si>
  <si>
    <r>
      <rPr>
        <sz val="11"/>
        <rFont val="等线"/>
        <charset val="134"/>
      </rPr>
      <t>12_00</t>
    </r>
    <r>
      <rPr>
        <sz val="11"/>
        <rFont val="等线"/>
        <charset val="134"/>
      </rPr>
      <t>1</t>
    </r>
  </si>
  <si>
    <r>
      <rPr>
        <sz val="11"/>
        <rFont val="等线"/>
        <charset val="134"/>
      </rPr>
      <t>13_00</t>
    </r>
    <r>
      <rPr>
        <sz val="11"/>
        <rFont val="等线"/>
        <charset val="134"/>
      </rPr>
      <t>1</t>
    </r>
  </si>
  <si>
    <r>
      <rPr>
        <sz val="11"/>
        <rFont val="等线"/>
        <charset val="134"/>
      </rPr>
      <t>14_00</t>
    </r>
    <r>
      <rPr>
        <sz val="11"/>
        <rFont val="等线"/>
        <charset val="134"/>
      </rPr>
      <t>1</t>
    </r>
  </si>
  <si>
    <r>
      <rPr>
        <sz val="11"/>
        <rFont val="等线"/>
        <charset val="134"/>
      </rPr>
      <t>15_00</t>
    </r>
    <r>
      <rPr>
        <sz val="11"/>
        <rFont val="等线"/>
        <charset val="134"/>
      </rPr>
      <t>1</t>
    </r>
  </si>
  <si>
    <t>16_001</t>
  </si>
  <si>
    <t>AX190:BB195</t>
  </si>
  <si>
    <t>AD103:AJ115</t>
  </si>
  <si>
    <t>2.2家乡支援军</t>
  </si>
  <si>
    <t>火</t>
  </si>
  <si>
    <t>AX184:BB189</t>
  </si>
  <si>
    <t>壁垒之戒*8</t>
  </si>
  <si>
    <t>拥有宝石</t>
  </si>
  <si>
    <t>在联机模式中进攻6级大本营村庄，并赢得3颗胜利之星。</t>
  </si>
  <si>
    <t>AX75:BC85</t>
  </si>
  <si>
    <t>级</t>
  </si>
  <si>
    <t>马</t>
  </si>
  <si>
    <t>云</t>
  </si>
  <si>
    <t>AX178:BB183</t>
  </si>
  <si>
    <t>在联机模式中进攻7级大本营村庄，并赢得3颗胜利之星。</t>
  </si>
  <si>
    <t>AN89:AU100</t>
  </si>
  <si>
    <t>寒</t>
  </si>
  <si>
    <t>AX172:BB177</t>
  </si>
  <si>
    <t>夜金符石*1</t>
  </si>
  <si>
    <t>夜水符石*1</t>
  </si>
  <si>
    <t>在联机模式中进攻8级大本营村庄，并赢得3颗胜利之星。</t>
  </si>
  <si>
    <t>AD13:AL21</t>
  </si>
  <si>
    <t>攻</t>
  </si>
  <si>
    <t>城</t>
  </si>
  <si>
    <t>AX166:BB171</t>
  </si>
  <si>
    <t>在联机模式中进攻9级大本营村庄，并赢得3颗胜利之星。</t>
  </si>
  <si>
    <t>01_050</t>
  </si>
  <si>
    <t>02_100</t>
  </si>
  <si>
    <t>03_140</t>
  </si>
  <si>
    <t>04_180</t>
  </si>
  <si>
    <t>05_200</t>
  </si>
  <si>
    <t>AD24:AL32</t>
  </si>
  <si>
    <t>车</t>
  </si>
  <si>
    <t>滚</t>
  </si>
  <si>
    <t>木</t>
  </si>
  <si>
    <r>
      <rPr>
        <sz val="11"/>
        <rFont val="等线"/>
        <charset val="134"/>
      </rPr>
      <t>0</t>
    </r>
    <r>
      <rPr>
        <sz val="11"/>
        <rFont val="等线"/>
        <charset val="134"/>
      </rPr>
      <t>6</t>
    </r>
    <r>
      <rPr>
        <sz val="11"/>
        <rFont val="等线"/>
        <charset val="134"/>
      </rPr>
      <t>_001</t>
    </r>
  </si>
  <si>
    <t>AX160:BB165</t>
  </si>
  <si>
    <t>特判</t>
  </si>
  <si>
    <t>在联机模式中进攻处于泰坦杯联赛的村庄，并赢得2颗胜利之星。</t>
  </si>
  <si>
    <t>ad4:aL10</t>
  </si>
  <si>
    <t>10_006</t>
  </si>
  <si>
    <t>12_006</t>
  </si>
  <si>
    <t>12_007</t>
  </si>
  <si>
    <t>14_007</t>
  </si>
  <si>
    <t>AX154:BB159</t>
  </si>
  <si>
    <t>在联机模式中进攻处于传奇杯联赛的村庄，并赢得2颗胜利之星。</t>
  </si>
  <si>
    <t>AD47:AJ58</t>
  </si>
  <si>
    <t>11_002</t>
  </si>
  <si>
    <t>11_003</t>
  </si>
  <si>
    <t>16_004</t>
  </si>
  <si>
    <t>AX148:BB153</t>
  </si>
  <si>
    <t>不可间断</t>
  </si>
  <si>
    <t>05_007</t>
  </si>
  <si>
    <t>AX47:BD58</t>
  </si>
  <si>
    <t>AX142:BB147</t>
  </si>
  <si>
    <t>训练药水*5</t>
  </si>
  <si>
    <t>在联机模式中连胜5场。</t>
  </si>
  <si>
    <t>AN61:AT72</t>
  </si>
  <si>
    <t>狱</t>
  </si>
  <si>
    <t>AX136:BB141</t>
  </si>
  <si>
    <t>在联机模式中赢得1场三星完胜。</t>
  </si>
  <si>
    <t>02_003</t>
  </si>
  <si>
    <t>AD75:AI86</t>
  </si>
  <si>
    <t>AX130:BB135</t>
  </si>
  <si>
    <t>在单场联机模式战斗中掠夺暗黑重油。</t>
  </si>
  <si>
    <t>最佳</t>
  </si>
  <si>
    <t>AD89:AK100</t>
  </si>
  <si>
    <t>AX123:BB129</t>
  </si>
  <si>
    <r>
      <rPr>
        <sz val="11"/>
        <rFont val="等线"/>
        <charset val="134"/>
      </rPr>
      <t>0</t>
    </r>
    <r>
      <rPr>
        <sz val="11"/>
        <rFont val="等线"/>
        <charset val="134"/>
      </rPr>
      <t>0</t>
    </r>
    <r>
      <rPr>
        <sz val="11"/>
        <rFont val="等线"/>
        <charset val="134"/>
      </rPr>
      <t>_000</t>
    </r>
  </si>
  <si>
    <t>AN13:AU20</t>
  </si>
  <si>
    <t>训</t>
  </si>
  <si>
    <t>练</t>
  </si>
  <si>
    <t>营</t>
  </si>
  <si>
    <t>洛</t>
  </si>
  <si>
    <t>AX117:BB122</t>
  </si>
  <si>
    <t>在单场联机模式战斗中掠夺圣水。</t>
  </si>
  <si>
    <t>AN4:AU11</t>
  </si>
  <si>
    <t>艇</t>
  </si>
  <si>
    <t>基</t>
  </si>
  <si>
    <t>AX111:BB116</t>
  </si>
  <si>
    <t>AN47:AT58</t>
  </si>
  <si>
    <t>隐</t>
  </si>
  <si>
    <t>秘</t>
  </si>
  <si>
    <t>AX105:BB110</t>
  </si>
  <si>
    <t>在单场联机模式战斗中掠夺金币。</t>
  </si>
  <si>
    <t>AD61:AJ72</t>
  </si>
  <si>
    <t>AX99:BB104</t>
  </si>
  <si>
    <t>AX61:BD72</t>
  </si>
  <si>
    <t>型</t>
  </si>
  <si>
    <t>髅</t>
  </si>
  <si>
    <t>AX93:BB98</t>
  </si>
  <si>
    <t>在联机模式中共掠夺6000暗黑重油。</t>
  </si>
  <si>
    <t>AN75:AT86</t>
  </si>
  <si>
    <t>摧毁使用积分*2</t>
  </si>
  <si>
    <t>AX87:BB92</t>
  </si>
  <si>
    <t>在联机模式中共掠夺14000暗黑重油。</t>
  </si>
  <si>
    <t>F19:L28</t>
  </si>
  <si>
    <t>狂</t>
  </si>
  <si>
    <t>暴</t>
  </si>
  <si>
    <t>术</t>
  </si>
  <si>
    <t>摧毁建筑积分*2</t>
  </si>
  <si>
    <t>AX81:BB86</t>
  </si>
  <si>
    <t>在联机模式中共掠夺600000圣水。</t>
  </si>
  <si>
    <t>01_003</t>
  </si>
  <si>
    <t>F32:L41</t>
  </si>
  <si>
    <t>冻</t>
  </si>
  <si>
    <t>资源相关积分*2</t>
  </si>
  <si>
    <t>AX74:BB80</t>
  </si>
  <si>
    <t>现有宝石</t>
  </si>
  <si>
    <t>在联机模式中共掠夺1400000圣水。</t>
  </si>
  <si>
    <t>F5:M17</t>
  </si>
  <si>
    <t>空军相关积分*2</t>
  </si>
  <si>
    <t>AX68:BB73</t>
  </si>
  <si>
    <t>在联机模式中共掠夺600000金币。</t>
  </si>
  <si>
    <t>F58:M70</t>
  </si>
  <si>
    <t>毒</t>
  </si>
  <si>
    <t>药</t>
  </si>
  <si>
    <t>伤</t>
  </si>
  <si>
    <t>害</t>
  </si>
  <si>
    <t>摧毁建筑积分*3</t>
  </si>
  <si>
    <t>AX62:BB67</t>
  </si>
  <si>
    <t>在联机模式中共掠夺1400000金币。</t>
  </si>
  <si>
    <t>F71:L80</t>
  </si>
  <si>
    <t>急</t>
  </si>
  <si>
    <t>速</t>
  </si>
  <si>
    <t>夜本任务积分*3</t>
  </si>
  <si>
    <t>AX56:BB61</t>
  </si>
  <si>
    <t>在联机模式中击败的英雄等级累计达到100。</t>
  </si>
  <si>
    <t>F83:M93</t>
  </si>
  <si>
    <t>夜</t>
  </si>
  <si>
    <t>蝙</t>
  </si>
  <si>
    <t>蝠</t>
  </si>
  <si>
    <t>资源相关积分*3</t>
  </si>
  <si>
    <t>AX50:BB55</t>
  </si>
  <si>
    <t>在联机模式中击败的英雄等级累计达到250。</t>
  </si>
  <si>
    <r>
      <rPr>
        <sz val="11"/>
        <rFont val="等线"/>
        <charset val="134"/>
      </rPr>
      <t>0</t>
    </r>
    <r>
      <rPr>
        <sz val="11"/>
        <rFont val="等线"/>
        <charset val="134"/>
      </rPr>
      <t>0</t>
    </r>
    <r>
      <rPr>
        <sz val="11"/>
        <rFont val="等线"/>
        <charset val="134"/>
      </rPr>
      <t>_00</t>
    </r>
    <r>
      <rPr>
        <sz val="11"/>
        <rFont val="等线"/>
        <charset val="134"/>
      </rPr>
      <t>0</t>
    </r>
  </si>
  <si>
    <t>P19:V28</t>
  </si>
  <si>
    <t>跳</t>
  </si>
  <si>
    <t>支援摧毁得分*3</t>
  </si>
  <si>
    <t>AX44:BB49</t>
  </si>
  <si>
    <t>在联机模式中击败的弓箭女皇等级累计达到10。</t>
  </si>
  <si>
    <t>P32:U41</t>
  </si>
  <si>
    <t>镜</t>
  </si>
  <si>
    <t>像</t>
  </si>
  <si>
    <t>使用兵种得分*3</t>
  </si>
  <si>
    <t>AX38:BB43</t>
  </si>
  <si>
    <t>在联机模式中击败的弓箭女皇等级累计达到50。</t>
  </si>
  <si>
    <t>F44:L52</t>
  </si>
  <si>
    <t>形</t>
  </si>
  <si>
    <t>英雄相关积分*3</t>
  </si>
  <si>
    <t>AX32:BB37</t>
  </si>
  <si>
    <t>在联机模式中击败的弓箭女皇等级累计达到120。</t>
  </si>
  <si>
    <t>P5:W16</t>
  </si>
  <si>
    <t>疗</t>
  </si>
  <si>
    <t>治</t>
  </si>
  <si>
    <t>AX26:BB31</t>
  </si>
  <si>
    <t>在联机模式中击败的野蛮人之王等级累计达到10。</t>
  </si>
  <si>
    <t>P58:V67</t>
  </si>
  <si>
    <t>震</t>
  </si>
  <si>
    <t>所有任务积分*2</t>
  </si>
  <si>
    <t>AX20:BB25</t>
  </si>
  <si>
    <t>在联机模式中击败的野蛮人之王等级累计达到50。</t>
  </si>
  <si>
    <t>P70:V81</t>
  </si>
  <si>
    <t>巨型大型积分*2</t>
  </si>
  <si>
    <t>AX14:BB19</t>
  </si>
  <si>
    <t>在联机模式中击败的野蛮人之王等级累计达到120。</t>
  </si>
  <si>
    <t>AA28:AH44</t>
  </si>
  <si>
    <t>2.3家乡建筑</t>
  </si>
  <si>
    <t>塔</t>
  </si>
  <si>
    <t>联合石法皮活动</t>
  </si>
  <si>
    <t>AX8:BB13</t>
  </si>
  <si>
    <t>在联机模式中击败的大守护者等级累计达到10。</t>
  </si>
  <si>
    <t>AA45:AI56</t>
  </si>
  <si>
    <t>AX2:BB7</t>
  </si>
  <si>
    <t>在联机模式中击败的大守护者等级累计达到30。</t>
  </si>
  <si>
    <t>AA5:AF22</t>
  </si>
  <si>
    <t>墙</t>
  </si>
  <si>
    <t>胜利之星奖励*2</t>
  </si>
  <si>
    <t>AX239:BB245</t>
  </si>
  <si>
    <t>在联机模式中击败的大守护者等级累计达到90。</t>
  </si>
  <si>
    <t>AA62:AI71</t>
  </si>
  <si>
    <t>鹰</t>
  </si>
  <si>
    <t>炮</t>
  </si>
  <si>
    <t>鸟</t>
  </si>
  <si>
    <t>夜世界任务*2</t>
  </si>
  <si>
    <t>AX246:BB251</t>
  </si>
  <si>
    <t>在联机模式中击败的飞盾战神等级累计达到5。</t>
  </si>
  <si>
    <t>AA77:AI85</t>
  </si>
  <si>
    <t>西</t>
  </si>
  <si>
    <t>瓜</t>
  </si>
  <si>
    <t>AX252:BB257</t>
  </si>
  <si>
    <t>在联机模式中击败的飞盾战神等级累计达到15。</t>
  </si>
  <si>
    <t>AA87:AJ94</t>
  </si>
  <si>
    <t>弩</t>
  </si>
  <si>
    <t>屋</t>
  </si>
  <si>
    <t>组</t>
  </si>
  <si>
    <t>件</t>
  </si>
  <si>
    <t>建</t>
  </si>
  <si>
    <t>筑</t>
  </si>
  <si>
    <t>AX258:BB264</t>
  </si>
  <si>
    <t>在联机模式中击败的飞盾战神等级累计达到45。</t>
  </si>
  <si>
    <t>AM22:AS39</t>
  </si>
  <si>
    <t>AX265:BB271</t>
  </si>
  <si>
    <t>在联机模式中摧毁3个防空火箭。</t>
  </si>
  <si>
    <t>02_120</t>
  </si>
  <si>
    <t>04_160</t>
  </si>
  <si>
    <t>05_180</t>
  </si>
  <si>
    <t>AM42:AT50</t>
  </si>
  <si>
    <t>厂</t>
  </si>
  <si>
    <t>AX272:BB277</t>
  </si>
  <si>
    <t>在联机模式中摧毁7个防空火箭。</t>
  </si>
  <si>
    <t>AM5:AV21</t>
  </si>
  <si>
    <t>本</t>
  </si>
  <si>
    <t>AX278:BB284</t>
  </si>
  <si>
    <t>在联机模式中摧毁15个防空火箭。</t>
  </si>
  <si>
    <t>01_011</t>
  </si>
  <si>
    <t>02_012</t>
  </si>
  <si>
    <t>03_013</t>
  </si>
  <si>
    <t>04_014</t>
  </si>
  <si>
    <t>05_014</t>
  </si>
  <si>
    <t>AM52:AU69</t>
  </si>
  <si>
    <t>采</t>
  </si>
  <si>
    <t>金</t>
  </si>
  <si>
    <t>场</t>
  </si>
  <si>
    <t>AX285:BB290</t>
  </si>
  <si>
    <t>工人药水*5</t>
  </si>
  <si>
    <t>在联机模式中摧毁2个空气炮。</t>
  </si>
  <si>
    <t>AM71:AS88</t>
  </si>
  <si>
    <t>储</t>
  </si>
  <si>
    <t>罐</t>
  </si>
  <si>
    <t>AX291:BB296</t>
  </si>
  <si>
    <t>万能之书*1</t>
  </si>
  <si>
    <t>在联机模式中摧毁4个空气炮。</t>
  </si>
  <si>
    <t>AW22:BC32</t>
  </si>
  <si>
    <t>暗</t>
  </si>
  <si>
    <t>黑</t>
  </si>
  <si>
    <t>AX297:BB303</t>
  </si>
  <si>
    <t>在联机模式中摧毁8个空气炮。</t>
  </si>
  <si>
    <t>AW40:BD46</t>
  </si>
  <si>
    <t>AX304:BB311</t>
  </si>
  <si>
    <t>在联机模式中摧毁5个箭塔。</t>
  </si>
  <si>
    <t>AX5:BF20</t>
  </si>
  <si>
    <t>部</t>
  </si>
  <si>
    <t>落</t>
  </si>
  <si>
    <t>堡</t>
  </si>
  <si>
    <t>AX312:BB318</t>
  </si>
  <si>
    <t>在联机模式中摧毁10个箭塔。</t>
  </si>
  <si>
    <t>AW50:BE67</t>
  </si>
  <si>
    <t>圣</t>
  </si>
  <si>
    <t>水</t>
  </si>
  <si>
    <t>泵</t>
  </si>
  <si>
    <t>集</t>
  </si>
  <si>
    <t>器</t>
  </si>
  <si>
    <t>AX319:BB325</t>
  </si>
  <si>
    <t>在联机模式中摧毁20个箭塔。</t>
  </si>
  <si>
    <t>AW71:BC88</t>
  </si>
  <si>
    <t>瓶</t>
  </si>
  <si>
    <t>AX326:BB330</t>
  </si>
  <si>
    <t>在联机模式中摧毁4座兵营。</t>
  </si>
  <si>
    <t>BG22:BM35</t>
  </si>
  <si>
    <t>AX331:BB335</t>
  </si>
  <si>
    <t>在联机模式中摧毁8座兵营。</t>
  </si>
  <si>
    <t>BG40:BN48</t>
  </si>
  <si>
    <t>坊</t>
  </si>
  <si>
    <t>机</t>
  </si>
  <si>
    <t>AX336:BB340</t>
  </si>
  <si>
    <t>10宝石</t>
  </si>
  <si>
    <t>在联机模式中摧毁16座兵营。</t>
  </si>
  <si>
    <t>BG50:BO61</t>
  </si>
  <si>
    <t>油</t>
  </si>
  <si>
    <t>钻</t>
  </si>
  <si>
    <t>井</t>
  </si>
  <si>
    <t>AX341:BB345</t>
  </si>
  <si>
    <t>在联机模式中摧毁2个炸弹塔。</t>
  </si>
  <si>
    <t>BG71:BM82</t>
  </si>
  <si>
    <t>AX346:BB351</t>
  </si>
  <si>
    <t>在联机模式中摧毁4个炸弹塔。</t>
  </si>
  <si>
    <t>BI5:BN19</t>
  </si>
  <si>
    <t>实</t>
  </si>
  <si>
    <t>验</t>
  </si>
  <si>
    <t>室</t>
  </si>
  <si>
    <t>AX352:BB355</t>
  </si>
  <si>
    <t>在联机模式中摧毁8个炸弹塔。</t>
  </si>
  <si>
    <t>AM121:AR133</t>
  </si>
  <si>
    <t>空</t>
  </si>
  <si>
    <t>中</t>
  </si>
  <si>
    <t>红</t>
  </si>
  <si>
    <t>在联机模式中摧毁6座建筑工人小屋。</t>
  </si>
  <si>
    <t>AT128:AZ133</t>
  </si>
  <si>
    <t>飓</t>
  </si>
  <si>
    <t>风</t>
  </si>
  <si>
    <t>陷</t>
  </si>
  <si>
    <t>阱</t>
  </si>
  <si>
    <t>在联机模式中摧毁12座建筑工人小屋。</t>
  </si>
  <si>
    <t>F30:N46</t>
  </si>
  <si>
    <t>迫</t>
  </si>
  <si>
    <t>击</t>
  </si>
  <si>
    <t>在联机模式中摧毁20座建筑工人小屋。</t>
  </si>
  <si>
    <t>F49:L58</t>
  </si>
  <si>
    <t>吹</t>
  </si>
  <si>
    <t>在联机模式中摧毁5个加农炮。</t>
  </si>
  <si>
    <t>F5:N27</t>
  </si>
  <si>
    <t>加</t>
  </si>
  <si>
    <t>农</t>
  </si>
  <si>
    <t>在联机模式中摧毁10个加农炮。</t>
  </si>
  <si>
    <t>F62:M73</t>
  </si>
  <si>
    <t>X</t>
  </si>
  <si>
    <t>叉</t>
  </si>
  <si>
    <t>十</t>
  </si>
  <si>
    <t>字</t>
  </si>
  <si>
    <t>资源药水*2</t>
  </si>
  <si>
    <t>在联机模式中摧毁20个加农炮。</t>
  </si>
  <si>
    <t>13.巨型电塔</t>
  </si>
  <si>
    <t>F77:N85</t>
  </si>
  <si>
    <t>特</t>
  </si>
  <si>
    <t>斯</t>
  </si>
  <si>
    <t>拉</t>
  </si>
  <si>
    <t>在联机模式中摧毁1个部落城堡。</t>
  </si>
  <si>
    <t>F87:n94</t>
  </si>
  <si>
    <t>爆</t>
  </si>
  <si>
    <t>在联机模式中摧毁2个部落城堡。</t>
  </si>
  <si>
    <t>AM105:AR117</t>
  </si>
  <si>
    <t>训练药水*1</t>
  </si>
  <si>
    <t>50宝石</t>
  </si>
  <si>
    <t>在联机模式中摧毁4个部落城堡。</t>
  </si>
  <si>
    <t>AT115:AY122</t>
  </si>
  <si>
    <t>搜</t>
  </si>
  <si>
    <t>在联机模式中摧毁3个暗黑重油钻井。</t>
  </si>
  <si>
    <t>AT105:AY111</t>
  </si>
  <si>
    <t>簧</t>
  </si>
  <si>
    <t>弓箭女王</t>
  </si>
  <si>
    <t>80宝石</t>
  </si>
  <si>
    <t>在联机模式中摧毁6个暗黑重油钻井。</t>
  </si>
  <si>
    <t>P29:W43</t>
  </si>
  <si>
    <t>防</t>
  </si>
  <si>
    <t>在联机模式中摧毁12个暗黑重油钻井。</t>
  </si>
  <si>
    <t>P45:W59</t>
  </si>
  <si>
    <t>伏</t>
  </si>
  <si>
    <t>在联机模式中摧毁1个暗黑重油罐。</t>
  </si>
  <si>
    <t>P5:X27</t>
  </si>
  <si>
    <t>在联机模式中摧毁2个暗黑重油罐。</t>
  </si>
  <si>
    <t>P62:y74</t>
  </si>
  <si>
    <t>棍</t>
  </si>
  <si>
    <t>在联机模式中摧毁4个暗黑重油罐。</t>
  </si>
  <si>
    <t>14.巨型地狱塔</t>
  </si>
  <si>
    <t>P77:Y84</t>
  </si>
  <si>
    <t>在联机模式中摧毁1个暗黑法术工厂。</t>
  </si>
  <si>
    <t>BA119:BF125</t>
  </si>
  <si>
    <t>在联机模式中摧毁2个暗黑法术工厂。</t>
  </si>
  <si>
    <t>BA106:BG115</t>
  </si>
  <si>
    <t>60%金币</t>
  </si>
  <si>
    <t>在联机模式中摧毁4个暗黑法术工厂。</t>
  </si>
  <si>
    <t>01_060</t>
  </si>
  <si>
    <t>02_080</t>
  </si>
  <si>
    <t>03_100</t>
  </si>
  <si>
    <t>04_120</t>
  </si>
  <si>
    <t>05_120</t>
  </si>
  <si>
    <t>AF5:AP31</t>
  </si>
  <si>
    <t>3.1夜本军队</t>
  </si>
  <si>
    <t>争</t>
  </si>
  <si>
    <t>60%黑油</t>
  </si>
  <si>
    <t>在联机模式中摧毁1个天鹰火炮。</t>
  </si>
  <si>
    <t>01_008</t>
  </si>
  <si>
    <t>03_014</t>
  </si>
  <si>
    <t>04_015</t>
  </si>
  <si>
    <t>05_016</t>
  </si>
  <si>
    <t>F115:P134</t>
  </si>
  <si>
    <t>150宝石</t>
  </si>
  <si>
    <t>在联机模式中摧毁2个天鹰火炮。</t>
  </si>
  <si>
    <t>02_010</t>
  </si>
  <si>
    <t>03_012</t>
  </si>
  <si>
    <t>04_013</t>
  </si>
  <si>
    <t>F27:O46</t>
  </si>
  <si>
    <t>拳</t>
  </si>
  <si>
    <t>在联机模式中摧毁4个天鹰火炮。</t>
  </si>
  <si>
    <t>F49:O68</t>
  </si>
  <si>
    <t>在联机模式中摧毁5个圣水收集器。</t>
  </si>
  <si>
    <t>F5:O24</t>
  </si>
  <si>
    <t>在联机模式中摧毁10个圣水收集器。</t>
  </si>
  <si>
    <t>F71:N90</t>
  </si>
  <si>
    <t>在联机模式中摧毁20个圣水收集器。</t>
  </si>
  <si>
    <t>F93:O112</t>
  </si>
  <si>
    <t>70%圣水</t>
  </si>
  <si>
    <t>在联机模式中摧毁3个圣水瓶。</t>
  </si>
  <si>
    <t>R27:Z46</t>
  </si>
  <si>
    <t>异</t>
  </si>
  <si>
    <t>变</t>
  </si>
  <si>
    <t>在联机模式中摧毁6个圣水瓶。</t>
  </si>
  <si>
    <t>R49:AB68</t>
  </si>
  <si>
    <t>在联机模式中摧毁12个圣水瓶。</t>
  </si>
  <si>
    <t>R5:Z24</t>
  </si>
  <si>
    <t>在联机模式中摧毁5个金矿。</t>
  </si>
  <si>
    <r>
      <rPr>
        <sz val="11"/>
        <rFont val="等线"/>
        <charset val="134"/>
      </rPr>
      <t>R71:A</t>
    </r>
    <r>
      <rPr>
        <sz val="11"/>
        <rFont val="等线"/>
        <charset val="134"/>
      </rPr>
      <t>d</t>
    </r>
    <r>
      <rPr>
        <sz val="11"/>
        <rFont val="等线"/>
        <charset val="134"/>
      </rPr>
      <t>90</t>
    </r>
  </si>
  <si>
    <t>研究药水*1</t>
  </si>
  <si>
    <t>在联机模式中摧毁10个金矿。</t>
  </si>
  <si>
    <t>R93:Z112</t>
  </si>
  <si>
    <t>攻城转机</t>
  </si>
  <si>
    <t>60%圣水</t>
  </si>
  <si>
    <t>在联机模式中摧毁20个金矿。</t>
  </si>
  <si>
    <t>AL19:AQ29</t>
  </si>
  <si>
    <t>3.2夜本建筑</t>
  </si>
  <si>
    <t>星</t>
  </si>
  <si>
    <t>在联机模式中摧毁3个储金罐。</t>
  </si>
  <si>
    <t>AL33:AR43</t>
  </si>
  <si>
    <t>库</t>
  </si>
  <si>
    <t>掠夺比例</t>
  </si>
  <si>
    <t>在联机模式中摧毁6个储金罐。</t>
  </si>
  <si>
    <t>AL46:AR56</t>
  </si>
  <si>
    <t>光</t>
  </si>
  <si>
    <t>钟</t>
  </si>
  <si>
    <t>楼</t>
  </si>
  <si>
    <t>在联机模式中摧毁12个储金罐。</t>
  </si>
  <si>
    <t>AL59:AQ69</t>
  </si>
  <si>
    <t>掠夺上限</t>
  </si>
  <si>
    <t>在联机模式中摧毁3个地狱之塔。</t>
  </si>
  <si>
    <t>AL6:AR16</t>
  </si>
  <si>
    <t>在联机模式中摧毁6个地狱之塔。</t>
  </si>
  <si>
    <t>AV19:BB29</t>
  </si>
  <si>
    <t>对战资源上限</t>
  </si>
  <si>
    <t>70%金币</t>
  </si>
  <si>
    <t>在联机模式中摧毁12个地狱之塔。</t>
  </si>
  <si>
    <t>AV33:BD43</t>
  </si>
  <si>
    <t>对战黑油上限</t>
  </si>
  <si>
    <t>70%黑油</t>
  </si>
  <si>
    <t>英雄药水*2</t>
  </si>
  <si>
    <t>在联机模式中摧毁1个野蛮人之王王座。</t>
  </si>
  <si>
    <t>AV46:BA56</t>
  </si>
  <si>
    <t>射</t>
  </si>
  <si>
    <t>在联机模式中摧毁2个野蛮人之王王座。</t>
  </si>
  <si>
    <t>AV59:BA69</t>
  </si>
  <si>
    <t>资源车上限</t>
  </si>
  <si>
    <t>在联机模式中摧毁4个野蛮人之王王座。</t>
  </si>
  <si>
    <t>01_006</t>
  </si>
  <si>
    <t>02_008</t>
  </si>
  <si>
    <t>03_009</t>
  </si>
  <si>
    <t>05_010</t>
  </si>
  <si>
    <t>AV6:BB17</t>
  </si>
  <si>
    <t>在联机模式中摧毁1个实验室。</t>
  </si>
  <si>
    <t>BF19:BN29</t>
  </si>
  <si>
    <t>宝库资源</t>
  </si>
  <si>
    <t>在联机模式中摧毁2个实验室。</t>
  </si>
  <si>
    <t>BF33:BM43</t>
  </si>
  <si>
    <t>宝库黑油</t>
  </si>
  <si>
    <t>在联机模式中摧毁4个实验室。</t>
  </si>
  <si>
    <t>BF46:BK51</t>
  </si>
  <si>
    <t>金水自动填充</t>
  </si>
  <si>
    <t>钟楼药水*2</t>
  </si>
  <si>
    <t>在联机模式中摧毁4个迫击炮。</t>
  </si>
  <si>
    <t>BF6:BK14</t>
  </si>
  <si>
    <t>黑油自动填充</t>
  </si>
  <si>
    <t>在联机模式中摧毁8个迫击炮。</t>
  </si>
  <si>
    <t>F19:N29</t>
  </si>
  <si>
    <t>多</t>
  </si>
  <si>
    <t>功</t>
  </si>
  <si>
    <t>能</t>
  </si>
  <si>
    <t>在联机模式中摧毁15个迫击炮。</t>
  </si>
  <si>
    <t>F33:M43</t>
  </si>
  <si>
    <t>撼</t>
  </si>
  <si>
    <t>建筑升级预算</t>
  </si>
  <si>
    <t>在联机模式中摧毁1个弓箭女皇王座。</t>
  </si>
  <si>
    <t>F46:M56</t>
  </si>
  <si>
    <t>管</t>
  </si>
  <si>
    <t>英雄升级预算</t>
  </si>
  <si>
    <t>在联机模式中摧毁2个弓箭女皇王座。</t>
  </si>
  <si>
    <t>F5:K15</t>
  </si>
  <si>
    <t>联</t>
  </si>
  <si>
    <t>排</t>
  </si>
  <si>
    <t>城墙升级预算</t>
  </si>
  <si>
    <t>在联机模式中摧毁4个弓箭女皇王座。</t>
  </si>
  <si>
    <t>F59:M69</t>
  </si>
  <si>
    <t>科技升级预算</t>
  </si>
  <si>
    <t>在联机模式中摧毁2座投石炮。</t>
  </si>
  <si>
    <t>P19:W29</t>
  </si>
  <si>
    <t>英雄+5</t>
  </si>
  <si>
    <t>在联机模式中摧毁4座投石炮。</t>
  </si>
  <si>
    <t>01_100</t>
  </si>
  <si>
    <t>P43:W43</t>
  </si>
  <si>
    <t>卫</t>
  </si>
  <si>
    <t>岗</t>
  </si>
  <si>
    <t>哨</t>
  </si>
  <si>
    <t>在联机模式中摧毁8座投石炮。</t>
  </si>
  <si>
    <t>P46:W56</t>
  </si>
  <si>
    <t>尿</t>
  </si>
  <si>
    <t>壶</t>
  </si>
  <si>
    <t>在联机模式中摧毁1个法术工厂。</t>
  </si>
  <si>
    <t>03_011</t>
  </si>
  <si>
    <t>04_012</t>
  </si>
  <si>
    <t>05_013</t>
  </si>
  <si>
    <t>P5:W15</t>
  </si>
  <si>
    <t>在联机模式中摧毁2个法术工厂。</t>
  </si>
  <si>
    <t>02_007</t>
  </si>
  <si>
    <t>发</t>
  </si>
  <si>
    <t>在联机模式中摧毁4个法术工厂。</t>
  </si>
  <si>
    <t>Z19:AG29</t>
  </si>
  <si>
    <t>在联机模式中摧毁3个特斯拉电磁塔。</t>
  </si>
  <si>
    <t>Z33:AG43</t>
  </si>
  <si>
    <t>起</t>
  </si>
  <si>
    <t>源</t>
  </si>
  <si>
    <t>100%黑油</t>
  </si>
  <si>
    <t>在联机模式中摧毁6个特斯拉电磁塔。</t>
  </si>
  <si>
    <t>Z46:AG56</t>
  </si>
  <si>
    <t>在联机模式中摧毁12个特斯拉电磁塔。</t>
  </si>
  <si>
    <t>Z5:AG15</t>
  </si>
  <si>
    <t>双</t>
  </si>
  <si>
    <t>在联机模式中摧毁1个大守护者王座。</t>
  </si>
  <si>
    <t>000玩家等级</t>
  </si>
  <si>
    <t>AC1:AQ12</t>
  </si>
  <si>
    <t>5.1联赛&amp;等级</t>
  </si>
  <si>
    <t>玩</t>
  </si>
  <si>
    <t>等</t>
  </si>
  <si>
    <t>在联机模式中摧毁2个大守护者王座。</t>
  </si>
  <si>
    <t>000家乡联赛</t>
  </si>
  <si>
    <t>D1:M31</t>
  </si>
  <si>
    <t>乡</t>
  </si>
  <si>
    <t>赛</t>
  </si>
  <si>
    <t>当前大本</t>
  </si>
  <si>
    <t>满防圣水</t>
  </si>
  <si>
    <t>在联机模式中摧毁4个大守护者王座。</t>
  </si>
  <si>
    <t>000部落等级</t>
  </si>
  <si>
    <t>D33:M88</t>
  </si>
  <si>
    <t>满防金币</t>
  </si>
  <si>
    <t>在联机模式中摧毁3个法师塔。</t>
  </si>
  <si>
    <t>000部落联赛</t>
  </si>
  <si>
    <t>P1:W26</t>
  </si>
  <si>
    <t>满防黑油</t>
  </si>
  <si>
    <t>在联机模式中摧毁6个法师塔。</t>
  </si>
  <si>
    <t>000夜本联赛</t>
  </si>
  <si>
    <t>P33:V68</t>
  </si>
  <si>
    <t>工人时间</t>
  </si>
  <si>
    <t>在联机模式中摧毁12个法师塔。</t>
  </si>
  <si>
    <t>04.天女VS猎犬</t>
  </si>
  <si>
    <t>AP139:AZ183</t>
  </si>
  <si>
    <t>5.2研究笔记</t>
  </si>
  <si>
    <t>在联机模式中摧毁3个X连弩。</t>
  </si>
  <si>
    <t>AP184:AZ229</t>
  </si>
  <si>
    <t>在联机模式中摧毁6个X连弩。</t>
  </si>
  <si>
    <t>06.无敌飞盾</t>
  </si>
  <si>
    <t>AP230:AZ248</t>
  </si>
  <si>
    <t>在联机模式中摧毁12个X连弩。</t>
  </si>
  <si>
    <t>02.天女VS女巫</t>
  </si>
  <si>
    <t>AP36:AZ85</t>
  </si>
  <si>
    <t>刷墙总资源</t>
  </si>
  <si>
    <t>70宝石</t>
  </si>
  <si>
    <t>在对抗赛中摧毁1个空中炸弹发射器。</t>
  </si>
  <si>
    <t>01.法师塔VS炸弹人</t>
  </si>
  <si>
    <t>AP5:BC34</t>
  </si>
  <si>
    <t>S</t>
  </si>
  <si>
    <t>0-当前本</t>
  </si>
  <si>
    <t>壁垒之戒*6</t>
  </si>
  <si>
    <t>在对抗赛中摧毁2个空中炸弹发射器。</t>
  </si>
  <si>
    <t>03.天女VS冰人</t>
  </si>
  <si>
    <t>AP86:AZ137</t>
  </si>
  <si>
    <t>在对抗赛中摧毁4个空中炸弹发射器。</t>
  </si>
  <si>
    <t>05.援兵顺序</t>
  </si>
  <si>
    <t>F114:R131</t>
  </si>
  <si>
    <t>在对抗赛中摧毁3个防空火炮。</t>
  </si>
  <si>
    <t>06.隐身本质</t>
  </si>
  <si>
    <t>F134:R186</t>
  </si>
  <si>
    <t>在对抗赛中摧毁7个防空火炮。</t>
  </si>
  <si>
    <t>07.弹丸理论</t>
  </si>
  <si>
    <t>F187:R222</t>
  </si>
  <si>
    <t>在对抗赛中摧毁15个防空火炮。</t>
  </si>
  <si>
    <t>08.传奇联赛</t>
  </si>
  <si>
    <t>F226:R240</t>
  </si>
  <si>
    <t>研究药水*2</t>
  </si>
  <si>
    <t>在对抗赛中摧毁2个箭塔。</t>
  </si>
  <si>
    <t>09.法术叠加</t>
  </si>
  <si>
    <t>F243:T277</t>
  </si>
  <si>
    <t>在对抗赛中摧毁4个箭塔。</t>
  </si>
  <si>
    <t>F280:S430</t>
  </si>
  <si>
    <t>在对抗赛中摧毁8个箭塔。</t>
  </si>
  <si>
    <t>01.单位视野</t>
  </si>
  <si>
    <t>F4:R38</t>
  </si>
  <si>
    <t>在对抗赛中摧毁1个时光钟楼。</t>
  </si>
  <si>
    <t>02.判定面积</t>
  </si>
  <si>
    <t>F40:R64</t>
  </si>
  <si>
    <t>在对抗赛中摧毁2个时光钟楼。</t>
  </si>
  <si>
    <t>03.开墙判定</t>
  </si>
  <si>
    <t>F65:R81</t>
  </si>
  <si>
    <t>夜本等级</t>
  </si>
  <si>
    <t>在对抗赛中摧毁4个时光钟楼。</t>
  </si>
  <si>
    <t>04.防御锁定</t>
  </si>
  <si>
    <t>f83:r111</t>
  </si>
  <si>
    <t>在对抗赛中摧毁2个撼地巨石。</t>
  </si>
  <si>
    <t>05.攻城载具</t>
  </si>
  <si>
    <t>Y111:AK153</t>
  </si>
  <si>
    <t>在对抗赛中摧毁4个撼地巨石。</t>
  </si>
  <si>
    <t>06.戈仑冰人</t>
  </si>
  <si>
    <t>Y154:AK174</t>
  </si>
  <si>
    <t>在对抗赛中摧毁7个撼地巨石。</t>
  </si>
  <si>
    <t>07.西瓜投手</t>
  </si>
  <si>
    <t>Y180:AK210</t>
  </si>
  <si>
    <t>在对抗赛中摧毁2个双管加农炮。</t>
  </si>
  <si>
    <t>03_120</t>
  </si>
  <si>
    <t>04_140</t>
  </si>
  <si>
    <t>05_140</t>
  </si>
  <si>
    <t>08.飞盾战神</t>
  </si>
  <si>
    <t>Y212:AK237</t>
  </si>
  <si>
    <t>在对抗赛中摧毁4个双管加农炮。</t>
  </si>
  <si>
    <t>10.毒药法术</t>
  </si>
  <si>
    <t>Y241:AM338</t>
  </si>
  <si>
    <t>在对抗赛中摧毁8个双管加农炮。</t>
  </si>
  <si>
    <t>01_009</t>
  </si>
  <si>
    <t>02.武神</t>
  </si>
  <si>
    <t>Y32:AK59</t>
  </si>
  <si>
    <t>储金库</t>
  </si>
  <si>
    <t>在对抗赛中摧毁1个熔岩火炮。</t>
  </si>
  <si>
    <r>
      <rPr>
        <sz val="11"/>
        <rFont val="等线"/>
        <charset val="134"/>
      </rPr>
      <t>1</t>
    </r>
    <r>
      <rPr>
        <sz val="11"/>
        <rFont val="等线"/>
        <charset val="134"/>
      </rPr>
      <t>0.炸弹人</t>
    </r>
  </si>
  <si>
    <t>Y391:AI449</t>
  </si>
  <si>
    <t>在对抗赛中摧毁2个熔岩火炮。</t>
  </si>
  <si>
    <t>01.天使</t>
  </si>
  <si>
    <t>Y4:AK30</t>
  </si>
  <si>
    <t>在对抗赛中摧毁4个熔岩火炮。</t>
  </si>
  <si>
    <t>Y454:AK509</t>
  </si>
  <si>
    <t>在对抗赛中摧毁1个宝石矿井。</t>
  </si>
  <si>
    <t>03.冰冻法术</t>
  </si>
  <si>
    <t>Y60:AK89</t>
  </si>
  <si>
    <t>09_005</t>
  </si>
  <si>
    <t>在对抗赛中摧毁2个宝石矿井。</t>
  </si>
  <si>
    <t>01.商人售卖计算</t>
  </si>
  <si>
    <t>D1:AG49</t>
  </si>
  <si>
    <t>5.3小工具</t>
  </si>
  <si>
    <t>计</t>
  </si>
  <si>
    <t>算</t>
  </si>
  <si>
    <t>在对抗赛中摧毁4个宝石矿井。</t>
  </si>
  <si>
    <t>02.宝石消耗/价值</t>
  </si>
  <si>
    <t>D53:L68</t>
  </si>
  <si>
    <t>价</t>
  </si>
  <si>
    <t>06_005</t>
  </si>
  <si>
    <t>07_005</t>
  </si>
  <si>
    <t>在对抗赛中摧毁1个巨型加农炮。</t>
  </si>
  <si>
    <t>05.游戏建议</t>
  </si>
  <si>
    <t>AI1:BA344</t>
  </si>
  <si>
    <t>5.4纪念碑谷</t>
  </si>
  <si>
    <t>100%金币</t>
  </si>
  <si>
    <t>在对抗赛中摧毁2个巨型加农炮。</t>
  </si>
  <si>
    <t>06.障碍&amp;装饰</t>
  </si>
  <si>
    <t>BG1:BV95</t>
  </si>
  <si>
    <t>装</t>
  </si>
  <si>
    <t>饰</t>
  </si>
  <si>
    <t>在对抗赛中摧毁4个巨型加农炮。</t>
  </si>
  <si>
    <t>07.被遗忘的海岸</t>
  </si>
  <si>
    <t>BGF97:BQ300</t>
  </si>
  <si>
    <t>海</t>
  </si>
  <si>
    <t>岸</t>
  </si>
  <si>
    <t>在对抗赛中摧毁1个守卫岗哨。</t>
  </si>
  <si>
    <t>01.魔法物品</t>
  </si>
  <si>
    <t>D1:P93</t>
  </si>
  <si>
    <t>在对抗赛中摧毁2个守卫岗哨。</t>
  </si>
  <si>
    <t>02.月度挑战</t>
  </si>
  <si>
    <t>D97:P320</t>
  </si>
  <si>
    <t>01_010</t>
  </si>
  <si>
    <t>02_020</t>
  </si>
  <si>
    <t>06_120</t>
  </si>
  <si>
    <t>07_140</t>
  </si>
  <si>
    <t>08_160</t>
  </si>
  <si>
    <t>09_180</t>
  </si>
  <si>
    <t>在对抗赛中摧毁4个守卫岗哨。</t>
  </si>
  <si>
    <t>03.部落竞赛</t>
  </si>
  <si>
    <t>R1:AB13</t>
  </si>
  <si>
    <t>奖</t>
  </si>
  <si>
    <t>励</t>
  </si>
  <si>
    <t>在对抗赛中摧毁1个星空实验室。</t>
  </si>
  <si>
    <t>04.竞赛任务</t>
  </si>
  <si>
    <t>R18:AH207</t>
  </si>
  <si>
    <t>在对抗赛中摧毁2个星空实验室。</t>
  </si>
  <si>
    <t>08.成就挑战</t>
  </si>
  <si>
    <t>R227:AG399</t>
  </si>
  <si>
    <t>在对抗赛中摧毁4个星空实验室。</t>
  </si>
  <si>
    <t>11.镜像法术</t>
  </si>
  <si>
    <t>Y511:AJ533</t>
  </si>
  <si>
    <t>在对抗赛中摧毁1个熔岩发射器。</t>
  </si>
  <si>
    <t>An24:Aw31</t>
  </si>
  <si>
    <t>烈</t>
  </si>
  <si>
    <t>焰</t>
  </si>
  <si>
    <t>在对抗赛中摧毁2个熔岩发射器。</t>
  </si>
  <si>
    <t>AN103:AS113</t>
  </si>
  <si>
    <t>2.3家乡支援军</t>
  </si>
  <si>
    <t>在对抗赛中摧毁4个熔岩发射器。</t>
  </si>
  <si>
    <t>AX103:BC114</t>
  </si>
  <si>
    <t>在对抗赛中摧毁1个超级特斯拉电磁塔。</t>
  </si>
  <si>
    <t>F5:L13</t>
  </si>
  <si>
    <r>
      <rPr>
        <sz val="11"/>
        <rFont val="等线"/>
        <charset val="134"/>
      </rPr>
      <t>4.</t>
    </r>
    <r>
      <rPr>
        <sz val="11"/>
        <rFont val="等线"/>
        <charset val="134"/>
      </rPr>
      <t>1都城军队</t>
    </r>
  </si>
  <si>
    <t>都</t>
  </si>
  <si>
    <t>在对抗赛中摧毁2个超级特斯拉电磁塔。</t>
  </si>
  <si>
    <t>O5:S12</t>
  </si>
  <si>
    <t>在对抗赛中摧毁4个超级特斯拉电磁塔。</t>
  </si>
  <si>
    <t>W5:AC12</t>
  </si>
  <si>
    <t>在对抗赛中摧毁1个多管迫击炮。</t>
  </si>
  <si>
    <t>F18:M24</t>
  </si>
  <si>
    <t>槌</t>
  </si>
  <si>
    <t>在对抗赛中摧毁2个多管迫击炮。</t>
  </si>
  <si>
    <t>O18:T24</t>
  </si>
  <si>
    <t>军</t>
  </si>
  <si>
    <t>在对抗赛中摧毁4个多管迫击炮。</t>
  </si>
  <si>
    <t>W18:AC24</t>
  </si>
  <si>
    <t>在对抗赛中摧毁1个建筑大师大本营。</t>
  </si>
  <si>
    <t>F28:L38</t>
  </si>
  <si>
    <t>在对抗赛中摧毁2个建筑大师大本营。</t>
  </si>
  <si>
    <t>O28:T34</t>
  </si>
  <si>
    <t>桶</t>
  </si>
  <si>
    <t>在对抗赛中摧毁4个建筑大师大本营。</t>
  </si>
  <si>
    <t>W28:AE34</t>
  </si>
  <si>
    <t>垒</t>
  </si>
  <si>
    <t>F42:L50</t>
  </si>
  <si>
    <t>突</t>
  </si>
  <si>
    <t>袭</t>
  </si>
  <si>
    <t>O42:U50</t>
  </si>
  <si>
    <t>W42:AD50</t>
  </si>
  <si>
    <t>队</t>
  </si>
  <si>
    <t>05_160</t>
  </si>
  <si>
    <t>F54:K63</t>
  </si>
  <si>
    <t>05_015</t>
  </si>
  <si>
    <t>O52:U62</t>
  </si>
  <si>
    <t>高</t>
  </si>
  <si>
    <t>山</t>
  </si>
  <si>
    <t>01_007</t>
  </si>
  <si>
    <t>02_009</t>
  </si>
  <si>
    <t>03_010</t>
  </si>
  <si>
    <t>04_011</t>
  </si>
  <si>
    <t>AH5:AL11</t>
  </si>
  <si>
    <t>AO5:AR13</t>
  </si>
  <si>
    <t>AH16:AK22</t>
  </si>
  <si>
    <t>AO16:AR22</t>
  </si>
  <si>
    <t>霜</t>
  </si>
  <si>
    <t>AH26:AL33</t>
  </si>
  <si>
    <t>F5:J11</t>
  </si>
  <si>
    <r>
      <rPr>
        <sz val="11"/>
        <rFont val="等线"/>
        <charset val="134"/>
      </rPr>
      <t>4.</t>
    </r>
    <r>
      <rPr>
        <sz val="11"/>
        <rFont val="等线"/>
        <charset val="134"/>
      </rPr>
      <t>2都城建筑</t>
    </r>
  </si>
  <si>
    <t>P5:W11</t>
  </si>
  <si>
    <t>Z5:AG11</t>
  </si>
  <si>
    <t>费用</t>
  </si>
  <si>
    <t>F15:M22</t>
  </si>
  <si>
    <t>P15:W23</t>
  </si>
  <si>
    <t>Z15:AH23</t>
  </si>
  <si>
    <t>F26:M33</t>
  </si>
  <si>
    <t>P26:X32</t>
  </si>
  <si>
    <t>Z26:AG33</t>
  </si>
  <si>
    <t>F37:M44</t>
  </si>
  <si>
    <t>疾</t>
  </si>
  <si>
    <t>P37:W44</t>
  </si>
  <si>
    <t>超级药水*1</t>
  </si>
  <si>
    <t>Z37:AH45</t>
  </si>
  <si>
    <t>F50:M58</t>
  </si>
  <si>
    <t>P50:W58</t>
  </si>
  <si>
    <t>Z50:AG56</t>
  </si>
  <si>
    <t>F62:M69</t>
  </si>
  <si>
    <t>强</t>
  </si>
  <si>
    <t>P62:V68</t>
  </si>
  <si>
    <t>Z62:AF68</t>
  </si>
  <si>
    <t>F73:L79</t>
  </si>
  <si>
    <r>
      <rPr>
        <sz val="11"/>
        <rFont val="等线"/>
        <charset val="134"/>
      </rPr>
      <t>AM6:</t>
    </r>
    <r>
      <rPr>
        <sz val="11"/>
        <rFont val="等线"/>
        <charset val="134"/>
      </rPr>
      <t>BB</t>
    </r>
    <r>
      <rPr>
        <sz val="11"/>
        <rFont val="等线"/>
        <charset val="134"/>
      </rPr>
      <t>17</t>
    </r>
  </si>
  <si>
    <t>BD6:BI12</t>
  </si>
  <si>
    <t>AL21:AR27</t>
  </si>
  <si>
    <t>AT21:AZ27</t>
  </si>
  <si>
    <t>仓</t>
  </si>
  <si>
    <t>BB21:BG27</t>
  </si>
  <si>
    <t>AL30:AQ36</t>
  </si>
  <si>
    <t>AT30:AY36</t>
  </si>
  <si>
    <t>03_080</t>
  </si>
  <si>
    <t>04_100</t>
  </si>
  <si>
    <t>BB30:BG36</t>
  </si>
  <si>
    <t>AL40:AQ46</t>
  </si>
  <si>
    <t>壁垒之戒*2</t>
  </si>
  <si>
    <t>AT40:AY46</t>
  </si>
  <si>
    <t>BB40:BG46</t>
  </si>
  <si>
    <t>AL50:AQ56</t>
  </si>
  <si>
    <t>AT50:AY56</t>
  </si>
  <si>
    <t>BB50:BG56</t>
  </si>
  <si>
    <t>AL60:AQ66</t>
  </si>
  <si>
    <t>AT60:AY66</t>
  </si>
  <si>
    <t>BB60:BG66</t>
  </si>
  <si>
    <t>AL70:AQ76</t>
  </si>
  <si>
    <t>AT70:AY76</t>
  </si>
  <si>
    <t>BB70:BG76</t>
  </si>
  <si>
    <t>AL80:AQ86</t>
  </si>
  <si>
    <t>10%金币</t>
  </si>
  <si>
    <t>10%圣水</t>
  </si>
  <si>
    <t>AT80:AY86</t>
  </si>
  <si>
    <t>在联机模式中部署100空间的超级部队。</t>
  </si>
  <si>
    <t>BB80:BG86</t>
  </si>
  <si>
    <t>参加5场联机模式战斗，每场战斗需使用1x火箭气球兵且赢得至少1颗胜利之星。</t>
  </si>
  <si>
    <t>23.各类小屋</t>
  </si>
  <si>
    <t>AL98:AS106</t>
  </si>
  <si>
    <t>房</t>
  </si>
  <si>
    <t>平</t>
  </si>
  <si>
    <t>顶</t>
  </si>
  <si>
    <t>草</t>
  </si>
  <si>
    <t>参加5场联机模式战斗，每场战斗需使用1x隐秘哥布林且赢得至少1颗胜利之星。</t>
  </si>
  <si>
    <t>AU98:AY104</t>
  </si>
  <si>
    <t>参加5场联机模式战斗，每场战斗需使用1x超级野蛮人且赢得至少1颗胜利之星。</t>
  </si>
  <si>
    <t>BB98:BF104</t>
  </si>
  <si>
    <t>参加5场联机模式战斗，每场战斗需使用1x超级巨人且赢得至少1颗胜利之星。</t>
  </si>
  <si>
    <t>AU110:AY106</t>
  </si>
  <si>
    <t>参加5场联机模式战斗，每场战斗需使用1x超级亡灵且赢得至少1颗胜利之星。</t>
  </si>
  <si>
    <t>BB110:BF106</t>
  </si>
  <si>
    <t>参加5场联机模式战斗，每场战斗需使用1x超级瓦基丽武神且赢得至少1颗胜利之星。</t>
  </si>
  <si>
    <t>P71:X81</t>
  </si>
  <si>
    <t>霆</t>
  </si>
  <si>
    <t>泰</t>
  </si>
  <si>
    <t>坦</t>
  </si>
  <si>
    <t>环</t>
  </si>
  <si>
    <t>参加5场联机模式战斗，每场战斗需使用1x超级炸弹人且赢得至少1颗胜利之星。</t>
  </si>
  <si>
    <t>Y149:AG163</t>
  </si>
  <si>
    <t>牙</t>
  </si>
  <si>
    <t>参加5场联机模式战斗，每场战斗需使用1x超级女巫且赢得至少1颗胜利之星。</t>
  </si>
  <si>
    <t>Y165:AG176</t>
  </si>
  <si>
    <t>兽</t>
  </si>
  <si>
    <t>挖</t>
  </si>
  <si>
    <t>下</t>
  </si>
  <si>
    <t>惊</t>
  </si>
  <si>
    <t>喜</t>
  </si>
  <si>
    <t>参加5场联机模式战斗，每场战斗需使用1x超级法师且赢得至少1颗胜利之星。</t>
  </si>
  <si>
    <t>F176:O189</t>
  </si>
  <si>
    <t>猛</t>
  </si>
  <si>
    <t>蜥</t>
  </si>
  <si>
    <t>息</t>
  </si>
  <si>
    <t>参加5场联机模式战斗，每场战斗需使用1x寒冰猎犬且赢得至少1颗胜利之星。</t>
  </si>
  <si>
    <t>F191:N202</t>
  </si>
  <si>
    <t>凤</t>
  </si>
  <si>
    <t>凰</t>
  </si>
  <si>
    <t>浴</t>
  </si>
  <si>
    <t>重</t>
  </si>
  <si>
    <t>生</t>
  </si>
  <si>
    <t>参加5场联机模式战斗，每场战斗需使用1x地狱飞龙且赢得至少1颗胜利之星。</t>
  </si>
  <si>
    <t>P44:U51</t>
  </si>
  <si>
    <t>回</t>
  </si>
  <si>
    <t>溯</t>
  </si>
  <si>
    <t>参加5场联机模式战斗，每场战斗需使用1x超级弓箭手且赢得至少1颗胜利之星。</t>
  </si>
  <si>
    <t>AD34:AK40</t>
  </si>
  <si>
    <t>参加5场联机模式战斗，每场战斗需使用1x超级巨石投手且赢得至少1颗胜利之星。</t>
  </si>
  <si>
    <t>18.魔爆地狱组件</t>
  </si>
  <si>
    <t>P87:X95</t>
  </si>
  <si>
    <t>魔</t>
  </si>
  <si>
    <t>F96:P100</t>
  </si>
  <si>
    <t>在联机模式中摧毁8个圣水收集器。</t>
  </si>
  <si>
    <t>F105:N116</t>
  </si>
  <si>
    <t>碑</t>
  </si>
  <si>
    <t>擎</t>
  </si>
  <si>
    <t>柱</t>
  </si>
  <si>
    <t>御</t>
  </si>
  <si>
    <t>在联机模式中摧毁8个金矿。</t>
  </si>
  <si>
    <t>AM90:AS99</t>
  </si>
  <si>
    <t>宠</t>
  </si>
  <si>
    <t>在联机模式中摧毁5个圣水瓶。</t>
  </si>
  <si>
    <t>07.炸弹人开墙</t>
  </si>
  <si>
    <t>AP249:BB298</t>
  </si>
  <si>
    <t>开</t>
  </si>
  <si>
    <t>在联机模式中摧毁5个储金罐。</t>
  </si>
  <si>
    <t>08.毒药击杀时间</t>
  </si>
  <si>
    <t>AP321:AW368</t>
  </si>
  <si>
    <t>杀</t>
  </si>
  <si>
    <t>间</t>
  </si>
  <si>
    <t>在联机模式中摧毁5个迫击炮。</t>
  </si>
  <si>
    <t>09.隐形法术</t>
  </si>
  <si>
    <t>Y340:AJ388</t>
  </si>
  <si>
    <t>研</t>
  </si>
  <si>
    <t>究</t>
  </si>
  <si>
    <t>P77:X84</t>
  </si>
  <si>
    <t>在联机模式中摧毁8个加农炮。</t>
  </si>
  <si>
    <t>09.六农</t>
  </si>
  <si>
    <t>AP375:AZ446</t>
  </si>
  <si>
    <t>六</t>
  </si>
  <si>
    <t>奥</t>
  </si>
  <si>
    <t>仔</t>
  </si>
  <si>
    <t>在联机模式中摧毁9个箭塔。</t>
  </si>
  <si>
    <r>
      <rPr>
        <sz val="11"/>
        <rFont val="等线"/>
        <charset val="134"/>
      </rPr>
      <t>15</t>
    </r>
    <r>
      <rPr>
        <sz val="11"/>
        <rFont val="等线"/>
        <charset val="134"/>
      </rPr>
      <t>.超级矿工</t>
    </r>
  </si>
  <si>
    <t>AD119:AK130</t>
  </si>
  <si>
    <t>死</t>
  </si>
  <si>
    <t>在联机模式中摧毁4个暗黑重油钻井。</t>
  </si>
  <si>
    <t>W54:AC62</t>
  </si>
  <si>
    <t>06.骷髅法术</t>
  </si>
  <si>
    <t>AO26:AT33</t>
  </si>
  <si>
    <t>唤</t>
  </si>
  <si>
    <t>P73:W80</t>
  </si>
  <si>
    <t>迷</t>
  </si>
  <si>
    <t>你</t>
  </si>
  <si>
    <t>巢</t>
  </si>
  <si>
    <t>穴</t>
  </si>
  <si>
    <t>z73:ag80</t>
  </si>
  <si>
    <t>反</t>
  </si>
  <si>
    <t>AL89:AQ95</t>
  </si>
  <si>
    <t>AT89:AY95</t>
  </si>
  <si>
    <t>在联机模式中摧毁3个空气炮。</t>
  </si>
  <si>
    <t>在联机模式中摧毁5个防空火箭。</t>
  </si>
  <si>
    <t>在联机模式中摧毁3个炸弹塔。</t>
  </si>
  <si>
    <t>在联机模式中摧毁5个特斯拉电磁塔。</t>
  </si>
  <si>
    <t>在联机模式中摧毁4个X连弩。</t>
  </si>
  <si>
    <t>在联机模式中获胜2场。</t>
  </si>
  <si>
    <t>15%金币</t>
  </si>
  <si>
    <t>25%圣水</t>
  </si>
  <si>
    <t>25%黑油</t>
  </si>
  <si>
    <t>在联机模式中达到总计100%的摧毁率。</t>
  </si>
  <si>
    <t>在联机模式中共掠夺500000金币。</t>
  </si>
  <si>
    <t>在联机模式中共掠夺500000圣水。</t>
  </si>
  <si>
    <t>在联机模式中共掠夺5000暗黑重油。</t>
  </si>
  <si>
    <t>向部落成员增援总计100空间的部队。</t>
  </si>
  <si>
    <t>向部落成员增援总计5空间的法术。</t>
  </si>
  <si>
    <t>在联机模式中连胜2场。</t>
  </si>
  <si>
    <t>15%黑油</t>
  </si>
  <si>
    <t>在联机模式中赢得3颗胜利之星，每场战斗需使用10个野蛮人。</t>
  </si>
  <si>
    <t>在联机模式中赢得3颗胜利之星，每场战斗需使用10个弓箭手。</t>
  </si>
  <si>
    <t>在联机模式中赢得3颗胜利之星，每场战斗需使用10个哥布林。</t>
  </si>
  <si>
    <t>在联机模式中赢得3颗胜利之星，每场战斗需使用5个巨人。</t>
  </si>
  <si>
    <t>在联机模式中赢得3颗胜利之星，每场战斗需使用2个炸弹人。</t>
  </si>
  <si>
    <t>在联机模式中赢得3颗胜利之星，每场战斗需使用6个气球兵。</t>
  </si>
  <si>
    <t>在联机模式中赢得3颗胜利之星，每场战斗需使用6个法师。</t>
  </si>
  <si>
    <t>5%金币</t>
  </si>
  <si>
    <t>5%圣水</t>
  </si>
  <si>
    <t>在联机模式中赢得3颗胜利之星，每场战斗需使用1个天使。</t>
  </si>
  <si>
    <t>在联机模式中赢得3颗胜利之星，每场战斗需使用10只亡灵。</t>
  </si>
  <si>
    <t>在联机模式中赢得3颗胜利之星，每场战斗需使用5个野猪骑士。</t>
  </si>
  <si>
    <t>25%金币</t>
  </si>
  <si>
    <t>在联机模式中赢得3颗胜利之星，每场战斗需使用3条飞龙。</t>
  </si>
  <si>
    <t>在联机模式中赢得3颗胜利之星，每场战斗需使用1个皮卡超人。</t>
  </si>
  <si>
    <t>在联机模式中赢得3颗胜利之星，每场战斗需使用4个瓦基丽武神。</t>
  </si>
  <si>
    <t>在联机模式中赢得3颗胜利之星，每场战斗需使用1个戈仑石人。</t>
  </si>
  <si>
    <t>在联机模式中赢得3颗胜利之星，每场战斗需使用2个女巫。</t>
  </si>
  <si>
    <t>在联机模式中赢得3颗胜利之星，每场战斗需使用1只熔岩猎犬。</t>
  </si>
  <si>
    <t>在联机模式中赢得3颗胜利之星，每场战斗需使用2只飞龙宝宝。</t>
  </si>
  <si>
    <t>在联机模式中赢得3颗胜利之星，每场战斗需使用4个巨石投手。</t>
  </si>
  <si>
    <t>在联机模式中赢得3颗胜利之星，每场战斗需使用4个掘地矿工。</t>
  </si>
  <si>
    <t>在对抗赛中赢得3颗胜利之星，每场战斗需使用4个狂暴野蛮人。</t>
  </si>
  <si>
    <t>在对抗赛中赢得3颗胜利之星，每场战斗需使用4个隐秘弓箭手。</t>
  </si>
  <si>
    <t>在对抗赛中赢得3颗胜利之星，每场战斗需使用8只异变亡灵。</t>
  </si>
  <si>
    <t>10%黑油</t>
  </si>
  <si>
    <t>在对抗赛中赢得3颗胜利之星，每场战斗需使用2个巨人拳击手。</t>
  </si>
  <si>
    <t>在对抗赛中赢得3颗胜利之星，每场战斗需使用1个炸弹兵。</t>
  </si>
  <si>
    <t>在对抗赛中赢得3颗胜利之星，每场战斗需使用2辆加农炮战车。</t>
  </si>
  <si>
    <t>时间</t>
  </si>
  <si>
    <t>在对抗赛中赢得3颗胜利之星，每场战斗需使用2个骷髅气球。</t>
  </si>
  <si>
    <t>在对抗赛中赢得3颗胜利之星，每场战斗需使用2只飞龙宝宝。</t>
  </si>
  <si>
    <t>在对抗赛中赢得3颗胜利之星，每场战斗需使用2个暗夜女巫。</t>
  </si>
  <si>
    <t>在对抗赛中获胜3场。</t>
  </si>
  <si>
    <t>在对抗赛中赢得6颗胜利之星。</t>
  </si>
  <si>
    <t>在对抗赛中达到总计225%的摧毁率。</t>
  </si>
  <si>
    <t>在联机模式中赢得1颗胜利之星，每场战斗需使用10个野蛮人。</t>
  </si>
  <si>
    <t>在联机模式中赢得1颗胜利之星，每场战斗需使用10个弓箭手。</t>
  </si>
  <si>
    <t>在联机模式中赢得1颗胜利之星，每场战斗需使用10个哥布林。</t>
  </si>
  <si>
    <t>在联机模式中赢得1颗胜利之星，每场战斗需使用5个巨人。</t>
  </si>
  <si>
    <t>在联机模式中赢得1颗胜利之星，每场战斗需使用2个炸弹人。</t>
  </si>
  <si>
    <t>在联机模式中赢得1颗胜利之星，每场战斗需使用6个气球兵。</t>
  </si>
  <si>
    <t>在联机模式中赢得1颗胜利之星，每场战斗需使用6个法师。</t>
  </si>
  <si>
    <t>在联机模式中赢得1颗胜利之星，每场战斗需使用1个天使。</t>
  </si>
  <si>
    <t>在联机模式中赢得1颗胜利之星，每场战斗需使用10只亡灵。</t>
  </si>
  <si>
    <t>在联机模式中赢得1颗胜利之星，每场战斗需使用5个野猪骑士。</t>
  </si>
  <si>
    <t>在联机模式中赢得1颗胜利之星，每场战斗需使用3条飞龙。</t>
  </si>
  <si>
    <t>在联机模式中赢得1颗胜利之星，每场战斗需使用1个皮卡超人。</t>
  </si>
  <si>
    <t>在联机模式中赢得1颗胜利之星，每场战斗需使用4个瓦基丽武神。</t>
  </si>
  <si>
    <t>在联机模式中赢得1颗胜利之星，每场战斗需使用1个戈仑石人。</t>
  </si>
  <si>
    <t>在联机模式中赢得1颗胜利之星，每场战斗需使用2个女巫。</t>
  </si>
  <si>
    <t>在联机模式中赢得1颗胜利之星，每场战斗需使用1只熔岩猎犬。</t>
  </si>
  <si>
    <t>在联机模式中赢得1颗胜利之星，每场战斗需使用2只飞龙宝宝。</t>
  </si>
  <si>
    <t>在联机模式中赢得1颗胜利之星，每场战斗需使用4个巨石投手。</t>
  </si>
  <si>
    <t>在联机模式中赢得1颗胜利之星，每场战斗需使用4个掘地矿工。</t>
  </si>
  <si>
    <r>
      <rPr>
        <sz val="11"/>
        <rFont val="等线"/>
        <charset val="134"/>
      </rPr>
      <t>力量药水*</t>
    </r>
    <r>
      <rPr>
        <sz val="11"/>
        <rFont val="等线"/>
        <charset val="134"/>
      </rPr>
      <t>1</t>
    </r>
  </si>
  <si>
    <t>在联机模式中摧毁3个圣水收集器。</t>
  </si>
  <si>
    <t>在联机模式中摧毁3个金矿。</t>
  </si>
  <si>
    <t>在联机模式中摧毁2个圣水瓶。</t>
  </si>
  <si>
    <t>在联机模式中摧毁2个储金罐。</t>
  </si>
  <si>
    <t>90%圣水</t>
  </si>
  <si>
    <t>在联机模式中摧毁1个迫击炮。</t>
  </si>
  <si>
    <t>在联机模式中摧毁2个法师塔。</t>
  </si>
  <si>
    <t>在联机模式中摧毁3个加农炮。</t>
  </si>
  <si>
    <t>在联机模式中摧毁3个箭塔。</t>
  </si>
  <si>
    <t>在联机模式中摧毁2个暗黑重油钻井。</t>
  </si>
  <si>
    <t>75%圣水</t>
  </si>
  <si>
    <t>75%金币</t>
  </si>
  <si>
    <t>95%黑油</t>
  </si>
  <si>
    <t>35%圣水</t>
  </si>
  <si>
    <t>在联机模式中摧毁1个空气炮。</t>
  </si>
  <si>
    <t>75%黑油</t>
  </si>
  <si>
    <t>在联机模式中摧毁1个防空火箭。</t>
  </si>
  <si>
    <t>95%金币</t>
  </si>
  <si>
    <t>在联机模式中摧毁1个地狱之塔。</t>
  </si>
  <si>
    <t>在联机模式中摧毁1个炸弹塔。</t>
  </si>
  <si>
    <t>在联机模式中摧毁1个特斯拉电磁塔。</t>
  </si>
  <si>
    <t>在联机模式中摧毁1个X连弩。</t>
  </si>
  <si>
    <t>95%圣水</t>
  </si>
  <si>
    <t>在对抗赛中获胜5场。</t>
  </si>
  <si>
    <t>极难</t>
  </si>
  <si>
    <t>在对抗赛中达到总计375%的摧毁率。</t>
  </si>
  <si>
    <t>在联机模式中获胜3场。</t>
  </si>
  <si>
    <t>90%黑油</t>
  </si>
  <si>
    <t>35%黑油</t>
  </si>
  <si>
    <t>在联机模式中共掠夺750000金币。</t>
  </si>
  <si>
    <t>在联机模式中共掠夺750000圣水。</t>
  </si>
  <si>
    <t>在联机模式中共掠夺7500暗黑重油。</t>
  </si>
  <si>
    <r>
      <rPr>
        <sz val="11"/>
        <rFont val="等线"/>
        <charset val="134"/>
      </rPr>
      <t>英雄药水*</t>
    </r>
    <r>
      <rPr>
        <sz val="11"/>
        <rFont val="等线"/>
        <charset val="134"/>
      </rPr>
      <t>1</t>
    </r>
  </si>
  <si>
    <r>
      <rPr>
        <sz val="11"/>
        <rFont val="等线"/>
        <charset val="134"/>
      </rPr>
      <t>研究药水*</t>
    </r>
    <r>
      <rPr>
        <sz val="11"/>
        <rFont val="等线"/>
        <charset val="134"/>
      </rPr>
      <t>1</t>
    </r>
  </si>
  <si>
    <r>
      <rPr>
        <sz val="11"/>
        <rFont val="等线"/>
        <charset val="134"/>
      </rPr>
      <t>5</t>
    </r>
    <r>
      <rPr>
        <sz val="11"/>
        <rFont val="等线"/>
        <charset val="134"/>
      </rPr>
      <t>0宝石</t>
    </r>
  </si>
  <si>
    <r>
      <rPr>
        <sz val="11"/>
        <rFont val="等线"/>
        <charset val="134"/>
      </rPr>
      <t>壁垒之戒*</t>
    </r>
    <r>
      <rPr>
        <sz val="11"/>
        <rFont val="等线"/>
        <charset val="134"/>
      </rPr>
      <t>6</t>
    </r>
  </si>
  <si>
    <r>
      <rPr>
        <sz val="11"/>
        <rFont val="等线"/>
        <charset val="134"/>
      </rPr>
      <t>7</t>
    </r>
    <r>
      <rPr>
        <sz val="11"/>
        <rFont val="等线"/>
        <charset val="134"/>
      </rPr>
      <t>0</t>
    </r>
    <r>
      <rPr>
        <sz val="11"/>
        <rFont val="等线"/>
        <charset val="134"/>
      </rPr>
      <t>%金币</t>
    </r>
  </si>
  <si>
    <r>
      <rPr>
        <sz val="11"/>
        <rFont val="等线"/>
        <charset val="134"/>
      </rPr>
      <t>9</t>
    </r>
    <r>
      <rPr>
        <sz val="11"/>
        <rFont val="等线"/>
        <charset val="134"/>
      </rPr>
      <t>0</t>
    </r>
    <r>
      <rPr>
        <sz val="11"/>
        <rFont val="等线"/>
        <charset val="134"/>
      </rPr>
      <t>%圣水</t>
    </r>
  </si>
  <si>
    <r>
      <rPr>
        <sz val="11"/>
        <rFont val="等线"/>
        <charset val="134"/>
      </rPr>
      <t>工人药水*</t>
    </r>
    <r>
      <rPr>
        <sz val="11"/>
        <rFont val="等线"/>
        <charset val="134"/>
      </rPr>
      <t>2</t>
    </r>
  </si>
  <si>
    <t>在联机模式中获胜5场。</t>
  </si>
  <si>
    <r>
      <rPr>
        <sz val="11"/>
        <rFont val="等线"/>
        <charset val="134"/>
      </rPr>
      <t>超级药水*</t>
    </r>
    <r>
      <rPr>
        <sz val="11"/>
        <rFont val="等线"/>
        <charset val="134"/>
      </rPr>
      <t>2</t>
    </r>
  </si>
  <si>
    <t>在对抗赛中赢得12颗胜利之星。</t>
  </si>
  <si>
    <t>在联机模式中共掠夺1250000金币。</t>
  </si>
  <si>
    <r>
      <rPr>
        <sz val="11"/>
        <rFont val="等线"/>
        <charset val="134"/>
      </rPr>
      <t>2</t>
    </r>
    <r>
      <rPr>
        <sz val="11"/>
        <rFont val="等线"/>
        <charset val="134"/>
      </rPr>
      <t>0</t>
    </r>
    <r>
      <rPr>
        <sz val="11"/>
        <rFont val="等线"/>
        <charset val="134"/>
      </rPr>
      <t>%圣水</t>
    </r>
  </si>
  <si>
    <t>在联机模式中共掠夺1250000圣水。</t>
  </si>
  <si>
    <t>在联机模式中共掠夺12500暗黑重油。</t>
  </si>
  <si>
    <t>在联机模式中达到总计250%的摧毁率。</t>
  </si>
  <si>
    <t>在对抗赛中达到总计575%的摧毁率。</t>
  </si>
  <si>
    <t>在对抗赛中摧毁3个建筑大师大本营。</t>
  </si>
  <si>
    <t>在对抗赛中摧毁6个防空火炮。</t>
  </si>
  <si>
    <t>在对抗赛中摧毁3个空中炸弹发射器。</t>
  </si>
  <si>
    <r>
      <rPr>
        <sz val="11"/>
        <rFont val="等线"/>
        <charset val="134"/>
      </rPr>
      <t>40</t>
    </r>
    <r>
      <rPr>
        <sz val="11"/>
        <rFont val="等线"/>
        <charset val="134"/>
      </rPr>
      <t>%圣水</t>
    </r>
  </si>
  <si>
    <t>在对抗赛中摧毁3个时光钟楼。</t>
  </si>
  <si>
    <t>在对抗赛中摧毁3个撼地巨石。</t>
  </si>
  <si>
    <t>在对抗赛中摧毁6个双管加农炮。</t>
  </si>
  <si>
    <r>
      <rPr>
        <sz val="11"/>
        <rFont val="等线"/>
        <charset val="134"/>
      </rPr>
      <t>90</t>
    </r>
    <r>
      <rPr>
        <sz val="11"/>
        <rFont val="等线"/>
        <charset val="134"/>
      </rPr>
      <t>%金币</t>
    </r>
  </si>
  <si>
    <t>在对抗赛中摧毁3个熔岩火炮。</t>
  </si>
  <si>
    <t>在对抗赛中摧毁3个宝石矿井。</t>
  </si>
  <si>
    <t>在对抗赛中摧毁3个巨型加农炮。</t>
  </si>
  <si>
    <t>在对抗赛中摧毁3个守卫岗哨。</t>
  </si>
  <si>
    <t>在对抗赛中摧毁3个星空实验室。</t>
  </si>
  <si>
    <t>在对抗赛中摧毁3个多管迫击炮。</t>
  </si>
  <si>
    <r>
      <rPr>
        <sz val="11"/>
        <rFont val="等线"/>
        <charset val="134"/>
      </rPr>
      <t>100</t>
    </r>
    <r>
      <rPr>
        <sz val="11"/>
        <rFont val="等线"/>
        <charset val="134"/>
      </rPr>
      <t>%圣水</t>
    </r>
  </si>
  <si>
    <r>
      <rPr>
        <sz val="11"/>
        <rFont val="等线"/>
        <charset val="134"/>
      </rPr>
      <t>3</t>
    </r>
    <r>
      <rPr>
        <sz val="11"/>
        <rFont val="等线"/>
        <charset val="134"/>
      </rPr>
      <t>5</t>
    </r>
    <r>
      <rPr>
        <sz val="11"/>
        <rFont val="等线"/>
        <charset val="134"/>
      </rPr>
      <t>%金币</t>
    </r>
  </si>
  <si>
    <t>在对抗赛中摧毁1个撼地巨石。</t>
  </si>
  <si>
    <r>
      <rPr>
        <sz val="11"/>
        <rFont val="等线"/>
        <charset val="134"/>
      </rPr>
      <t>75</t>
    </r>
    <r>
      <rPr>
        <sz val="11"/>
        <rFont val="等线"/>
        <charset val="134"/>
      </rPr>
      <t>%圣水</t>
    </r>
  </si>
  <si>
    <r>
      <rPr>
        <sz val="11"/>
        <rFont val="等线"/>
        <charset val="134"/>
      </rPr>
      <t>3</t>
    </r>
    <r>
      <rPr>
        <sz val="11"/>
        <rFont val="等线"/>
        <charset val="134"/>
      </rPr>
      <t>0</t>
    </r>
    <r>
      <rPr>
        <sz val="11"/>
        <rFont val="等线"/>
        <charset val="134"/>
      </rPr>
      <t>%黑油</t>
    </r>
  </si>
  <si>
    <r>
      <rPr>
        <sz val="11"/>
        <rFont val="等线"/>
        <charset val="134"/>
      </rPr>
      <t>7</t>
    </r>
    <r>
      <rPr>
        <sz val="11"/>
        <rFont val="等线"/>
        <charset val="134"/>
      </rPr>
      <t>0</t>
    </r>
    <r>
      <rPr>
        <sz val="11"/>
        <rFont val="等线"/>
        <charset val="134"/>
      </rPr>
      <t>%黑油</t>
    </r>
  </si>
  <si>
    <r>
      <rPr>
        <sz val="11"/>
        <rFont val="等线"/>
        <charset val="134"/>
      </rPr>
      <t>9</t>
    </r>
    <r>
      <rPr>
        <sz val="11"/>
        <rFont val="等线"/>
        <charset val="134"/>
      </rPr>
      <t>0</t>
    </r>
    <r>
      <rPr>
        <sz val="11"/>
        <rFont val="等线"/>
        <charset val="134"/>
      </rPr>
      <t>%金币</t>
    </r>
  </si>
  <si>
    <t>在对抗赛中摧毁10个防空火炮。</t>
  </si>
  <si>
    <r>
      <rPr>
        <sz val="11"/>
        <rFont val="等线"/>
        <charset val="134"/>
      </rPr>
      <t>25%</t>
    </r>
    <r>
      <rPr>
        <sz val="11"/>
        <rFont val="等线"/>
        <charset val="134"/>
      </rPr>
      <t>金币</t>
    </r>
  </si>
  <si>
    <t>在对抗赛中摧毁5个撼地巨石。</t>
  </si>
  <si>
    <t>在对抗赛中摧毁10个双管加农炮。</t>
  </si>
  <si>
    <r>
      <rPr>
        <sz val="11"/>
        <rFont val="等线"/>
        <charset val="134"/>
      </rPr>
      <t>95%</t>
    </r>
    <r>
      <rPr>
        <sz val="11"/>
        <rFont val="等线"/>
        <charset val="134"/>
      </rPr>
      <t>圣水</t>
    </r>
  </si>
  <si>
    <r>
      <rPr>
        <sz val="11"/>
        <rFont val="等线"/>
        <charset val="134"/>
      </rPr>
      <t>3</t>
    </r>
    <r>
      <rPr>
        <sz val="11"/>
        <rFont val="等线"/>
        <charset val="134"/>
      </rPr>
      <t>0</t>
    </r>
    <r>
      <rPr>
        <sz val="11"/>
        <rFont val="等线"/>
        <charset val="134"/>
      </rPr>
      <t>%圣水</t>
    </r>
  </si>
  <si>
    <r>
      <rPr>
        <sz val="11"/>
        <rFont val="等线"/>
        <charset val="134"/>
      </rPr>
      <t>70</t>
    </r>
    <r>
      <rPr>
        <sz val="11"/>
        <rFont val="等线"/>
        <charset val="134"/>
      </rPr>
      <t>%圣水</t>
    </r>
  </si>
  <si>
    <r>
      <rPr>
        <sz val="11"/>
        <rFont val="等线"/>
        <charset val="134"/>
      </rPr>
      <t>90</t>
    </r>
    <r>
      <rPr>
        <sz val="11"/>
        <rFont val="等线"/>
        <charset val="134"/>
      </rPr>
      <t>%黑油</t>
    </r>
  </si>
  <si>
    <r>
      <rPr>
        <sz val="11"/>
        <rFont val="等线"/>
        <charset val="134"/>
      </rPr>
      <t>壁垒之戒*</t>
    </r>
    <r>
      <rPr>
        <sz val="11"/>
        <rFont val="等线"/>
        <charset val="134"/>
      </rPr>
      <t>8</t>
    </r>
  </si>
  <si>
    <t>在联机模式中连胜8场。</t>
  </si>
  <si>
    <t>枭雄</t>
  </si>
  <si>
    <t>在联机模式中摧毁5个天鹰火炮。</t>
  </si>
  <si>
    <t>在联机模式中摧毁8个地狱之塔。</t>
  </si>
  <si>
    <r>
      <rPr>
        <sz val="11"/>
        <rFont val="等线"/>
        <charset val="134"/>
      </rPr>
      <t>20</t>
    </r>
    <r>
      <rPr>
        <sz val="11"/>
        <rFont val="等线"/>
        <charset val="134"/>
      </rPr>
      <t>%圣水</t>
    </r>
  </si>
  <si>
    <t>在联机模式中赢得总计16颗胜利之星。</t>
  </si>
  <si>
    <t>在联机模式中获胜8场。</t>
  </si>
  <si>
    <r>
      <rPr>
        <sz val="11"/>
        <rFont val="等线"/>
        <charset val="134"/>
      </rPr>
      <t>80</t>
    </r>
    <r>
      <rPr>
        <sz val="11"/>
        <rFont val="等线"/>
        <charset val="134"/>
      </rPr>
      <t>%圣水</t>
    </r>
  </si>
  <si>
    <t>在对抗赛中赢得20颗胜利之星。</t>
  </si>
  <si>
    <r>
      <rPr>
        <sz val="11"/>
        <rFont val="等线"/>
        <charset val="134"/>
      </rPr>
      <t>1</t>
    </r>
    <r>
      <rPr>
        <sz val="11"/>
        <rFont val="等线"/>
        <charset val="134"/>
      </rPr>
      <t>00</t>
    </r>
    <r>
      <rPr>
        <sz val="11"/>
        <rFont val="等线"/>
        <charset val="134"/>
      </rPr>
      <t>%金币</t>
    </r>
  </si>
  <si>
    <t>在联机模式中共掠夺2000000金币。</t>
  </si>
  <si>
    <t>在联机模式中共掠夺2000000圣水。</t>
  </si>
  <si>
    <t>在联机模式中共掠夺20000暗黑重油。</t>
  </si>
  <si>
    <t>在联机模式中达到总计600%的摧毁率。</t>
  </si>
  <si>
    <t>在对抗赛中达到总计900%的摧毁率。</t>
  </si>
  <si>
    <t>在对抗赛中获胜6场。</t>
  </si>
  <si>
    <t>1小时突击</t>
  </si>
  <si>
    <t>在对抗赛中达到总计450%的摧毁率。</t>
  </si>
  <si>
    <t>在联机模式中获胜4场。</t>
  </si>
  <si>
    <r>
      <rPr>
        <sz val="11"/>
        <rFont val="等线"/>
        <charset val="134"/>
      </rPr>
      <t>2</t>
    </r>
    <r>
      <rPr>
        <sz val="11"/>
        <rFont val="等线"/>
        <charset val="134"/>
      </rPr>
      <t>0</t>
    </r>
    <r>
      <rPr>
        <sz val="11"/>
        <rFont val="等线"/>
        <charset val="134"/>
      </rPr>
      <t>宝石</t>
    </r>
  </si>
  <si>
    <t>在联机模式中摧毁3个天鹰火炮。</t>
  </si>
  <si>
    <t>在联机模式中摧毁14个圣水收集器。</t>
  </si>
  <si>
    <t>在联机模式中摧毁14个金矿。</t>
  </si>
  <si>
    <t>在联机模式中摧毁8个圣水瓶。</t>
  </si>
  <si>
    <t>在联机模式中摧毁8个储金罐。</t>
  </si>
  <si>
    <t>在联机模式中摧毁10个法师塔。</t>
  </si>
  <si>
    <t>在联机模式中摧毁14个加农炮。</t>
  </si>
  <si>
    <t>在联机模式中摧毁16个箭塔。</t>
  </si>
  <si>
    <t>在联机模式中摧毁3个暗黑重油罐。</t>
  </si>
  <si>
    <t>在联机模式中摧毁3个部落城堡。</t>
  </si>
  <si>
    <r>
      <rPr>
        <sz val="11"/>
        <rFont val="等线"/>
        <charset val="134"/>
      </rPr>
      <t>3</t>
    </r>
    <r>
      <rPr>
        <sz val="11"/>
        <rFont val="等线"/>
        <charset val="134"/>
      </rPr>
      <t>0%金币</t>
    </r>
  </si>
  <si>
    <t>在联机模式中摧毁3个实验室。</t>
  </si>
  <si>
    <t>在联机模式中摧毁3个法术工厂。</t>
  </si>
  <si>
    <t>在联机模式中摧毁3个暗黑法术工厂。</t>
  </si>
  <si>
    <t>在联机模式中摧毁6个空气炮。</t>
  </si>
  <si>
    <t>在联机模式中摧毁8个防空火箭。</t>
  </si>
  <si>
    <t>在联机模式中摧毁6个炸弹塔。</t>
  </si>
  <si>
    <t>在联机模式中摧毁10个特斯拉电磁塔。</t>
  </si>
  <si>
    <t>在联机模式中摧毁8个X连弩。</t>
  </si>
  <si>
    <t>在联机模式中摧毁3个野蛮人之王王座。</t>
  </si>
  <si>
    <t>在联机模式中摧毁3个弓箭女皇王座。</t>
  </si>
  <si>
    <t>在联机模式中摧毁3个大守护者王座。</t>
  </si>
  <si>
    <t>在联机模式中共掠夺1000000金币。</t>
  </si>
  <si>
    <t>在联机模式中共掠夺1000000圣水。</t>
  </si>
  <si>
    <t>在联机模式中共掠夺10000暗黑重油。</t>
  </si>
  <si>
    <t>在联机模式中连胜4场。</t>
  </si>
  <si>
    <t>在对抗赛中摧毁6个建筑大师大本营。</t>
  </si>
  <si>
    <t>在对抗赛中摧毁12个防空火炮。</t>
  </si>
  <si>
    <t>在对抗赛中摧毁6个空中炸弹发射器。</t>
  </si>
  <si>
    <t>在对抗赛中摧毁6个时光钟楼。</t>
  </si>
  <si>
    <t>在对抗赛中摧毁6个撼地巨石。</t>
  </si>
  <si>
    <t>在对抗赛中摧毁12个双管加农炮。</t>
  </si>
  <si>
    <t>在对抗赛中摧毁6个熔岩火炮。</t>
  </si>
  <si>
    <t>在对抗赛中摧毁6个宝石矿井。</t>
  </si>
  <si>
    <t>在对抗赛中摧毁6个巨型加农炮。</t>
  </si>
  <si>
    <t>在对抗赛中摧毁6个守卫岗哨。</t>
  </si>
  <si>
    <t>在对抗赛中摧毁6个星空实验室。</t>
  </si>
  <si>
    <t>在对抗赛中摧毁6个多管迫击炮。</t>
  </si>
  <si>
    <t>在部落对战中赢得3颗胜利之星。</t>
  </si>
  <si>
    <t>在联机模式中击败的大守护者等级累计达到20。</t>
  </si>
  <si>
    <t>在对抗赛中赢得3颗胜利之星，每场战斗需使用1个超级皮卡。</t>
  </si>
  <si>
    <t>在对抗赛中摧毁6个超级特斯拉电磁塔。</t>
  </si>
  <si>
    <t>在对抗赛中摧毁3个超级特斯拉电磁塔。</t>
  </si>
  <si>
    <t>在联机模式中赢得3颗胜利之星，每场战斗需使用1台攻城战车。</t>
  </si>
  <si>
    <t>在联机模式中赢得3颗胜利之星，每场战斗需使用1艘攻城飞艇。</t>
  </si>
  <si>
    <t>在联机模式中赢得3颗胜利之星，每场战斗需使用2条雷电飞龙。</t>
  </si>
  <si>
    <t>在联机模式中摧毁50座建筑。</t>
  </si>
  <si>
    <t>在联机模式中摧毁75块城墙。</t>
  </si>
  <si>
    <t>在对抗赛中摧毁50座建筑。</t>
  </si>
  <si>
    <t>在对抗赛中摧毁100座建筑。</t>
  </si>
  <si>
    <t>在对抗赛中摧毁150块城墙。</t>
  </si>
  <si>
    <t>在对抗赛中摧毁250块城墙。</t>
  </si>
  <si>
    <t>在对抗赛中摧毁350块城墙。</t>
  </si>
  <si>
    <t>在联机模式中赢得3颗胜利之星，每场战斗需使用4个超级野蛮人。</t>
  </si>
  <si>
    <t>在联机模式中赢得1颗胜利之星，每场战斗需使用4个超级野蛮人。</t>
  </si>
  <si>
    <t>在联机模式中赢得3颗胜利之星，每场战斗需使用6个隐秘哥布林。</t>
  </si>
  <si>
    <t>在联机模式中赢得1颗胜利之星，每场战斗需使用6个隐秘哥布林。</t>
  </si>
  <si>
    <t>在联机模式中赢得3颗胜利之星，每场战斗需使用2个超级炸弹人。</t>
  </si>
  <si>
    <t>在联机模式中赢得1颗胜利之星，每场战斗需使用2个超级炸弹人。</t>
  </si>
  <si>
    <t>在联机模式中赢得3颗胜利之星，每场战斗需使用2个超级巨人。</t>
  </si>
  <si>
    <t>在联机模式中赢得1颗胜利之星，每场战斗需使用2个超级巨人。</t>
  </si>
  <si>
    <t>在联机模式中赢得3颗胜利之星，每场战斗需使用1个攻城气球。</t>
  </si>
  <si>
    <t>在联机模式中赢得3颗胜利之星，每场战斗需使用1个攻城训练营。</t>
  </si>
  <si>
    <t>在联机模式中赢得3颗胜利之星，每场战斗需使用1个大雪怪。</t>
  </si>
  <si>
    <t>在联机模式中赢得3颗胜利之星，每场战斗需使用2个英雄猎手。</t>
  </si>
  <si>
    <t>在联机模式中赢得3颗胜利之星，每场战斗需使用1个戈仑冰人。</t>
  </si>
  <si>
    <t>破坏投石炮</t>
  </si>
  <si>
    <t>在联机模式中摧毁2个投石炮。</t>
  </si>
  <si>
    <t>在联机模式中赢得3颗胜利之星，每场战斗需使用4个超级弓箭手。</t>
  </si>
  <si>
    <t>在联机模式中赢得1颗胜利之星，每场战斗需使用4个超级弓箭手。</t>
  </si>
  <si>
    <t>在联机模式中赢得3颗胜利之星，每场战斗需使用1个超级女巫。</t>
  </si>
  <si>
    <t>在联机模式中赢得1颗胜利之星，每场战斗需使用1个超级女巫。</t>
  </si>
  <si>
    <t>参加3场联机模式战斗，每场战斗需使用1x超级瓦基丽武神且赢得至少1颗胜利之星。</t>
  </si>
  <si>
    <t>参加1场联机模式战斗，每场战斗需使用1x超级瓦基丽武神且赢得至少1颗胜利之星。</t>
  </si>
  <si>
    <t>参加3场联机模式战斗，每场战斗需使用1x地狱飞龙且赢得至少1颗胜利之星。</t>
  </si>
  <si>
    <t>参加1场联机模式战斗，每场战斗需使用1x地狱飞龙且赢得至少1颗胜利之星。</t>
  </si>
  <si>
    <t>参加3场联机模式战斗，每场战斗需使用1x超级法师且赢得至少1颗胜利之星。</t>
  </si>
  <si>
    <t>参加1场联机模式战斗，每场战斗需使用1x超级法师且赢得至少1颗胜利之星。</t>
  </si>
  <si>
    <t>参加3场联机模式战斗，每场战斗需使用1x寒冰猎犬且赢得至少1颗胜利之星。</t>
  </si>
  <si>
    <t>参加1场联机模式战斗，每场战斗需使用1x寒冰猎犬且赢得至少1颗胜利之星。</t>
  </si>
  <si>
    <t>参加3场联机模式战斗，每场战斗需使用1x超级亡灵且赢得至少1颗胜利之星。</t>
  </si>
  <si>
    <t>参加1场联机模式战斗，每场战斗需使用1x超级亡灵且赢得至少1颗胜利之星。</t>
  </si>
  <si>
    <t>在联机模式中赢得3颗胜利之星，每场战斗需使用1台攻城滚木车。</t>
  </si>
  <si>
    <t>狩猎行动</t>
  </si>
  <si>
    <t>在联机模式中摧毁3座投石炮。</t>
  </si>
  <si>
    <t>在联机模式中摧毁6座投石炮。</t>
  </si>
  <si>
    <t>在联机模式中击败的飞盾战神等级累计达到40。</t>
  </si>
  <si>
    <t>在联机模式中击败的飞盾战神等级累计达到80。</t>
  </si>
  <si>
    <t>雪怪出没</t>
  </si>
  <si>
    <t>在联机模式中摧毁15座建筑工人小屋。</t>
  </si>
  <si>
    <t>在联机模式中摧毁30座建筑工人小屋。</t>
  </si>
  <si>
    <t>在联机模式中摧毁9座兵营。</t>
  </si>
  <si>
    <t>在联机模式中摧毁18座兵营。</t>
  </si>
  <si>
    <t>部落冲突研究笔记 2.0.1，更新于2023年9月3日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</si>
</sst>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8" formatCode="[&gt;=1]d&quot;天&quot;hh&quot;时&quot;;[&lt;1]h&quot;时&quot;mm&quot;分&quot;"/>
    <numFmt numFmtId="169" formatCode="m&quot;分&quot;ss&quot;秒&quot;"/>
    <numFmt numFmtId="170" formatCode="0.0&quot;格&quot;"/>
    <numFmt numFmtId="171" formatCode="#&quot;/时&quot;"/>
    <numFmt numFmtId="172" formatCode="??\ &quot;❸&quot;"/>
    <numFmt numFmtId="173" formatCode="??\ &quot;❺&quot;"/>
    <numFmt numFmtId="174" formatCode="0&quot;%&quot;"/>
    <numFmt numFmtId="175" formatCode="yyyy&quot;年&quot;m&quot;月&quot;d&quot;日&quot;;@"/>
    <numFmt numFmtId="176" formatCode="#&quot;宝&quot;&quot;石&quot;"/>
    <numFmt numFmtId="177" formatCode="??\ &quot;▲&quot;"/>
    <numFmt numFmtId="178" formatCode="#.0&quot;秒&quot;"/>
    <numFmt numFmtId="179" formatCode="??\ &quot;■&quot;"/>
    <numFmt numFmtId="180" formatCode="??\ &quot;◆&quot;"/>
    <numFmt numFmtId="181" formatCode="??&quot;★&quot;"/>
    <numFmt numFmtId="182" formatCode="0.0%"/>
    <numFmt numFmtId="183" formatCode="??\ &quot;▼&quot;"/>
    <numFmt numFmtId="184" formatCode="[&gt;30]0.0&quot;天&quot;;[&lt;=30]d&quot;天&quot;hh&quot;时&quot;"/>
    <numFmt numFmtId="185" formatCode="#&quot;.&quot;0,&quot;万&quot;"/>
    <numFmt numFmtId="186" formatCode="0.0"/>
    <numFmt numFmtId="187" formatCode="??\ &quot;❽&quot;"/>
    <numFmt numFmtId="188" formatCode="0.0_ "/>
    <numFmt numFmtId="189" formatCode="??\ &quot;❿&quot;"/>
    <numFmt numFmtId="190" formatCode="0.000_ "/>
    <numFmt numFmtId="191" formatCode="??\ &quot;❾&quot;"/>
    <numFmt numFmtId="192" formatCode="0.00_ "/>
    <numFmt numFmtId="193" formatCode="??\ &quot;❶&quot;"/>
    <numFmt numFmtId="194" formatCode="0.0000"/>
    <numFmt numFmtId="195" formatCode="0.0&quot;/天&quot;"/>
    <numFmt numFmtId="196" formatCode="0.000"/>
    <numFmt numFmtId="197" formatCode="#&quot;分&quot;&quot;钟&quot;"/>
    <numFmt numFmtId="198" formatCode="#&quot;级&quot;"/>
    <numFmt numFmtId="199" formatCode="??\ &quot;❼&quot;"/>
    <numFmt numFmtId="200" formatCode="??\ &quot;❷&quot;"/>
    <numFmt numFmtId="201" formatCode="??\ &quot;❹&quot;"/>
    <numFmt numFmtId="202" formatCode="??\ &quot;❻&quot;"/>
    <numFmt numFmtId="203" formatCode="[&gt;=10000]#&quot;.&quot;0,&quot;万&quot;;General"/>
    <numFmt numFmtId="204" formatCode="[&lt;1]h&quot;时&quot;mm&quot;分&quot;;[&gt;=1]d&quot;天&quot;hh&quot;时&quot;"/>
    <numFmt numFmtId="205" formatCode="#.00&quot;秒&quot;"/>
    <numFmt numFmtId="206" formatCode="0&quot;天&quot;"/>
  </numFmts>
  <fonts count="99">
    <font>
      <sz val="11"/>
      <name val="等线"/>
      <charset val="134"/>
    </font>
    <font>
      <sz val="11"/>
      <color rgb="FF000000"/>
      <name val="等线"/>
      <charset val="134"/>
    </font>
    <font>
      <sz val="11"/>
      <color rgb="FFFF0000"/>
      <name val="等线"/>
      <charset val="134"/>
    </font>
    <font>
      <sz val="11"/>
      <color theme="1"/>
      <name val="Calibri"/>
      <charset val="134"/>
      <scheme val="minor"/>
    </font>
    <font>
      <u/>
      <sz val="11"/>
      <color rgb="FF0000FF"/>
      <name val="Calibri"/>
      <charset val="134"/>
      <scheme val="minor"/>
    </font>
    <font>
      <sz val="18"/>
      <color rgb="FFFFFFFF"/>
      <name val="黑体"/>
      <charset val="134"/>
    </font>
    <font>
      <sz val="16"/>
      <color theme="0"/>
      <name val="Calibri"/>
      <charset val="134"/>
      <scheme val="minor"/>
    </font>
    <font>
      <sz val="11"/>
      <color rgb="FFFFFFFF"/>
      <name val="黑体"/>
      <charset val="134"/>
    </font>
    <font>
      <sz val="11"/>
      <color theme="0"/>
      <name val="黑体"/>
      <charset val="134"/>
    </font>
    <font>
      <sz val="16"/>
      <color theme="0"/>
      <name val="黑体"/>
      <charset val="134"/>
    </font>
    <font>
      <sz val="14"/>
      <color rgb="FFFFFFFF"/>
      <name val="黑体"/>
      <charset val="134"/>
    </font>
    <font>
      <sz val="10"/>
      <color rgb="FFFFFFFF"/>
      <name val="黑体"/>
      <charset val="134"/>
    </font>
    <font>
      <b/>
      <sz val="11"/>
      <color theme="9" tint="0.79976805932798245"/>
      <name val="黑体"/>
      <charset val="134"/>
    </font>
    <font>
      <sz val="11"/>
      <color rgb="FFFFFFFF"/>
      <name val="宋体"/>
      <charset val="134"/>
    </font>
    <font>
      <b/>
      <sz val="11"/>
      <color rgb="FFD9EED0"/>
      <name val="黑体"/>
      <charset val="134"/>
    </font>
    <font>
      <b/>
      <sz val="11"/>
      <color rgb="FFFFDF87"/>
      <name val="黑体"/>
      <charset val="134"/>
    </font>
    <font>
      <b/>
      <sz val="11"/>
      <color theme="0" tint="-0.1498458815271462"/>
      <name val="黑体"/>
      <charset val="134"/>
    </font>
    <font>
      <b/>
      <sz val="11"/>
      <color rgb="FFF7CAAC"/>
      <name val="黑体"/>
      <charset val="134"/>
    </font>
    <font>
      <b/>
      <sz val="11"/>
      <color rgb="FFFFFF00"/>
      <name val="黑体"/>
      <charset val="134"/>
    </font>
    <font>
      <b/>
      <sz val="11"/>
      <color rgb="FF69D8FF"/>
      <name val="黑体"/>
      <charset val="134"/>
    </font>
    <font>
      <b/>
      <sz val="11"/>
      <color rgb="FFFDECBE"/>
      <name val="黑体"/>
      <charset val="134"/>
    </font>
    <font>
      <b/>
      <sz val="11"/>
      <color rgb="FFCFF5FF"/>
      <name val="黑体"/>
      <charset val="134"/>
    </font>
    <font>
      <sz val="11"/>
      <color rgb="FF000000"/>
      <name val="黑体"/>
      <charset val="134"/>
    </font>
    <font>
      <b/>
      <sz val="11"/>
      <color rgb="FFFAB852"/>
      <name val="黑体"/>
      <charset val="134"/>
    </font>
    <font>
      <b/>
      <sz val="11"/>
      <color rgb="FFB17ED8"/>
      <name val="黑体"/>
      <charset val="134"/>
    </font>
    <font>
      <b/>
      <sz val="11"/>
      <color rgb="FFE2EFD9"/>
      <name val="黑体"/>
      <charset val="134"/>
    </font>
    <font>
      <sz val="11"/>
      <color rgb="FFFFF2CB"/>
      <name val="黑体"/>
      <charset val="134"/>
    </font>
    <font>
      <b/>
      <sz val="11"/>
      <color rgb="FFFFE598"/>
      <name val="黑体"/>
      <charset val="134"/>
    </font>
    <font>
      <b/>
      <sz val="11"/>
      <color rgb="FFE6E4E4"/>
      <name val="黑体"/>
      <charset val="134"/>
    </font>
    <font>
      <sz val="18"/>
      <color theme="0"/>
      <name val="黑体"/>
      <charset val="134"/>
    </font>
    <font>
      <sz val="14"/>
      <color theme="0"/>
      <name val="黑体"/>
      <charset val="134"/>
    </font>
    <font>
      <sz val="12"/>
      <color theme="0"/>
      <name val="黑体"/>
      <charset val="134"/>
    </font>
    <font>
      <sz val="11"/>
      <color theme="8" tint="0.39994506668294322"/>
      <name val="黑体"/>
      <charset val="134"/>
    </font>
    <font>
      <sz val="11"/>
      <color rgb="FFD9EED0"/>
      <name val="黑体"/>
      <charset val="134"/>
    </font>
    <font>
      <sz val="11"/>
      <color rgb="FFFDECBE"/>
      <name val="黑体"/>
      <charset val="134"/>
    </font>
    <font>
      <sz val="11"/>
      <color rgb="FFFFDF87"/>
      <name val="黑体"/>
      <charset val="134"/>
    </font>
    <font>
      <sz val="11"/>
      <color theme="0" tint="-0.1498458815271462"/>
      <name val="黑体"/>
      <charset val="134"/>
    </font>
    <font>
      <sz val="11"/>
      <color rgb="FFF7CAAC"/>
      <name val="黑体"/>
      <charset val="134"/>
    </font>
    <font>
      <sz val="11"/>
      <color rgb="FFFFFF00"/>
      <name val="黑体"/>
      <charset val="134"/>
    </font>
    <font>
      <sz val="11"/>
      <color rgb="FF69D8FF"/>
      <name val="黑体"/>
      <charset val="134"/>
    </font>
    <font>
      <sz val="11"/>
      <color rgb="FFCFF5FF"/>
      <name val="黑体"/>
      <charset val="134"/>
    </font>
    <font>
      <sz val="11"/>
      <color rgb="FFFAB852"/>
      <name val="黑体"/>
      <charset val="134"/>
    </font>
    <font>
      <sz val="11"/>
      <color rgb="FFB17ED8"/>
      <name val="黑体"/>
      <charset val="134"/>
    </font>
    <font>
      <b/>
      <sz val="11"/>
      <color theme="9" tint="0.59999389629810485"/>
      <name val="黑体"/>
      <charset val="134"/>
    </font>
    <font>
      <b/>
      <sz val="11"/>
      <color theme="5" tint="0.59999389629810485"/>
      <name val="黑体"/>
      <charset val="134"/>
    </font>
    <font>
      <sz val="11"/>
      <color theme="2" tint="-0.249977111117893"/>
      <name val="黑体"/>
      <charset val="134"/>
    </font>
    <font>
      <sz val="11"/>
      <color rgb="FF92D050"/>
      <name val="华文楷体"/>
      <charset val="134"/>
    </font>
    <font>
      <sz val="12"/>
      <color rgb="FFFFC000"/>
      <name val="黑体"/>
      <charset val="134"/>
    </font>
    <font>
      <b/>
      <sz val="11"/>
      <color theme="0"/>
      <name val="黑体"/>
      <charset val="134"/>
    </font>
    <font>
      <sz val="11"/>
      <color theme="0"/>
      <name val="Calibri"/>
      <charset val="134"/>
      <scheme val="minor"/>
    </font>
    <font>
      <sz val="10"/>
      <color theme="0"/>
      <name val="黑体"/>
      <charset val="134"/>
    </font>
    <font>
      <b/>
      <sz val="11"/>
      <color rgb="FFFFC000"/>
      <name val="黑体"/>
      <charset val="134"/>
    </font>
    <font>
      <sz val="11"/>
      <color rgb="FFFFC000"/>
      <name val="黑体"/>
      <charset val="134"/>
    </font>
    <font>
      <b/>
      <u/>
      <sz val="11"/>
      <color rgb="FFFDECBE"/>
      <name val="黑体"/>
      <charset val="134"/>
    </font>
    <font>
      <sz val="11"/>
      <color rgb="FF00B0F0"/>
      <name val="黑体"/>
      <charset val="134"/>
    </font>
    <font>
      <b/>
      <sz val="11"/>
      <color rgb="FFFFFFFF"/>
      <name val="黑体"/>
      <charset val="134"/>
    </font>
    <font>
      <b/>
      <sz val="18"/>
      <color theme="0"/>
      <name val="黑体"/>
      <charset val="134"/>
    </font>
    <font>
      <b/>
      <sz val="14"/>
      <color theme="0"/>
      <name val="黑体"/>
      <charset val="134"/>
    </font>
    <font>
      <sz val="11"/>
      <color theme="1" tint="0.499984740745262"/>
      <name val="黑体"/>
      <charset val="134"/>
    </font>
    <font>
      <b/>
      <sz val="11"/>
      <color theme="5"/>
      <name val="黑体"/>
      <charset val="134"/>
    </font>
    <font>
      <b/>
      <sz val="11"/>
      <color rgb="FFE172EE"/>
      <name val="黑体"/>
      <charset val="134"/>
    </font>
    <font>
      <b/>
      <sz val="11"/>
      <color rgb="FFED5555"/>
      <name val="黑体"/>
      <charset val="134"/>
    </font>
    <font>
      <sz val="11"/>
      <color rgb="FF92D050"/>
      <name val="黑体"/>
      <charset val="134"/>
    </font>
    <font>
      <sz val="16"/>
      <color rgb="FFFFFFFF"/>
      <name val="黑体"/>
      <charset val="134"/>
    </font>
    <font>
      <sz val="1"/>
      <color theme="6" tint="-0.249977111117893"/>
      <name val="黑体"/>
      <charset val="134"/>
    </font>
    <font>
      <sz val="1"/>
      <color rgb="FF5664A1"/>
      <name val="黑体"/>
      <charset val="134"/>
    </font>
    <font>
      <b/>
      <sz val="16"/>
      <color rgb="FFFFFFFF"/>
      <name val="黑体"/>
      <charset val="134"/>
    </font>
    <font>
      <sz val="11"/>
      <name val="黑体"/>
      <charset val="134"/>
    </font>
    <font>
      <sz val="6"/>
      <color theme="6" tint="-0.249977111117893"/>
      <name val="黑体"/>
      <charset val="134"/>
    </font>
    <font>
      <sz val="17"/>
      <color rgb="FFFFFFFF"/>
      <name val="黑体"/>
      <charset val="134"/>
    </font>
    <font>
      <sz val="11"/>
      <color rgb="FFFFFFFF"/>
      <name val="等线"/>
      <charset val="134"/>
    </font>
    <font>
      <sz val="11"/>
      <color rgb="FFE172EE"/>
      <name val="黑体"/>
      <charset val="134"/>
    </font>
    <font>
      <sz val="11"/>
      <color theme="3" tint="-0.249977111117893"/>
      <name val="黑体"/>
      <charset val="134"/>
    </font>
    <font>
      <sz val="11"/>
      <color rgb="FFE6E88C"/>
      <name val="黑体"/>
      <charset val="134"/>
    </font>
    <font>
      <sz val="11"/>
      <color theme="7" tint="0.59999389629810485"/>
      <name val="黑体"/>
      <charset val="134"/>
    </font>
    <font>
      <sz val="11"/>
      <color rgb="FFE2A536"/>
      <name val="黑体"/>
      <charset val="134"/>
    </font>
    <font>
      <sz val="11"/>
      <color theme="5"/>
      <name val="黑体"/>
      <charset val="134"/>
    </font>
    <font>
      <sz val="11"/>
      <color rgb="FFED5555"/>
      <name val="黑体"/>
      <charset val="134"/>
    </font>
    <font>
      <sz val="11"/>
      <color theme="0"/>
      <name val="等线"/>
      <charset val="134"/>
    </font>
    <font>
      <sz val="11"/>
      <color rgb="FFFF0000"/>
      <name val="黑体"/>
      <charset val="134"/>
    </font>
    <font>
      <sz val="11"/>
      <color rgb="FFFFFFFF"/>
      <name val="Malgun Gothic Semilight"/>
      <charset val="134"/>
    </font>
    <font>
      <sz val="11"/>
      <color rgb="FFFF99FF"/>
      <name val="黑体"/>
      <charset val="134"/>
    </font>
    <font>
      <sz val="11"/>
      <color rgb="FF3E8871"/>
      <name val="黑体"/>
      <charset val="134"/>
    </font>
    <font>
      <b/>
      <sz val="11"/>
      <color rgb="FFFFF2CB"/>
      <name val="黑体"/>
      <charset val="134"/>
    </font>
    <font>
      <b/>
      <sz val="11"/>
      <color rgb="FF7030A0"/>
      <name val="黑体"/>
      <charset val="134"/>
    </font>
    <font>
      <b/>
      <sz val="11"/>
      <color theme="0"/>
      <name val="等线"/>
      <charset val="134"/>
    </font>
    <font>
      <u/>
      <sz val="11"/>
      <color rgb="FF800080"/>
      <name val="等线"/>
      <charset val="134"/>
    </font>
    <font>
      <b/>
      <sz val="11"/>
      <color rgb="FF29C7FF"/>
      <name val="黑体"/>
      <charset val="134"/>
    </font>
    <font>
      <sz val="11"/>
      <color theme="0"/>
      <name val="Arial"/>
      <charset val="134"/>
    </font>
    <font>
      <b/>
      <sz val="10"/>
      <color theme="0"/>
      <name val="Arial"/>
      <charset val="134"/>
    </font>
    <font>
      <b/>
      <sz val="11"/>
      <color rgb="FFFFFFFF"/>
      <name val="等线"/>
      <charset val="134"/>
    </font>
    <font>
      <b/>
      <sz val="16"/>
      <color theme="0"/>
      <name val="黑体"/>
      <charset val="134"/>
    </font>
    <font>
      <b/>
      <sz val="14"/>
      <color rgb="FFFFFFFF"/>
      <name val="等线"/>
      <charset val="134"/>
    </font>
    <font>
      <sz val="12"/>
      <color rgb="FFFFFFFF"/>
      <name val="黑体"/>
      <charset val="134"/>
    </font>
    <font>
      <b/>
      <sz val="12"/>
      <color rgb="FFFFC000"/>
      <name val="黑体"/>
      <charset val="134"/>
    </font>
    <font>
      <b/>
      <sz val="11"/>
      <color theme="2" tint="-0.249977111117893"/>
      <name val="黑体"/>
      <charset val="134"/>
    </font>
    <font>
      <b/>
      <sz val="11"/>
      <color rgb="FFFFC000"/>
      <name val="等线"/>
      <charset val="134"/>
    </font>
    <font>
      <sz val="12"/>
      <color indexed="51"/>
      <name val="宋体"/>
      <charset val="134"/>
    </font>
    <font>
      <sz val="11"/>
      <name val="等线"/>
      <charset val="134"/>
    </font>
  </fonts>
  <fills count="16">
    <fill>
      <patternFill patternType="none"/>
    </fill>
    <fill>
      <patternFill patternType="gray125"/>
    </fill>
    <fill>
      <patternFill patternType="solid">
        <fgColor theme="6" tint="0.79985961485641044"/>
        <bgColor indexed="64"/>
      </patternFill>
    </fill>
    <fill>
      <patternFill patternType="solid">
        <fgColor rgb="FF92D050"/>
        <bgColor indexed="64"/>
      </patternFill>
    </fill>
    <fill>
      <patternFill patternType="solid">
        <fgColor theme="8" tint="0.79985961485641044"/>
        <bgColor indexed="64"/>
      </patternFill>
    </fill>
    <fill>
      <patternFill patternType="solid">
        <fgColor rgb="FFFFFF00"/>
        <bgColor indexed="64"/>
      </patternFill>
    </fill>
    <fill>
      <patternFill patternType="solid">
        <fgColor theme="7" tint="0.79976805932798245"/>
        <bgColor indexed="64"/>
      </patternFill>
    </fill>
    <fill>
      <patternFill patternType="solid">
        <fgColor theme="9" tint="0.79976805932798245"/>
        <bgColor indexed="64"/>
      </patternFill>
    </fill>
    <fill>
      <patternFill patternType="solid">
        <fgColor theme="8" tint="0.79976805932798245"/>
        <bgColor indexed="64"/>
      </patternFill>
    </fill>
    <fill>
      <patternFill patternType="solid">
        <fgColor theme="7" tint="0.59999389629810485"/>
        <bgColor indexed="64"/>
      </patternFill>
    </fill>
    <fill>
      <patternFill patternType="solid">
        <fgColor theme="7" tint="0.79992065187536243"/>
        <bgColor indexed="64"/>
      </patternFill>
    </fill>
    <fill>
      <patternFill patternType="solid">
        <fgColor rgb="FF36698F"/>
        <bgColor indexed="64"/>
      </patternFill>
    </fill>
    <fill>
      <patternFill patternType="solid">
        <fgColor theme="6" tint="-0.249977111117893"/>
        <bgColor indexed="64"/>
      </patternFill>
    </fill>
    <fill>
      <patternFill patternType="solid">
        <fgColor rgb="FF75BADA"/>
        <bgColor indexed="64"/>
      </patternFill>
    </fill>
    <fill>
      <patternFill patternType="solid">
        <fgColor theme="0"/>
        <bgColor indexed="64"/>
      </patternFill>
    </fill>
    <fill>
      <patternFill patternType="solid">
        <fgColor theme="5" tint="-0.249977111117893"/>
        <bgColor indexed="64"/>
      </patternFill>
    </fill>
  </fills>
  <borders count="5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medium">
        <color theme="0"/>
      </bottom>
      <diagonal/>
    </border>
    <border>
      <left/>
      <right/>
      <top/>
      <bottom style="medium">
        <color rgb="FFFFFFF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top style="thin">
        <color rgb="FFFFFFFF"/>
      </top>
      <bottom style="thin">
        <color rgb="FFFFFFFF"/>
      </bottom>
      <diagonal/>
    </border>
    <border>
      <left/>
      <right/>
      <top/>
      <bottom style="thin">
        <color theme="0"/>
      </bottom>
      <diagonal/>
    </border>
    <border>
      <left/>
      <right/>
      <top style="thin">
        <color theme="0"/>
      </top>
      <bottom/>
      <diagonal/>
    </border>
    <border>
      <left/>
      <right/>
      <top style="thin">
        <color theme="0"/>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style="thin">
        <color theme="0"/>
      </left>
      <right/>
      <top/>
      <bottom/>
      <diagonal/>
    </border>
    <border>
      <left style="thin">
        <color rgb="FFFFFFFF"/>
      </left>
      <right/>
      <top style="thin">
        <color rgb="FFFFFFFF"/>
      </top>
      <bottom style="thin">
        <color rgb="FFFFFFFF"/>
      </bottom>
      <diagonal/>
    </border>
    <border>
      <left style="thin">
        <color theme="0"/>
      </left>
      <right/>
      <top style="thin">
        <color rgb="FFFFFFFF"/>
      </top>
      <bottom/>
      <diagonal/>
    </border>
    <border>
      <left style="medium">
        <color theme="0"/>
      </left>
      <right/>
      <top/>
      <bottom/>
      <diagonal/>
    </border>
    <border>
      <left style="thin">
        <color theme="0"/>
      </left>
      <right/>
      <top style="thin">
        <color theme="0"/>
      </top>
      <bottom/>
      <diagonal/>
    </border>
    <border>
      <left style="thin">
        <color theme="0"/>
      </left>
      <right/>
      <top/>
      <bottom style="thin">
        <color theme="0"/>
      </bottom>
      <diagonal/>
    </border>
    <border>
      <left/>
      <right/>
      <top style="dashDotDot">
        <color theme="0"/>
      </top>
      <bottom/>
      <diagonal/>
    </border>
    <border>
      <left/>
      <right/>
      <top/>
      <bottom style="dashDotDot">
        <color theme="0"/>
      </bottom>
      <diagonal/>
    </border>
    <border>
      <left/>
      <right style="thin">
        <color theme="0"/>
      </right>
      <top/>
      <bottom style="thin">
        <color rgb="FFFFFFFF"/>
      </bottom>
      <diagonal/>
    </border>
    <border>
      <left/>
      <right style="thin">
        <color theme="0"/>
      </right>
      <top style="thin">
        <color rgb="FFFFFFFF"/>
      </top>
      <bottom/>
      <diagonal/>
    </border>
    <border>
      <left style="thin">
        <color theme="0"/>
      </left>
      <right/>
      <top style="thin">
        <color theme="0"/>
      </top>
      <bottom style="thin">
        <color theme="0"/>
      </bottom>
      <diagonal/>
    </border>
    <border>
      <left/>
      <right style="thin">
        <color rgb="FFFFFFFF"/>
      </right>
      <top style="thin">
        <color theme="0"/>
      </top>
      <bottom/>
      <diagonal/>
    </border>
    <border>
      <left style="thin">
        <color theme="0"/>
      </left>
      <right/>
      <top style="thin">
        <color rgb="FFFFFFFF"/>
      </top>
      <bottom style="thin">
        <color rgb="FFFFFFFF"/>
      </bottom>
      <diagonal/>
    </border>
    <border>
      <left/>
      <right style="thin">
        <color rgb="FFFFFFFF"/>
      </right>
      <top/>
      <bottom style="thin">
        <color theme="0"/>
      </bottom>
      <diagonal/>
    </border>
    <border>
      <left/>
      <right/>
      <top style="thin">
        <color rgb="FFE2EFD9"/>
      </top>
      <bottom style="thin">
        <color rgb="FFE2EFD9"/>
      </bottom>
      <diagonal/>
    </border>
    <border>
      <left/>
      <right/>
      <top style="thin">
        <color rgb="FFE2EFD9"/>
      </top>
      <bottom/>
      <diagonal/>
    </border>
    <border>
      <left/>
      <right/>
      <top/>
      <bottom style="dashDotDot">
        <color rgb="FFF2F2F2"/>
      </bottom>
      <diagonal/>
    </border>
    <border>
      <left/>
      <right/>
      <top/>
      <bottom style="dashDot">
        <color theme="0"/>
      </bottom>
      <diagonal/>
    </border>
    <border>
      <left/>
      <right/>
      <top style="dashDot">
        <color theme="0"/>
      </top>
      <bottom/>
      <diagonal/>
    </border>
    <border>
      <left/>
      <right/>
      <top style="dashDotDot">
        <color rgb="FFFFFFFF"/>
      </top>
      <bottom/>
      <diagonal/>
    </border>
    <border>
      <left/>
      <right/>
      <top style="medium">
        <color theme="0"/>
      </top>
      <bottom/>
      <diagonal/>
    </border>
  </borders>
  <cellStyleXfs count="3">
    <xf numFmtId="0" fontId="0" fillId="0" borderId="0">
      <alignment vertical="center"/>
    </xf>
    <xf numFmtId="0" fontId="4" fillId="0" borderId="0" applyNumberFormat="0" applyFill="0" applyBorder="0" applyAlignment="0" applyProtection="0">
      <alignment vertical="center"/>
    </xf>
    <xf numFmtId="9" fontId="98" fillId="0" borderId="0" applyFont="0" applyFill="0" applyBorder="0" applyAlignment="0" applyProtection="0">
      <alignment vertical="center"/>
    </xf>
  </cellStyleXfs>
  <cellXfs count="618">
    <xf numFmtId="0" fontId="0" fillId="0" borderId="0" xfId="0">
      <alignment vertical="center"/>
    </xf>
    <xf numFmtId="0" fontId="0" fillId="0" borderId="1" xfId="0" applyBorder="1">
      <alignment vertical="center"/>
    </xf>
    <xf numFmtId="0" fontId="0" fillId="0" borderId="2" xfId="0" applyBorder="1">
      <alignment vertical="center"/>
    </xf>
    <xf numFmtId="0" fontId="0" fillId="2" borderId="2" xfId="0" applyFill="1" applyBorder="1">
      <alignment vertical="center"/>
    </xf>
    <xf numFmtId="0" fontId="0" fillId="3" borderId="1" xfId="0" applyFill="1" applyBorder="1">
      <alignment vertical="center"/>
    </xf>
    <xf numFmtId="0" fontId="0" fillId="0" borderId="2" xfId="0" applyBorder="1" applyAlignment="1">
      <alignment vertical="center" shrinkToFit="1"/>
    </xf>
    <xf numFmtId="0" fontId="0" fillId="0" borderId="3" xfId="0" applyBorder="1" applyAlignment="1">
      <alignment vertical="center" shrinkToFit="1"/>
    </xf>
    <xf numFmtId="0" fontId="0" fillId="0" borderId="3" xfId="0" applyBorder="1">
      <alignment vertical="center"/>
    </xf>
    <xf numFmtId="0" fontId="0" fillId="4" borderId="1" xfId="0" applyFill="1" applyBorder="1">
      <alignment vertical="center"/>
    </xf>
    <xf numFmtId="0" fontId="0" fillId="2" borderId="1" xfId="0" applyFill="1"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49" fontId="0" fillId="0" borderId="0" xfId="0" applyNumberFormat="1">
      <alignment vertical="center"/>
    </xf>
    <xf numFmtId="49" fontId="1" fillId="0" borderId="0" xfId="0" applyNumberFormat="1" applyFont="1" applyAlignment="1"/>
    <xf numFmtId="0" fontId="0" fillId="0" borderId="7" xfId="0" applyBorder="1">
      <alignment vertical="center"/>
    </xf>
    <xf numFmtId="49" fontId="0" fillId="0" borderId="7" xfId="0" applyNumberFormat="1" applyBorder="1">
      <alignment vertical="center"/>
    </xf>
    <xf numFmtId="49" fontId="2" fillId="0" borderId="7" xfId="0" applyNumberFormat="1" applyFont="1" applyBorder="1">
      <alignment vertical="center"/>
    </xf>
    <xf numFmtId="0" fontId="2" fillId="5" borderId="7" xfId="0" applyFont="1" applyFill="1" applyBorder="1">
      <alignment vertical="center"/>
    </xf>
    <xf numFmtId="0" fontId="0" fillId="6" borderId="0" xfId="0" applyFill="1">
      <alignment vertical="center"/>
    </xf>
    <xf numFmtId="14" fontId="0" fillId="0" borderId="0" xfId="0" applyNumberFormat="1">
      <alignment vertical="center"/>
    </xf>
    <xf numFmtId="0" fontId="2" fillId="0" borderId="7" xfId="0" applyFont="1" applyBorder="1">
      <alignment vertical="center"/>
    </xf>
    <xf numFmtId="49" fontId="2" fillId="5" borderId="7" xfId="0" applyNumberFormat="1" applyFont="1" applyFill="1" applyBorder="1">
      <alignment vertical="center"/>
    </xf>
    <xf numFmtId="0" fontId="2" fillId="5" borderId="0" xfId="0" applyFont="1" applyFill="1">
      <alignment vertical="center"/>
    </xf>
    <xf numFmtId="14" fontId="0" fillId="6" borderId="0" xfId="0" applyNumberFormat="1" applyFill="1">
      <alignment vertical="center"/>
    </xf>
    <xf numFmtId="0" fontId="2" fillId="0" borderId="0" xfId="0" applyFont="1">
      <alignment vertical="center"/>
    </xf>
    <xf numFmtId="14" fontId="1" fillId="0" borderId="0" xfId="0" applyNumberFormat="1" applyFont="1">
      <alignment vertical="center"/>
    </xf>
    <xf numFmtId="175" fontId="1" fillId="0" borderId="0" xfId="0" applyNumberFormat="1" applyFont="1">
      <alignment vertical="center"/>
    </xf>
    <xf numFmtId="0" fontId="0" fillId="2" borderId="0" xfId="0" applyFill="1">
      <alignment vertical="center"/>
    </xf>
    <xf numFmtId="0" fontId="0" fillId="7" borderId="0" xfId="0" applyFill="1">
      <alignment vertical="center"/>
    </xf>
    <xf numFmtId="0" fontId="0" fillId="7" borderId="4" xfId="0" applyFill="1" applyBorder="1">
      <alignment vertical="center"/>
    </xf>
    <xf numFmtId="0" fontId="0" fillId="7" borderId="5" xfId="0" applyFill="1" applyBorder="1">
      <alignment vertical="center"/>
    </xf>
    <xf numFmtId="0" fontId="0" fillId="7" borderId="8" xfId="0" applyFill="1" applyBorder="1">
      <alignment vertical="center"/>
    </xf>
    <xf numFmtId="0" fontId="0" fillId="7" borderId="9" xfId="0" applyFill="1" applyBorder="1">
      <alignment vertical="center"/>
    </xf>
    <xf numFmtId="0" fontId="0" fillId="7" borderId="10" xfId="0" applyFill="1" applyBorder="1">
      <alignment vertical="center"/>
    </xf>
    <xf numFmtId="0" fontId="0" fillId="7" borderId="11" xfId="0" applyFill="1" applyBorder="1">
      <alignment vertical="center"/>
    </xf>
    <xf numFmtId="0" fontId="0" fillId="7" borderId="0" xfId="0" applyFill="1" applyAlignment="1">
      <alignment horizontal="center" vertical="center"/>
    </xf>
    <xf numFmtId="0" fontId="0" fillId="8" borderId="0" xfId="0" applyFill="1">
      <alignment vertical="center"/>
    </xf>
    <xf numFmtId="0" fontId="0" fillId="9" borderId="0" xfId="0" applyFill="1">
      <alignment vertical="center"/>
    </xf>
    <xf numFmtId="0" fontId="0" fillId="10" borderId="1" xfId="0" applyFill="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12" xfId="0" applyBorder="1" applyAlignment="1">
      <alignment vertical="center" shrinkToFit="1"/>
    </xf>
    <xf numFmtId="0" fontId="0" fillId="0" borderId="0" xfId="0" applyAlignment="1">
      <alignment vertical="center" shrinkToFit="1"/>
    </xf>
    <xf numFmtId="0" fontId="0" fillId="0" borderId="12" xfId="0" applyBorder="1">
      <alignment vertical="center"/>
    </xf>
    <xf numFmtId="0" fontId="0" fillId="0" borderId="0" xfId="0" applyAlignment="1"/>
    <xf numFmtId="0" fontId="4" fillId="0" borderId="0" xfId="1">
      <alignment vertical="center"/>
    </xf>
    <xf numFmtId="0" fontId="0" fillId="0" borderId="10" xfId="0" applyBorder="1">
      <alignment vertical="center"/>
    </xf>
    <xf numFmtId="0" fontId="3" fillId="0" borderId="0" xfId="0" applyFont="1">
      <alignment vertical="center"/>
    </xf>
    <xf numFmtId="0" fontId="7" fillId="11" borderId="0" xfId="0" applyFont="1" applyFill="1">
      <alignment vertical="center"/>
    </xf>
    <xf numFmtId="0" fontId="7" fillId="11" borderId="14" xfId="0" applyFont="1" applyFill="1" applyBorder="1">
      <alignment vertical="center"/>
    </xf>
    <xf numFmtId="0" fontId="7" fillId="11" borderId="15" xfId="0" applyFont="1" applyFill="1" applyBorder="1">
      <alignment vertical="center"/>
    </xf>
    <xf numFmtId="0" fontId="7" fillId="11" borderId="16" xfId="0" applyFont="1" applyFill="1" applyBorder="1">
      <alignment vertical="center"/>
    </xf>
    <xf numFmtId="0" fontId="7" fillId="11" borderId="17" xfId="0" applyFont="1" applyFill="1" applyBorder="1" applyAlignment="1">
      <alignment horizontal="right" vertical="center"/>
    </xf>
    <xf numFmtId="0" fontId="8" fillId="11" borderId="0" xfId="0" applyFont="1" applyFill="1">
      <alignment vertical="center"/>
    </xf>
    <xf numFmtId="0" fontId="7" fillId="11" borderId="18" xfId="0" applyFont="1" applyFill="1" applyBorder="1">
      <alignment vertical="center"/>
    </xf>
    <xf numFmtId="0" fontId="7" fillId="11" borderId="19" xfId="0" applyFont="1" applyFill="1" applyBorder="1">
      <alignment vertical="center"/>
    </xf>
    <xf numFmtId="0" fontId="7" fillId="11" borderId="0" xfId="0" applyFont="1" applyFill="1" applyAlignment="1">
      <alignment vertical="top" wrapText="1"/>
    </xf>
    <xf numFmtId="0" fontId="7" fillId="11" borderId="19" xfId="0" applyFont="1" applyFill="1" applyBorder="1" applyAlignment="1">
      <alignment vertical="top" wrapText="1"/>
    </xf>
    <xf numFmtId="0" fontId="7" fillId="11" borderId="20" xfId="0" applyFont="1" applyFill="1" applyBorder="1">
      <alignment vertical="center"/>
    </xf>
    <xf numFmtId="0" fontId="7" fillId="11" borderId="21" xfId="0" applyFont="1" applyFill="1" applyBorder="1">
      <alignment vertical="center"/>
    </xf>
    <xf numFmtId="0" fontId="7" fillId="11" borderId="22" xfId="0" applyFont="1" applyFill="1" applyBorder="1">
      <alignment vertical="center"/>
    </xf>
    <xf numFmtId="0" fontId="7" fillId="11" borderId="0" xfId="0" applyFont="1" applyFill="1" applyAlignment="1">
      <alignment horizontal="center" vertical="center"/>
    </xf>
    <xf numFmtId="0" fontId="7" fillId="11" borderId="16" xfId="0" applyFont="1" applyFill="1" applyBorder="1" applyAlignment="1">
      <alignment horizontal="center" vertical="center"/>
    </xf>
    <xf numFmtId="0" fontId="7" fillId="11" borderId="17" xfId="0" applyFont="1" applyFill="1" applyBorder="1">
      <alignment vertical="center"/>
    </xf>
    <xf numFmtId="0" fontId="7" fillId="11" borderId="23" xfId="0" applyFont="1" applyFill="1" applyBorder="1" applyAlignment="1">
      <alignment horizontal="center" vertical="center"/>
    </xf>
    <xf numFmtId="0" fontId="7" fillId="11" borderId="24" xfId="0" applyFont="1" applyFill="1" applyBorder="1" applyAlignment="1">
      <alignment horizontal="center" vertical="center"/>
    </xf>
    <xf numFmtId="0" fontId="7" fillId="11" borderId="24" xfId="0" applyFont="1" applyFill="1" applyBorder="1">
      <alignment vertical="center"/>
    </xf>
    <xf numFmtId="0" fontId="7" fillId="11" borderId="25" xfId="0" applyFont="1" applyFill="1" applyBorder="1" applyAlignment="1">
      <alignment horizontal="center" vertical="center"/>
    </xf>
    <xf numFmtId="0" fontId="7" fillId="11" borderId="25" xfId="0" applyFont="1" applyFill="1" applyBorder="1" applyAlignment="1">
      <alignment horizontal="left" vertical="center"/>
    </xf>
    <xf numFmtId="0" fontId="7" fillId="11" borderId="0" xfId="0" applyFont="1" applyFill="1" applyAlignment="1">
      <alignment horizontal="left" vertical="center"/>
    </xf>
    <xf numFmtId="0" fontId="11" fillId="11" borderId="0" xfId="0" applyFont="1" applyFill="1">
      <alignment vertical="center"/>
    </xf>
    <xf numFmtId="0" fontId="7" fillId="11" borderId="24" xfId="0" applyFont="1" applyFill="1" applyBorder="1" applyAlignment="1">
      <alignment horizontal="left" vertical="center"/>
    </xf>
    <xf numFmtId="0" fontId="11" fillId="11" borderId="24" xfId="0" applyFont="1" applyFill="1" applyBorder="1">
      <alignment vertical="center"/>
    </xf>
    <xf numFmtId="0" fontId="11" fillId="11" borderId="25" xfId="0" applyFont="1" applyFill="1" applyBorder="1">
      <alignment vertical="center"/>
    </xf>
    <xf numFmtId="0" fontId="7" fillId="11" borderId="25" xfId="0" applyFont="1" applyFill="1" applyBorder="1">
      <alignment vertical="center"/>
    </xf>
    <xf numFmtId="176" fontId="7" fillId="11" borderId="0" xfId="0" applyNumberFormat="1" applyFont="1" applyFill="1" applyAlignment="1">
      <alignment horizontal="center" vertical="center"/>
    </xf>
    <xf numFmtId="0" fontId="7" fillId="11" borderId="26" xfId="0" applyFont="1" applyFill="1" applyBorder="1" applyAlignment="1">
      <alignment horizontal="center" vertical="center"/>
    </xf>
    <xf numFmtId="0" fontId="12" fillId="11" borderId="0" xfId="0" applyFont="1" applyFill="1" applyAlignment="1">
      <alignment horizontal="center" vertical="center"/>
    </xf>
    <xf numFmtId="0" fontId="11" fillId="11" borderId="0" xfId="0" applyFont="1" applyFill="1" applyAlignment="1">
      <alignment horizontal="center" vertical="center"/>
    </xf>
    <xf numFmtId="0" fontId="13" fillId="11" borderId="0" xfId="0" applyFont="1" applyFill="1">
      <alignment vertical="center"/>
    </xf>
    <xf numFmtId="0" fontId="11" fillId="11" borderId="25" xfId="0" applyFont="1" applyFill="1" applyBorder="1" applyAlignment="1">
      <alignment horizontal="left" vertical="center"/>
    </xf>
    <xf numFmtId="0" fontId="11" fillId="11" borderId="0" xfId="0" applyFont="1" applyFill="1" applyAlignment="1">
      <alignment horizontal="left" vertical="center"/>
    </xf>
    <xf numFmtId="0" fontId="8" fillId="11" borderId="0" xfId="0" applyFont="1" applyFill="1" applyAlignment="1">
      <alignment horizontal="center" vertical="center"/>
    </xf>
    <xf numFmtId="0" fontId="7" fillId="11" borderId="16" xfId="0" applyFont="1" applyFill="1" applyBorder="1" applyAlignment="1">
      <alignment horizontal="left" vertical="center"/>
    </xf>
    <xf numFmtId="0" fontId="7" fillId="11" borderId="17" xfId="0" applyFont="1" applyFill="1" applyBorder="1" applyAlignment="1">
      <alignment horizontal="left" vertical="center"/>
    </xf>
    <xf numFmtId="0" fontId="7" fillId="11" borderId="19" xfId="0" applyFont="1" applyFill="1" applyBorder="1" applyAlignment="1">
      <alignment horizontal="left" vertical="center"/>
    </xf>
    <xf numFmtId="177" fontId="14" fillId="12" borderId="0" xfId="0" applyNumberFormat="1" applyFont="1" applyFill="1" applyAlignment="1">
      <alignment horizontal="center" vertical="center"/>
    </xf>
    <xf numFmtId="0" fontId="7" fillId="11" borderId="21" xfId="0" applyFont="1" applyFill="1" applyBorder="1" applyAlignment="1">
      <alignment horizontal="left" vertical="center"/>
    </xf>
    <xf numFmtId="0" fontId="7" fillId="11" borderId="22" xfId="0" applyFont="1" applyFill="1" applyBorder="1" applyAlignment="1">
      <alignment horizontal="left" vertical="center"/>
    </xf>
    <xf numFmtId="177" fontId="15" fillId="12" borderId="0" xfId="0" applyNumberFormat="1" applyFont="1" applyFill="1" applyAlignment="1">
      <alignment horizontal="center" vertical="center"/>
    </xf>
    <xf numFmtId="179" fontId="16" fillId="12" borderId="0" xfId="0" applyNumberFormat="1" applyFont="1" applyFill="1" applyAlignment="1">
      <alignment horizontal="center" vertical="center"/>
    </xf>
    <xf numFmtId="179" fontId="17" fillId="12" borderId="0" xfId="0" applyNumberFormat="1" applyFont="1" applyFill="1" applyAlignment="1">
      <alignment horizontal="center" vertical="center"/>
    </xf>
    <xf numFmtId="179" fontId="18" fillId="12" borderId="0" xfId="0" applyNumberFormat="1" applyFont="1" applyFill="1" applyAlignment="1">
      <alignment horizontal="center" vertical="center"/>
    </xf>
    <xf numFmtId="180" fontId="19" fillId="12" borderId="0" xfId="0" applyNumberFormat="1" applyFont="1" applyFill="1" applyAlignment="1">
      <alignment horizontal="center" vertical="center"/>
    </xf>
    <xf numFmtId="0" fontId="7" fillId="12" borderId="0" xfId="0" applyFont="1" applyFill="1" applyAlignment="1">
      <alignment horizontal="left" vertical="center"/>
    </xf>
    <xf numFmtId="0" fontId="7" fillId="11" borderId="27" xfId="0" applyFont="1" applyFill="1" applyBorder="1">
      <alignment vertical="center"/>
    </xf>
    <xf numFmtId="0" fontId="7" fillId="11" borderId="28" xfId="0" applyFont="1" applyFill="1" applyBorder="1">
      <alignment vertical="center"/>
    </xf>
    <xf numFmtId="0" fontId="7" fillId="11" borderId="29" xfId="0" applyFont="1" applyFill="1" applyBorder="1">
      <alignment vertical="center"/>
    </xf>
    <xf numFmtId="177" fontId="20" fillId="12" borderId="0" xfId="0" applyNumberFormat="1" applyFont="1" applyFill="1" applyAlignment="1">
      <alignment horizontal="center" vertical="center"/>
    </xf>
    <xf numFmtId="180" fontId="21" fillId="12" borderId="0" xfId="0" applyNumberFormat="1" applyFont="1" applyFill="1" applyAlignment="1">
      <alignment horizontal="center" vertical="center"/>
    </xf>
    <xf numFmtId="0" fontId="22" fillId="11" borderId="0" xfId="0" applyFont="1" applyFill="1">
      <alignment vertical="center"/>
    </xf>
    <xf numFmtId="168" fontId="7" fillId="11" borderId="0" xfId="0" applyNumberFormat="1" applyFont="1" applyFill="1">
      <alignment vertical="center"/>
    </xf>
    <xf numFmtId="177" fontId="15" fillId="12" borderId="30" xfId="0" applyNumberFormat="1" applyFont="1" applyFill="1" applyBorder="1" applyAlignment="1">
      <alignment horizontal="center" vertical="center"/>
    </xf>
    <xf numFmtId="179" fontId="17" fillId="12" borderId="30" xfId="0" applyNumberFormat="1" applyFont="1" applyFill="1" applyBorder="1" applyAlignment="1">
      <alignment horizontal="center" vertical="center"/>
    </xf>
    <xf numFmtId="180" fontId="19" fillId="12" borderId="30" xfId="0" applyNumberFormat="1" applyFont="1" applyFill="1" applyBorder="1" applyAlignment="1">
      <alignment horizontal="center" vertical="center"/>
    </xf>
    <xf numFmtId="180" fontId="21" fillId="12" borderId="30" xfId="0" applyNumberFormat="1" applyFont="1" applyFill="1" applyBorder="1" applyAlignment="1">
      <alignment horizontal="center" vertical="center"/>
    </xf>
    <xf numFmtId="0" fontId="7" fillId="11" borderId="30" xfId="0" applyFont="1" applyFill="1" applyBorder="1">
      <alignment vertical="center"/>
    </xf>
    <xf numFmtId="0" fontId="7" fillId="11" borderId="31" xfId="0" applyFont="1" applyFill="1" applyBorder="1" applyAlignment="1">
      <alignment horizontal="center" vertical="center"/>
    </xf>
    <xf numFmtId="0" fontId="7" fillId="11" borderId="18" xfId="0" applyFont="1" applyFill="1" applyBorder="1" applyAlignment="1">
      <alignment horizontal="center" vertical="center"/>
    </xf>
    <xf numFmtId="180" fontId="7" fillId="11" borderId="0" xfId="0" applyNumberFormat="1" applyFont="1" applyFill="1" applyAlignment="1">
      <alignment horizontal="center" vertical="center"/>
    </xf>
    <xf numFmtId="181" fontId="7" fillId="11" borderId="0" xfId="0" applyNumberFormat="1" applyFont="1" applyFill="1" applyAlignment="1">
      <alignment horizontal="center" vertical="center"/>
    </xf>
    <xf numFmtId="180" fontId="23" fillId="12" borderId="30" xfId="0" applyNumberFormat="1" applyFont="1" applyFill="1" applyBorder="1" applyAlignment="1">
      <alignment horizontal="center" vertical="center"/>
    </xf>
    <xf numFmtId="183" fontId="24" fillId="12" borderId="30" xfId="0" applyNumberFormat="1" applyFont="1" applyFill="1" applyBorder="1" applyAlignment="1">
      <alignment horizontal="center" vertical="center"/>
    </xf>
    <xf numFmtId="0" fontId="22" fillId="11" borderId="22" xfId="0" applyFont="1" applyFill="1" applyBorder="1">
      <alignment vertical="center"/>
    </xf>
    <xf numFmtId="0" fontId="8" fillId="11" borderId="30" xfId="0" applyFont="1" applyFill="1" applyBorder="1">
      <alignment vertical="center"/>
    </xf>
    <xf numFmtId="0" fontId="8" fillId="11" borderId="0" xfId="0" applyFont="1" applyFill="1" applyAlignment="1">
      <alignment horizontal="left" vertical="center"/>
    </xf>
    <xf numFmtId="0" fontId="1" fillId="11" borderId="17" xfId="0" applyFont="1" applyFill="1" applyBorder="1">
      <alignment vertical="center"/>
    </xf>
    <xf numFmtId="0" fontId="1" fillId="11" borderId="0" xfId="0" applyFont="1" applyFill="1">
      <alignment vertical="center"/>
    </xf>
    <xf numFmtId="177" fontId="14" fillId="12" borderId="32" xfId="0" applyNumberFormat="1" applyFont="1" applyFill="1" applyBorder="1" applyAlignment="1">
      <alignment horizontal="center" vertical="center"/>
    </xf>
    <xf numFmtId="0" fontId="7" fillId="12" borderId="0" xfId="0" applyFont="1" applyFill="1" applyAlignment="1">
      <alignment horizontal="center" vertical="center"/>
    </xf>
    <xf numFmtId="180" fontId="23" fillId="12" borderId="0" xfId="0" applyNumberFormat="1" applyFont="1" applyFill="1" applyAlignment="1">
      <alignment horizontal="center" vertical="center"/>
    </xf>
    <xf numFmtId="183" fontId="24" fillId="12" borderId="0" xfId="0" applyNumberFormat="1" applyFont="1" applyFill="1" applyAlignment="1">
      <alignment horizontal="center" vertical="center"/>
    </xf>
    <xf numFmtId="0" fontId="8" fillId="12" borderId="0" xfId="0" applyFont="1" applyFill="1" applyAlignment="1">
      <alignment horizontal="center" vertical="center"/>
    </xf>
    <xf numFmtId="168" fontId="7" fillId="11" borderId="0" xfId="0" applyNumberFormat="1" applyFont="1" applyFill="1" applyAlignment="1">
      <alignment horizontal="center" vertical="center"/>
    </xf>
    <xf numFmtId="0" fontId="1" fillId="11" borderId="21" xfId="0" applyFont="1" applyFill="1" applyBorder="1">
      <alignment vertical="center"/>
    </xf>
    <xf numFmtId="0" fontId="25" fillId="11" borderId="18" xfId="0" applyFont="1" applyFill="1" applyBorder="1" applyAlignment="1">
      <alignment horizontal="center" vertical="center"/>
    </xf>
    <xf numFmtId="0" fontId="1" fillId="11" borderId="16" xfId="0" applyFont="1" applyFill="1" applyBorder="1">
      <alignment vertical="center"/>
    </xf>
    <xf numFmtId="0" fontId="26" fillId="11" borderId="18" xfId="0" applyFont="1" applyFill="1" applyBorder="1" applyAlignment="1">
      <alignment horizontal="center" vertical="center"/>
    </xf>
    <xf numFmtId="0" fontId="27" fillId="11" borderId="0" xfId="0" applyFont="1" applyFill="1" applyAlignment="1">
      <alignment horizontal="center" vertical="center"/>
    </xf>
    <xf numFmtId="0" fontId="28" fillId="11" borderId="0" xfId="0" applyFont="1" applyFill="1" applyAlignment="1">
      <alignment horizontal="center" vertical="center"/>
    </xf>
    <xf numFmtId="0" fontId="26" fillId="11" borderId="18" xfId="0" applyFont="1" applyFill="1" applyBorder="1" applyAlignment="1">
      <alignment horizontal="left" vertical="center"/>
    </xf>
    <xf numFmtId="0" fontId="8" fillId="11" borderId="18" xfId="0" applyFont="1" applyFill="1" applyBorder="1" applyAlignment="1">
      <alignment horizontal="left" vertical="center"/>
    </xf>
    <xf numFmtId="0" fontId="22" fillId="12" borderId="0" xfId="0" applyFont="1" applyFill="1">
      <alignment vertical="center"/>
    </xf>
    <xf numFmtId="0" fontId="7" fillId="12" borderId="16" xfId="0" applyFont="1" applyFill="1" applyBorder="1">
      <alignment vertical="center"/>
    </xf>
    <xf numFmtId="0" fontId="7" fillId="12" borderId="17" xfId="0" applyFont="1" applyFill="1" applyBorder="1">
      <alignment vertical="center"/>
    </xf>
    <xf numFmtId="0" fontId="7" fillId="12" borderId="23" xfId="0" applyFont="1" applyFill="1" applyBorder="1" applyAlignment="1">
      <alignment horizontal="center" vertical="center"/>
    </xf>
    <xf numFmtId="0" fontId="7" fillId="12" borderId="0" xfId="0" applyFont="1" applyFill="1">
      <alignment vertical="center"/>
    </xf>
    <xf numFmtId="0" fontId="7" fillId="12" borderId="19" xfId="0" applyFont="1" applyFill="1" applyBorder="1">
      <alignment vertical="center"/>
    </xf>
    <xf numFmtId="178" fontId="7" fillId="12" borderId="0" xfId="0" applyNumberFormat="1" applyFont="1" applyFill="1" applyAlignment="1">
      <alignment horizontal="center" vertical="center"/>
    </xf>
    <xf numFmtId="0" fontId="7" fillId="12" borderId="21" xfId="0" applyFont="1" applyFill="1" applyBorder="1">
      <alignment vertical="center"/>
    </xf>
    <xf numFmtId="0" fontId="22" fillId="12" borderId="22" xfId="0" applyFont="1" applyFill="1" applyBorder="1">
      <alignment vertical="center"/>
    </xf>
    <xf numFmtId="0" fontId="8" fillId="12" borderId="0" xfId="0" applyFont="1" applyFill="1">
      <alignment vertical="center"/>
    </xf>
    <xf numFmtId="0" fontId="7" fillId="12" borderId="22" xfId="0" applyFont="1" applyFill="1" applyBorder="1">
      <alignment vertical="center"/>
    </xf>
    <xf numFmtId="0" fontId="22" fillId="12" borderId="21" xfId="0" applyFont="1" applyFill="1" applyBorder="1">
      <alignment vertical="center"/>
    </xf>
    <xf numFmtId="0" fontId="22" fillId="12" borderId="17" xfId="0" applyFont="1" applyFill="1" applyBorder="1">
      <alignment vertical="center"/>
    </xf>
    <xf numFmtId="0" fontId="22" fillId="12" borderId="19" xfId="0" applyFont="1" applyFill="1" applyBorder="1">
      <alignment vertical="center"/>
    </xf>
    <xf numFmtId="184" fontId="7" fillId="11" borderId="0" xfId="0" applyNumberFormat="1" applyFont="1" applyFill="1" applyAlignment="1">
      <alignment horizontal="center" vertical="center"/>
    </xf>
    <xf numFmtId="0" fontId="7" fillId="12" borderId="23" xfId="0" applyFont="1" applyFill="1" applyBorder="1">
      <alignment vertical="center"/>
    </xf>
    <xf numFmtId="168" fontId="7" fillId="12" borderId="0" xfId="0" applyNumberFormat="1" applyFont="1" applyFill="1" applyAlignment="1">
      <alignment horizontal="center" vertical="center"/>
    </xf>
    <xf numFmtId="185" fontId="7" fillId="12" borderId="0" xfId="0" applyNumberFormat="1" applyFont="1" applyFill="1" applyAlignment="1">
      <alignment horizontal="center" vertical="center"/>
    </xf>
    <xf numFmtId="186" fontId="7" fillId="12" borderId="0" xfId="0" applyNumberFormat="1" applyFont="1" applyFill="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11" fillId="0" borderId="0" xfId="0" applyFont="1">
      <alignment vertical="center"/>
    </xf>
    <xf numFmtId="0" fontId="7" fillId="11" borderId="33" xfId="0" applyFont="1" applyFill="1" applyBorder="1">
      <alignment vertical="center"/>
    </xf>
    <xf numFmtId="0" fontId="7" fillId="11" borderId="33" xfId="0" applyFont="1" applyFill="1" applyBorder="1" applyAlignment="1">
      <alignment horizontal="center" vertical="center"/>
    </xf>
    <xf numFmtId="2" fontId="7" fillId="11" borderId="33" xfId="0" applyNumberFormat="1" applyFont="1" applyFill="1" applyBorder="1" applyAlignment="1">
      <alignment horizontal="center" vertical="center"/>
    </xf>
    <xf numFmtId="0" fontId="7" fillId="11" borderId="26" xfId="0" applyFont="1" applyFill="1" applyBorder="1">
      <alignment vertical="center"/>
    </xf>
    <xf numFmtId="0" fontId="31" fillId="11" borderId="0" xfId="0" applyFont="1" applyFill="1">
      <alignment vertical="center"/>
    </xf>
    <xf numFmtId="0" fontId="8" fillId="11" borderId="0" xfId="0" applyFont="1" applyFill="1" applyAlignment="1">
      <alignment vertical="top" wrapText="1"/>
    </xf>
    <xf numFmtId="0" fontId="32" fillId="11" borderId="0" xfId="0" applyFont="1" applyFill="1">
      <alignment vertical="center"/>
    </xf>
    <xf numFmtId="0" fontId="8" fillId="13" borderId="0" xfId="0" applyFont="1" applyFill="1">
      <alignment vertical="center"/>
    </xf>
    <xf numFmtId="0" fontId="8" fillId="12" borderId="0" xfId="1" applyFont="1" applyFill="1">
      <alignment vertical="center"/>
    </xf>
    <xf numFmtId="0" fontId="8" fillId="11" borderId="0" xfId="1" applyFont="1" applyFill="1">
      <alignment vertical="center"/>
    </xf>
    <xf numFmtId="0" fontId="8" fillId="11" borderId="24" xfId="0" applyFont="1" applyFill="1" applyBorder="1">
      <alignment vertical="center"/>
    </xf>
    <xf numFmtId="0" fontId="8" fillId="11" borderId="0" xfId="0" applyFont="1" applyFill="1" applyAlignment="1">
      <alignment vertical="center" shrinkToFit="1"/>
    </xf>
    <xf numFmtId="177" fontId="33" fillId="12" borderId="0" xfId="0" applyNumberFormat="1" applyFont="1" applyFill="1" applyAlignment="1">
      <alignment horizontal="center" vertical="center"/>
    </xf>
    <xf numFmtId="177" fontId="34" fillId="12" borderId="0" xfId="0" applyNumberFormat="1" applyFont="1" applyFill="1" applyAlignment="1">
      <alignment horizontal="center" vertical="center"/>
    </xf>
    <xf numFmtId="177" fontId="35" fillId="12" borderId="0" xfId="0" applyNumberFormat="1" applyFont="1" applyFill="1" applyAlignment="1">
      <alignment horizontal="center" vertical="center"/>
    </xf>
    <xf numFmtId="179" fontId="36" fillId="12" borderId="0" xfId="0" applyNumberFormat="1" applyFont="1" applyFill="1" applyAlignment="1">
      <alignment horizontal="center" vertical="center"/>
    </xf>
    <xf numFmtId="0" fontId="0" fillId="12" borderId="0" xfId="0" applyFill="1">
      <alignment vertical="center"/>
    </xf>
    <xf numFmtId="179" fontId="37" fillId="12" borderId="0" xfId="0" applyNumberFormat="1" applyFont="1" applyFill="1" applyAlignment="1">
      <alignment horizontal="center" vertical="center"/>
    </xf>
    <xf numFmtId="179" fontId="38" fillId="12" borderId="0" xfId="0" applyNumberFormat="1" applyFont="1" applyFill="1" applyAlignment="1">
      <alignment horizontal="center" vertical="center"/>
    </xf>
    <xf numFmtId="180" fontId="39" fillId="12" borderId="0" xfId="0" applyNumberFormat="1" applyFont="1" applyFill="1" applyAlignment="1">
      <alignment horizontal="center" vertical="center"/>
    </xf>
    <xf numFmtId="180" fontId="40" fillId="12" borderId="0" xfId="0" applyNumberFormat="1" applyFont="1" applyFill="1" applyAlignment="1">
      <alignment horizontal="center" vertical="center"/>
    </xf>
    <xf numFmtId="180" fontId="41" fillId="12" borderId="0" xfId="0" applyNumberFormat="1" applyFont="1" applyFill="1" applyAlignment="1">
      <alignment horizontal="center" vertical="center"/>
    </xf>
    <xf numFmtId="183" fontId="42" fillId="12" borderId="0" xfId="0" applyNumberFormat="1" applyFont="1" applyFill="1" applyAlignment="1">
      <alignment horizontal="center" vertical="center"/>
    </xf>
    <xf numFmtId="177" fontId="33" fillId="0" borderId="0" xfId="0" applyNumberFormat="1" applyFont="1" applyAlignment="1">
      <alignment horizontal="center" vertical="center"/>
    </xf>
    <xf numFmtId="177" fontId="34" fillId="0" borderId="0" xfId="0" applyNumberFormat="1" applyFont="1" applyAlignment="1">
      <alignment horizontal="center" vertical="center"/>
    </xf>
    <xf numFmtId="177" fontId="35" fillId="0" borderId="0" xfId="0" applyNumberFormat="1" applyFont="1" applyAlignment="1">
      <alignment horizontal="center" vertical="center"/>
    </xf>
    <xf numFmtId="179" fontId="36" fillId="0" borderId="0" xfId="0" applyNumberFormat="1" applyFont="1" applyAlignment="1">
      <alignment horizontal="center" vertical="center"/>
    </xf>
    <xf numFmtId="179" fontId="37" fillId="0" borderId="0" xfId="0" applyNumberFormat="1" applyFont="1" applyAlignment="1">
      <alignment horizontal="center" vertical="center"/>
    </xf>
    <xf numFmtId="179" fontId="38" fillId="0" borderId="0" xfId="0" applyNumberFormat="1" applyFont="1" applyAlignment="1">
      <alignment horizontal="center" vertical="center"/>
    </xf>
    <xf numFmtId="180" fontId="39" fillId="0" borderId="0" xfId="0" applyNumberFormat="1" applyFont="1" applyAlignment="1">
      <alignment horizontal="center" vertical="center"/>
    </xf>
    <xf numFmtId="180" fontId="40" fillId="0" borderId="0" xfId="0" applyNumberFormat="1" applyFont="1" applyAlignment="1">
      <alignment horizontal="center" vertical="center"/>
    </xf>
    <xf numFmtId="0" fontId="8" fillId="0" borderId="0" xfId="0" applyFont="1" applyAlignment="1">
      <alignment horizontal="center" vertical="center"/>
    </xf>
    <xf numFmtId="180" fontId="41" fillId="0" borderId="0" xfId="0" applyNumberFormat="1" applyFont="1" applyAlignment="1">
      <alignment horizontal="center" vertical="center"/>
    </xf>
    <xf numFmtId="183" fontId="42" fillId="0" borderId="0" xfId="0" applyNumberFormat="1" applyFont="1" applyAlignment="1">
      <alignment horizontal="center" vertical="center"/>
    </xf>
    <xf numFmtId="0" fontId="8" fillId="11" borderId="0" xfId="0" applyFont="1" applyFill="1" applyAlignment="1">
      <alignment vertical="center" wrapText="1"/>
    </xf>
    <xf numFmtId="188" fontId="8" fillId="12" borderId="0" xfId="0" applyNumberFormat="1" applyFont="1" applyFill="1">
      <alignment vertical="center"/>
    </xf>
    <xf numFmtId="0" fontId="43" fillId="11" borderId="0" xfId="0" applyFont="1" applyFill="1">
      <alignment vertical="center"/>
    </xf>
    <xf numFmtId="0" fontId="44" fillId="11" borderId="0" xfId="0" applyFont="1" applyFill="1">
      <alignment vertical="center"/>
    </xf>
    <xf numFmtId="14" fontId="8" fillId="11" borderId="0" xfId="0" applyNumberFormat="1" applyFont="1" applyFill="1" applyAlignment="1">
      <alignment horizontal="center" vertical="center"/>
    </xf>
    <xf numFmtId="0" fontId="30" fillId="11" borderId="0" xfId="0" applyFont="1" applyFill="1">
      <alignment vertical="center"/>
    </xf>
    <xf numFmtId="0" fontId="8" fillId="11" borderId="0" xfId="0" applyFont="1" applyFill="1" applyAlignment="1">
      <alignment horizontal="center" vertical="center" wrapText="1"/>
    </xf>
    <xf numFmtId="0" fontId="8" fillId="11" borderId="34" xfId="0" applyFont="1" applyFill="1" applyBorder="1">
      <alignment vertical="center"/>
    </xf>
    <xf numFmtId="0" fontId="8" fillId="11" borderId="35" xfId="0" applyFont="1" applyFill="1" applyBorder="1">
      <alignment vertical="center"/>
    </xf>
    <xf numFmtId="0" fontId="46" fillId="11" borderId="0" xfId="0" applyFont="1" applyFill="1" applyAlignment="1">
      <alignment horizontal="left" vertical="center"/>
    </xf>
    <xf numFmtId="0" fontId="8" fillId="11" borderId="36" xfId="0" applyFont="1" applyFill="1" applyBorder="1" applyAlignment="1">
      <alignment horizontal="center" vertical="center"/>
    </xf>
    <xf numFmtId="0" fontId="48" fillId="11" borderId="37" xfId="0" applyFont="1" applyFill="1" applyBorder="1" applyAlignment="1">
      <alignment horizontal="center" vertical="center"/>
    </xf>
    <xf numFmtId="0" fontId="49" fillId="11" borderId="0" xfId="1" applyFont="1" applyFill="1">
      <alignment vertical="center"/>
    </xf>
    <xf numFmtId="0" fontId="1" fillId="12" borderId="0" xfId="0" applyFont="1" applyFill="1">
      <alignment vertical="center"/>
    </xf>
    <xf numFmtId="0" fontId="1" fillId="12" borderId="17" xfId="0" applyFont="1" applyFill="1" applyBorder="1">
      <alignment vertical="center"/>
    </xf>
    <xf numFmtId="0" fontId="7" fillId="12" borderId="31" xfId="0" applyFont="1" applyFill="1" applyBorder="1" applyAlignment="1">
      <alignment horizontal="center" vertical="center"/>
    </xf>
    <xf numFmtId="0" fontId="1" fillId="12" borderId="19" xfId="0" applyFont="1" applyFill="1" applyBorder="1">
      <alignment vertical="center"/>
    </xf>
    <xf numFmtId="0" fontId="1" fillId="12" borderId="0" xfId="0" applyFont="1" applyFill="1" applyAlignment="1">
      <alignment horizontal="center" vertical="center"/>
    </xf>
    <xf numFmtId="0" fontId="1" fillId="12" borderId="22" xfId="0" applyFont="1" applyFill="1" applyBorder="1">
      <alignment vertical="center"/>
    </xf>
    <xf numFmtId="0" fontId="8" fillId="11" borderId="27" xfId="0" applyFont="1" applyFill="1" applyBorder="1">
      <alignment vertical="center"/>
    </xf>
    <xf numFmtId="0" fontId="8" fillId="11" borderId="28" xfId="0" applyFont="1" applyFill="1" applyBorder="1">
      <alignment vertical="center"/>
    </xf>
    <xf numFmtId="0" fontId="8" fillId="11" borderId="29" xfId="0" applyFont="1" applyFill="1" applyBorder="1">
      <alignment vertical="center"/>
    </xf>
    <xf numFmtId="0" fontId="8" fillId="11" borderId="36" xfId="0" applyFont="1" applyFill="1" applyBorder="1" applyAlignment="1">
      <alignment horizontal="center" vertical="center" shrinkToFit="1"/>
    </xf>
    <xf numFmtId="174" fontId="48" fillId="11" borderId="37" xfId="0" applyNumberFormat="1" applyFont="1" applyFill="1" applyBorder="1" applyAlignment="1">
      <alignment horizontal="center" vertical="center"/>
    </xf>
    <xf numFmtId="0" fontId="8" fillId="11" borderId="37" xfId="0" applyFont="1" applyFill="1" applyBorder="1" applyAlignment="1">
      <alignment horizontal="center" vertical="center"/>
    </xf>
    <xf numFmtId="190" fontId="8" fillId="11" borderId="0" xfId="0" applyNumberFormat="1" applyFont="1" applyFill="1">
      <alignment vertical="center"/>
    </xf>
    <xf numFmtId="178" fontId="8" fillId="12" borderId="0" xfId="0" applyNumberFormat="1" applyFont="1" applyFill="1" applyAlignment="1">
      <alignment horizontal="center" vertical="center"/>
    </xf>
    <xf numFmtId="0" fontId="50" fillId="11" borderId="0" xfId="0" applyFont="1" applyFill="1">
      <alignment vertical="center"/>
    </xf>
    <xf numFmtId="190" fontId="8" fillId="11" borderId="0" xfId="0" applyNumberFormat="1" applyFont="1" applyFill="1" applyAlignment="1">
      <alignment horizontal="center" vertical="center"/>
    </xf>
    <xf numFmtId="0" fontId="50" fillId="11" borderId="24" xfId="0" applyFont="1" applyFill="1" applyBorder="1">
      <alignment vertical="center"/>
    </xf>
    <xf numFmtId="0" fontId="50" fillId="11" borderId="25" xfId="0" applyFont="1" applyFill="1" applyBorder="1">
      <alignment vertical="center"/>
    </xf>
    <xf numFmtId="0" fontId="8" fillId="11" borderId="25" xfId="0" applyFont="1" applyFill="1" applyBorder="1">
      <alignment vertical="center"/>
    </xf>
    <xf numFmtId="0" fontId="51" fillId="11" borderId="0" xfId="0" applyFont="1" applyFill="1">
      <alignment vertical="center"/>
    </xf>
    <xf numFmtId="192" fontId="8" fillId="11" borderId="0" xfId="0" applyNumberFormat="1" applyFont="1" applyFill="1">
      <alignment vertical="center"/>
    </xf>
    <xf numFmtId="0" fontId="8" fillId="14" borderId="0" xfId="0" applyFont="1" applyFill="1">
      <alignment vertical="center"/>
    </xf>
    <xf numFmtId="192" fontId="8" fillId="14" borderId="0" xfId="0" applyNumberFormat="1" applyFont="1" applyFill="1">
      <alignment vertical="center"/>
    </xf>
    <xf numFmtId="190" fontId="8" fillId="11" borderId="24" xfId="0" applyNumberFormat="1" applyFont="1" applyFill="1" applyBorder="1" applyAlignment="1">
      <alignment horizontal="center" vertical="center"/>
    </xf>
    <xf numFmtId="190" fontId="8" fillId="11" borderId="25" xfId="0" applyNumberFormat="1" applyFont="1" applyFill="1" applyBorder="1" applyAlignment="1">
      <alignment horizontal="center" vertical="center"/>
    </xf>
    <xf numFmtId="0" fontId="8" fillId="11" borderId="25" xfId="0" applyFont="1" applyFill="1" applyBorder="1" applyAlignment="1">
      <alignment horizontal="center" vertical="center"/>
    </xf>
    <xf numFmtId="0" fontId="52" fillId="11" borderId="34" xfId="0" applyFont="1" applyFill="1" applyBorder="1" applyAlignment="1">
      <alignment horizontal="center" vertical="center"/>
    </xf>
    <xf numFmtId="0" fontId="52" fillId="11" borderId="25" xfId="0" applyFont="1" applyFill="1" applyBorder="1" applyAlignment="1">
      <alignment horizontal="center" vertical="center"/>
    </xf>
    <xf numFmtId="0" fontId="8" fillId="11" borderId="28" xfId="0" applyFont="1" applyFill="1" applyBorder="1" applyAlignment="1">
      <alignment horizontal="center" vertical="center"/>
    </xf>
    <xf numFmtId="9" fontId="8" fillId="11" borderId="30" xfId="2" applyFont="1" applyFill="1" applyBorder="1" applyAlignment="1">
      <alignment horizontal="center" vertical="center"/>
    </xf>
    <xf numFmtId="9" fontId="8" fillId="11" borderId="0" xfId="2" applyFont="1" applyFill="1" applyAlignment="1">
      <alignment horizontal="center" vertical="center"/>
    </xf>
    <xf numFmtId="0" fontId="8" fillId="11" borderId="30" xfId="0" applyFont="1" applyFill="1" applyBorder="1" applyAlignment="1">
      <alignment horizontal="center" vertical="center"/>
    </xf>
    <xf numFmtId="177" fontId="14" fillId="12" borderId="25" xfId="0" applyNumberFormat="1" applyFont="1" applyFill="1" applyBorder="1" applyAlignment="1">
      <alignment horizontal="center" vertical="center"/>
    </xf>
    <xf numFmtId="0" fontId="8" fillId="11" borderId="34" xfId="0" applyFont="1" applyFill="1" applyBorder="1" applyAlignment="1">
      <alignment horizontal="center" vertical="center"/>
    </xf>
    <xf numFmtId="0" fontId="10" fillId="11" borderId="0" xfId="0" applyFont="1" applyFill="1">
      <alignment vertical="center"/>
    </xf>
    <xf numFmtId="0" fontId="53" fillId="11" borderId="30" xfId="0" applyFont="1" applyFill="1" applyBorder="1" applyAlignment="1">
      <alignment horizontal="center" vertical="center"/>
    </xf>
    <xf numFmtId="0" fontId="53" fillId="11" borderId="0" xfId="0" applyFont="1" applyFill="1" applyAlignment="1">
      <alignment horizontal="center" vertical="center"/>
    </xf>
    <xf numFmtId="0" fontId="15" fillId="12" borderId="0" xfId="0" applyFont="1" applyFill="1" applyAlignment="1">
      <alignment horizontal="center" vertical="center"/>
    </xf>
    <xf numFmtId="0" fontId="19" fillId="12" borderId="0" xfId="0" applyFont="1" applyFill="1" applyAlignment="1">
      <alignment horizontal="center" vertical="center"/>
    </xf>
    <xf numFmtId="0" fontId="0" fillId="11" borderId="0" xfId="0" applyFill="1" applyAlignment="1">
      <alignment horizontal="center" vertical="center"/>
    </xf>
    <xf numFmtId="0" fontId="8" fillId="11" borderId="25" xfId="0" applyFont="1" applyFill="1" applyBorder="1" applyAlignment="1">
      <alignment horizontal="center" vertical="center" shrinkToFit="1"/>
    </xf>
    <xf numFmtId="0" fontId="8" fillId="11" borderId="0" xfId="0" applyFont="1" applyFill="1" applyAlignment="1">
      <alignment horizontal="center" vertical="center" shrinkToFit="1"/>
    </xf>
    <xf numFmtId="192" fontId="8" fillId="11" borderId="0" xfId="0" applyNumberFormat="1" applyFont="1" applyFill="1" applyAlignment="1">
      <alignment horizontal="center" vertical="center"/>
    </xf>
    <xf numFmtId="0" fontId="8" fillId="11" borderId="34" xfId="0" applyFont="1" applyFill="1" applyBorder="1" applyAlignment="1">
      <alignment horizontal="center" vertical="center" shrinkToFit="1"/>
    </xf>
    <xf numFmtId="0" fontId="8" fillId="11" borderId="30" xfId="0" applyFont="1" applyFill="1" applyBorder="1" applyAlignment="1">
      <alignment horizontal="center" vertical="center" shrinkToFit="1"/>
    </xf>
    <xf numFmtId="0" fontId="8" fillId="11" borderId="33" xfId="0" applyFont="1" applyFill="1" applyBorder="1">
      <alignment vertical="center"/>
    </xf>
    <xf numFmtId="0" fontId="0" fillId="11" borderId="0" xfId="0" applyFill="1">
      <alignment vertical="center"/>
    </xf>
    <xf numFmtId="0" fontId="0" fillId="11" borderId="24" xfId="0" applyFill="1" applyBorder="1">
      <alignment vertical="center"/>
    </xf>
    <xf numFmtId="0" fontId="7" fillId="12" borderId="0" xfId="0" applyFont="1" applyFill="1" applyAlignment="1">
      <alignment horizontal="center" vertical="center" shrinkToFit="1"/>
    </xf>
    <xf numFmtId="0" fontId="38" fillId="11" borderId="24" xfId="0" applyFont="1" applyFill="1" applyBorder="1" applyAlignment="1">
      <alignment horizontal="center" vertical="center"/>
    </xf>
    <xf numFmtId="0" fontId="54" fillId="11" borderId="0" xfId="0" applyFont="1" applyFill="1" applyAlignment="1">
      <alignment horizontal="center" vertical="center"/>
    </xf>
    <xf numFmtId="0" fontId="8" fillId="11" borderId="25" xfId="0" applyFont="1" applyFill="1" applyBorder="1" applyAlignment="1">
      <alignment horizontal="left" vertical="center"/>
    </xf>
    <xf numFmtId="0" fontId="38" fillId="11" borderId="0" xfId="0" applyFont="1" applyFill="1" applyAlignment="1">
      <alignment horizontal="center" vertical="center"/>
    </xf>
    <xf numFmtId="0" fontId="42" fillId="11" borderId="25" xfId="0" applyFont="1" applyFill="1" applyBorder="1" applyAlignment="1">
      <alignment horizontal="center" vertical="center"/>
    </xf>
    <xf numFmtId="181" fontId="48" fillId="11" borderId="0" xfId="0" applyNumberFormat="1" applyFont="1" applyFill="1" applyAlignment="1">
      <alignment horizontal="center" vertical="center"/>
    </xf>
    <xf numFmtId="0" fontId="7" fillId="12" borderId="0" xfId="0" applyFont="1" applyFill="1" applyAlignment="1">
      <alignment horizontal="left" vertical="center" shrinkToFit="1"/>
    </xf>
    <xf numFmtId="0" fontId="42" fillId="11" borderId="0" xfId="0" applyFont="1" applyFill="1" applyAlignment="1">
      <alignment horizontal="center" vertical="center"/>
    </xf>
    <xf numFmtId="185" fontId="54" fillId="12" borderId="0" xfId="0" applyNumberFormat="1" applyFont="1" applyFill="1" applyAlignment="1">
      <alignment horizontal="center" vertical="center"/>
    </xf>
    <xf numFmtId="185" fontId="38" fillId="12" borderId="0" xfId="0" applyNumberFormat="1" applyFont="1" applyFill="1" applyAlignment="1">
      <alignment horizontal="center" vertical="center"/>
    </xf>
    <xf numFmtId="194" fontId="7" fillId="12" borderId="0" xfId="0" applyNumberFormat="1" applyFont="1" applyFill="1" applyAlignment="1">
      <alignment horizontal="center" vertical="center"/>
    </xf>
    <xf numFmtId="194" fontId="8" fillId="11" borderId="0" xfId="0" applyNumberFormat="1" applyFont="1" applyFill="1" applyAlignment="1">
      <alignment horizontal="center" vertical="center"/>
    </xf>
    <xf numFmtId="196" fontId="8" fillId="11" borderId="0" xfId="0" applyNumberFormat="1" applyFont="1" applyFill="1" applyAlignment="1">
      <alignment horizontal="center" vertical="center"/>
    </xf>
    <xf numFmtId="0" fontId="54" fillId="11" borderId="0" xfId="0" applyFont="1" applyFill="1">
      <alignment vertical="center"/>
    </xf>
    <xf numFmtId="177" fontId="14" fillId="12" borderId="30" xfId="0" applyNumberFormat="1" applyFont="1" applyFill="1" applyBorder="1" applyAlignment="1">
      <alignment horizontal="center" vertical="center"/>
    </xf>
    <xf numFmtId="197" fontId="8" fillId="11" borderId="34" xfId="0" applyNumberFormat="1" applyFont="1" applyFill="1" applyBorder="1" applyAlignment="1">
      <alignment horizontal="center" vertical="center"/>
    </xf>
    <xf numFmtId="197" fontId="8" fillId="11" borderId="25" xfId="0" applyNumberFormat="1" applyFont="1" applyFill="1" applyBorder="1" applyAlignment="1">
      <alignment horizontal="center" vertical="center"/>
    </xf>
    <xf numFmtId="197" fontId="8" fillId="11" borderId="30" xfId="0" applyNumberFormat="1" applyFont="1" applyFill="1" applyBorder="1" applyAlignment="1">
      <alignment horizontal="center" vertical="center"/>
    </xf>
    <xf numFmtId="197" fontId="8" fillId="11" borderId="0" xfId="0" applyNumberFormat="1" applyFont="1" applyFill="1" applyAlignment="1">
      <alignment horizontal="center" vertical="center"/>
    </xf>
    <xf numFmtId="0" fontId="48" fillId="11" borderId="0" xfId="0" applyFont="1" applyFill="1">
      <alignment vertical="center"/>
    </xf>
    <xf numFmtId="0" fontId="48" fillId="11" borderId="0" xfId="0" applyFont="1" applyFill="1" applyAlignment="1">
      <alignment horizontal="center" vertical="center"/>
    </xf>
    <xf numFmtId="0" fontId="48" fillId="11" borderId="25" xfId="0" applyFont="1" applyFill="1" applyBorder="1" applyAlignment="1">
      <alignment horizontal="center" vertical="center"/>
    </xf>
    <xf numFmtId="0" fontId="55" fillId="12" borderId="0" xfId="0" applyFont="1" applyFill="1" applyAlignment="1">
      <alignment horizontal="center" vertical="center" shrinkToFit="1"/>
    </xf>
    <xf numFmtId="2" fontId="48" fillId="11" borderId="0" xfId="0" applyNumberFormat="1" applyFont="1" applyFill="1" applyAlignment="1">
      <alignment horizontal="center" vertical="center"/>
    </xf>
    <xf numFmtId="192" fontId="48" fillId="11" borderId="24" xfId="0" applyNumberFormat="1" applyFont="1" applyFill="1" applyBorder="1" applyAlignment="1">
      <alignment horizontal="center" vertical="center"/>
    </xf>
    <xf numFmtId="2" fontId="48" fillId="11" borderId="24" xfId="0" applyNumberFormat="1" applyFont="1" applyFill="1" applyBorder="1" applyAlignment="1">
      <alignment horizontal="center" vertical="center"/>
    </xf>
    <xf numFmtId="0" fontId="58" fillId="11" borderId="0" xfId="0" applyFont="1" applyFill="1" applyAlignment="1">
      <alignment horizontal="center" vertical="center"/>
    </xf>
    <xf numFmtId="179" fontId="59" fillId="12" borderId="0" xfId="0" applyNumberFormat="1" applyFont="1" applyFill="1" applyAlignment="1">
      <alignment horizontal="center" vertical="center"/>
    </xf>
    <xf numFmtId="179" fontId="60" fillId="12" borderId="0" xfId="0" applyNumberFormat="1" applyFont="1" applyFill="1" applyAlignment="1">
      <alignment horizontal="center" vertical="center"/>
    </xf>
    <xf numFmtId="179" fontId="61" fillId="12" borderId="0" xfId="0" applyNumberFormat="1" applyFont="1" applyFill="1" applyAlignment="1">
      <alignment horizontal="center" vertical="center"/>
    </xf>
    <xf numFmtId="0" fontId="62" fillId="11" borderId="0" xfId="0" applyFont="1" applyFill="1">
      <alignment vertical="center"/>
    </xf>
    <xf numFmtId="0" fontId="38" fillId="12" borderId="0" xfId="0" applyFont="1" applyFill="1" applyAlignment="1">
      <alignment horizontal="center" vertical="center"/>
    </xf>
    <xf numFmtId="0" fontId="7" fillId="11" borderId="23" xfId="0" applyFont="1" applyFill="1" applyBorder="1">
      <alignment vertical="center"/>
    </xf>
    <xf numFmtId="0" fontId="31" fillId="11" borderId="0" xfId="1" applyFont="1" applyFill="1">
      <alignment vertical="center"/>
    </xf>
    <xf numFmtId="0" fontId="7" fillId="11" borderId="17" xfId="0" applyFont="1" applyFill="1" applyBorder="1" applyAlignment="1">
      <alignment horizontal="center" vertical="center"/>
    </xf>
    <xf numFmtId="197" fontId="7" fillId="11" borderId="0" xfId="0" applyNumberFormat="1" applyFont="1" applyFill="1" applyAlignment="1">
      <alignment horizontal="center" vertical="center"/>
    </xf>
    <xf numFmtId="0" fontId="7" fillId="11" borderId="19" xfId="0" applyFont="1" applyFill="1" applyBorder="1" applyAlignment="1">
      <alignment horizontal="center" vertical="center"/>
    </xf>
    <xf numFmtId="9" fontId="7" fillId="11" borderId="0" xfId="0" applyNumberFormat="1" applyFont="1" applyFill="1" applyAlignment="1">
      <alignment horizontal="center" vertical="center"/>
    </xf>
    <xf numFmtId="198" fontId="7" fillId="11" borderId="0" xfId="0" applyNumberFormat="1" applyFont="1" applyFill="1" applyAlignment="1">
      <alignment horizontal="center" vertical="center"/>
    </xf>
    <xf numFmtId="0" fontId="1" fillId="11" borderId="0" xfId="0" applyFont="1" applyFill="1" applyAlignment="1">
      <alignment horizontal="center" vertical="center"/>
    </xf>
    <xf numFmtId="0" fontId="64" fillId="11" borderId="0" xfId="0" applyFont="1" applyFill="1">
      <alignment vertical="center"/>
    </xf>
    <xf numFmtId="0" fontId="7" fillId="11" borderId="13" xfId="0" applyFont="1" applyFill="1" applyBorder="1">
      <alignment vertical="center"/>
    </xf>
    <xf numFmtId="0" fontId="65" fillId="11" borderId="0" xfId="0" applyFont="1" applyFill="1">
      <alignment vertical="center"/>
    </xf>
    <xf numFmtId="0" fontId="65" fillId="11" borderId="0" xfId="0" applyFont="1" applyFill="1" applyAlignment="1">
      <alignment horizontal="center" vertical="center"/>
    </xf>
    <xf numFmtId="0" fontId="67" fillId="0" borderId="0" xfId="0" applyFont="1">
      <alignment vertical="center"/>
    </xf>
    <xf numFmtId="0" fontId="68" fillId="11" borderId="0" xfId="0" applyFont="1" applyFill="1">
      <alignment vertical="center"/>
    </xf>
    <xf numFmtId="0" fontId="1" fillId="11" borderId="19" xfId="0" applyFont="1" applyFill="1" applyBorder="1">
      <alignment vertical="center"/>
    </xf>
    <xf numFmtId="193" fontId="33" fillId="12" borderId="0" xfId="0" applyNumberFormat="1" applyFont="1" applyFill="1" applyAlignment="1">
      <alignment horizontal="center" vertical="center"/>
    </xf>
    <xf numFmtId="172" fontId="35" fillId="12" borderId="0" xfId="0" applyNumberFormat="1" applyFont="1" applyFill="1" applyAlignment="1">
      <alignment horizontal="center" vertical="center"/>
    </xf>
    <xf numFmtId="0" fontId="70" fillId="11" borderId="0" xfId="0" applyFont="1" applyFill="1">
      <alignment vertical="center"/>
    </xf>
    <xf numFmtId="173" fontId="71" fillId="12" borderId="0" xfId="0" applyNumberFormat="1" applyFont="1" applyFill="1" applyAlignment="1">
      <alignment horizontal="center" vertical="center"/>
    </xf>
    <xf numFmtId="199" fontId="72" fillId="11" borderId="0" xfId="0" applyNumberFormat="1" applyFont="1" applyFill="1" applyAlignment="1">
      <alignment horizontal="center" vertical="center"/>
    </xf>
    <xf numFmtId="191" fontId="73" fillId="11" borderId="0" xfId="0" applyNumberFormat="1" applyFont="1" applyFill="1" applyAlignment="1">
      <alignment horizontal="center" vertical="center"/>
    </xf>
    <xf numFmtId="0" fontId="72" fillId="11" borderId="0" xfId="0" applyFont="1" applyFill="1" applyAlignment="1">
      <alignment horizontal="center" vertical="center"/>
    </xf>
    <xf numFmtId="0" fontId="74" fillId="11" borderId="0" xfId="0" applyFont="1" applyFill="1" applyAlignment="1">
      <alignment horizontal="center" vertical="center"/>
    </xf>
    <xf numFmtId="0" fontId="73" fillId="11" borderId="0" xfId="0" applyFont="1" applyFill="1" applyAlignment="1">
      <alignment horizontal="center" vertical="center"/>
    </xf>
    <xf numFmtId="0" fontId="75" fillId="11" borderId="0" xfId="0" applyFont="1" applyFill="1" applyAlignment="1">
      <alignment horizontal="center" vertical="center"/>
    </xf>
    <xf numFmtId="200" fontId="34" fillId="12" borderId="0" xfId="0" applyNumberFormat="1" applyFont="1" applyFill="1" applyAlignment="1">
      <alignment horizontal="center" vertical="center"/>
    </xf>
    <xf numFmtId="201" fontId="76" fillId="12" borderId="0" xfId="0" applyNumberFormat="1" applyFont="1" applyFill="1" applyAlignment="1">
      <alignment horizontal="center" vertical="center"/>
    </xf>
    <xf numFmtId="202" fontId="77" fillId="12" borderId="0" xfId="0" applyNumberFormat="1" applyFont="1" applyFill="1" applyAlignment="1">
      <alignment horizontal="center" vertical="center"/>
    </xf>
    <xf numFmtId="0" fontId="78" fillId="11" borderId="0" xfId="0" applyFont="1" applyFill="1">
      <alignment vertical="center"/>
    </xf>
    <xf numFmtId="187" fontId="74" fillId="11" borderId="0" xfId="0" applyNumberFormat="1" applyFont="1" applyFill="1" applyAlignment="1">
      <alignment horizontal="center" vertical="center"/>
    </xf>
    <xf numFmtId="189" fontId="75" fillId="11" borderId="0" xfId="0" applyNumberFormat="1" applyFont="1" applyFill="1" applyAlignment="1">
      <alignment horizontal="center" vertical="center"/>
    </xf>
    <xf numFmtId="0" fontId="8" fillId="11" borderId="16" xfId="0" applyFont="1" applyFill="1" applyBorder="1">
      <alignment vertical="center"/>
    </xf>
    <xf numFmtId="0" fontId="79" fillId="11" borderId="0" xfId="0" applyFont="1" applyFill="1">
      <alignment vertical="center"/>
    </xf>
    <xf numFmtId="203" fontId="7" fillId="11" borderId="0" xfId="0" applyNumberFormat="1" applyFont="1" applyFill="1" applyAlignment="1">
      <alignment horizontal="center" vertical="center"/>
    </xf>
    <xf numFmtId="0" fontId="8" fillId="12" borderId="16" xfId="0" applyFont="1" applyFill="1" applyBorder="1">
      <alignment vertical="center"/>
    </xf>
    <xf numFmtId="0" fontId="1" fillId="12" borderId="28" xfId="0" applyFont="1" applyFill="1" applyBorder="1">
      <alignment vertical="center"/>
    </xf>
    <xf numFmtId="0" fontId="1" fillId="12" borderId="38" xfId="0" applyFont="1" applyFill="1" applyBorder="1">
      <alignment vertical="center"/>
    </xf>
    <xf numFmtId="0" fontId="1" fillId="12" borderId="39" xfId="0" applyFont="1" applyFill="1" applyBorder="1">
      <alignment vertical="center"/>
    </xf>
    <xf numFmtId="0" fontId="79" fillId="12" borderId="0" xfId="0" applyFont="1" applyFill="1">
      <alignment vertical="center"/>
    </xf>
    <xf numFmtId="0" fontId="8" fillId="11" borderId="21" xfId="0" applyFont="1" applyFill="1" applyBorder="1">
      <alignment vertical="center"/>
    </xf>
    <xf numFmtId="200" fontId="34" fillId="12" borderId="30" xfId="0" applyNumberFormat="1" applyFont="1" applyFill="1" applyBorder="1" applyAlignment="1">
      <alignment horizontal="center" vertical="center"/>
    </xf>
    <xf numFmtId="0" fontId="7" fillId="11" borderId="40" xfId="0" applyFont="1" applyFill="1" applyBorder="1" applyAlignment="1">
      <alignment horizontal="center" vertical="center" shrinkToFit="1"/>
    </xf>
    <xf numFmtId="0" fontId="7" fillId="11" borderId="26" xfId="0" applyFont="1" applyFill="1" applyBorder="1" applyAlignment="1">
      <alignment horizontal="center" vertical="center" shrinkToFit="1"/>
    </xf>
    <xf numFmtId="0" fontId="7" fillId="11" borderId="30" xfId="0" applyFont="1" applyFill="1" applyBorder="1" applyAlignment="1">
      <alignment horizontal="center" vertical="center"/>
    </xf>
    <xf numFmtId="171" fontId="7" fillId="11" borderId="0" xfId="0" applyNumberFormat="1" applyFont="1" applyFill="1" applyAlignment="1">
      <alignment horizontal="center" vertical="center"/>
    </xf>
    <xf numFmtId="0" fontId="7" fillId="11" borderId="41" xfId="0" applyFont="1" applyFill="1" applyBorder="1">
      <alignment vertical="center"/>
    </xf>
    <xf numFmtId="0" fontId="7" fillId="11" borderId="42" xfId="0" applyFont="1" applyFill="1" applyBorder="1" applyAlignment="1">
      <alignment horizontal="center" vertical="center"/>
    </xf>
    <xf numFmtId="0" fontId="7" fillId="11" borderId="43" xfId="0" applyFont="1" applyFill="1" applyBorder="1">
      <alignment vertical="center"/>
    </xf>
    <xf numFmtId="0" fontId="79" fillId="11" borderId="21" xfId="0" applyFont="1" applyFill="1" applyBorder="1">
      <alignment vertical="center"/>
    </xf>
    <xf numFmtId="179" fontId="59" fillId="0" borderId="0" xfId="0" applyNumberFormat="1" applyFont="1" applyAlignment="1">
      <alignment horizontal="center" vertical="center"/>
    </xf>
    <xf numFmtId="179" fontId="60" fillId="0" borderId="0" xfId="0" applyNumberFormat="1" applyFont="1" applyAlignment="1">
      <alignment horizontal="center" vertical="center"/>
    </xf>
    <xf numFmtId="179" fontId="61" fillId="0" borderId="0" xfId="0" applyNumberFormat="1" applyFont="1" applyAlignment="1">
      <alignment horizontal="center" vertical="center"/>
    </xf>
    <xf numFmtId="185" fontId="7" fillId="0" borderId="0" xfId="0" applyNumberFormat="1" applyFont="1" applyAlignment="1">
      <alignment horizontal="center" vertical="center"/>
    </xf>
    <xf numFmtId="168" fontId="7" fillId="0" borderId="0" xfId="0" applyNumberFormat="1" applyFont="1" applyAlignment="1">
      <alignment horizontal="center" vertical="center"/>
    </xf>
    <xf numFmtId="0" fontId="7" fillId="11" borderId="23" xfId="0" applyFont="1" applyFill="1" applyBorder="1" applyAlignment="1">
      <alignment horizontal="center" vertical="center" shrinkToFit="1"/>
    </xf>
    <xf numFmtId="188" fontId="7" fillId="11" borderId="0" xfId="0" applyNumberFormat="1" applyFont="1" applyFill="1" applyAlignment="1">
      <alignment horizontal="center" vertical="center"/>
    </xf>
    <xf numFmtId="177" fontId="15" fillId="0" borderId="0" xfId="0" applyNumberFormat="1" applyFont="1" applyAlignment="1">
      <alignment horizontal="center" vertical="center"/>
    </xf>
    <xf numFmtId="0" fontId="78" fillId="12" borderId="0" xfId="0" applyFont="1" applyFill="1">
      <alignment vertical="center"/>
    </xf>
    <xf numFmtId="0" fontId="49" fillId="12" borderId="0" xfId="1" applyFont="1" applyFill="1">
      <alignment vertical="center"/>
    </xf>
    <xf numFmtId="0" fontId="7" fillId="12" borderId="16" xfId="0" applyFont="1" applyFill="1" applyBorder="1" applyAlignment="1">
      <alignment horizontal="left" vertical="center"/>
    </xf>
    <xf numFmtId="0" fontId="80" fillId="11" borderId="0" xfId="0" applyFont="1" applyFill="1">
      <alignment vertical="center"/>
    </xf>
    <xf numFmtId="0" fontId="7" fillId="12" borderId="17" xfId="0" applyFont="1" applyFill="1" applyBorder="1" applyAlignment="1">
      <alignment horizontal="left" vertical="center"/>
    </xf>
    <xf numFmtId="0" fontId="7" fillId="12" borderId="19" xfId="0" applyFont="1" applyFill="1" applyBorder="1" applyAlignment="1">
      <alignment horizontal="left" vertical="center"/>
    </xf>
    <xf numFmtId="0" fontId="7" fillId="12" borderId="21" xfId="0" applyFont="1" applyFill="1" applyBorder="1" applyAlignment="1">
      <alignment horizontal="left" vertical="center"/>
    </xf>
    <xf numFmtId="0" fontId="7" fillId="12" borderId="22" xfId="0" applyFont="1" applyFill="1" applyBorder="1" applyAlignment="1">
      <alignment horizontal="left" vertical="center"/>
    </xf>
    <xf numFmtId="0" fontId="7" fillId="12" borderId="24" xfId="0" applyFont="1" applyFill="1" applyBorder="1" applyAlignment="1">
      <alignment horizontal="left" vertical="center"/>
    </xf>
    <xf numFmtId="0" fontId="8" fillId="12" borderId="21" xfId="0" applyFont="1" applyFill="1" applyBorder="1" applyAlignment="1">
      <alignment horizontal="left" vertical="center"/>
    </xf>
    <xf numFmtId="204" fontId="7" fillId="12" borderId="0" xfId="0" applyNumberFormat="1" applyFont="1" applyFill="1" applyAlignment="1">
      <alignment horizontal="center" vertical="center"/>
    </xf>
    <xf numFmtId="204" fontId="7" fillId="11" borderId="0" xfId="0" applyNumberFormat="1" applyFont="1" applyFill="1" applyAlignment="1">
      <alignment horizontal="center" vertical="center"/>
    </xf>
    <xf numFmtId="186" fontId="7" fillId="11" borderId="0" xfId="0" applyNumberFormat="1" applyFont="1" applyFill="1" applyAlignment="1">
      <alignment horizontal="center" vertical="center"/>
    </xf>
    <xf numFmtId="0" fontId="7" fillId="11" borderId="28" xfId="0" applyFont="1" applyFill="1" applyBorder="1" applyAlignment="1">
      <alignment horizontal="left" vertical="center"/>
    </xf>
    <xf numFmtId="0" fontId="7" fillId="11" borderId="38" xfId="0" applyFont="1" applyFill="1" applyBorder="1" applyAlignment="1">
      <alignment horizontal="left" vertical="center"/>
    </xf>
    <xf numFmtId="0" fontId="7" fillId="11" borderId="39" xfId="0" applyFont="1" applyFill="1" applyBorder="1" applyAlignment="1">
      <alignment horizontal="left" vertical="center"/>
    </xf>
    <xf numFmtId="0" fontId="8" fillId="11" borderId="21" xfId="0" applyFont="1" applyFill="1" applyBorder="1" applyAlignment="1">
      <alignment horizontal="left" vertical="center"/>
    </xf>
    <xf numFmtId="188" fontId="7" fillId="12" borderId="0" xfId="0" applyNumberFormat="1" applyFont="1" applyFill="1" applyAlignment="1">
      <alignment horizontal="center" vertical="center"/>
    </xf>
    <xf numFmtId="0" fontId="7" fillId="11" borderId="32" xfId="0" applyFont="1" applyFill="1" applyBorder="1" applyAlignment="1">
      <alignment horizontal="center" vertical="center"/>
    </xf>
    <xf numFmtId="0" fontId="22" fillId="12" borderId="14" xfId="0" applyFont="1" applyFill="1" applyBorder="1">
      <alignment vertical="center"/>
    </xf>
    <xf numFmtId="1" fontId="7" fillId="12" borderId="0" xfId="0" applyNumberFormat="1" applyFont="1" applyFill="1" applyAlignment="1">
      <alignment horizontal="center" vertical="center"/>
    </xf>
    <xf numFmtId="0" fontId="8" fillId="12" borderId="21" xfId="0" applyFont="1" applyFill="1" applyBorder="1">
      <alignment vertical="center"/>
    </xf>
    <xf numFmtId="9" fontId="7" fillId="12" borderId="0" xfId="0" applyNumberFormat="1" applyFont="1" applyFill="1" applyAlignment="1">
      <alignment horizontal="center" vertical="center"/>
    </xf>
    <xf numFmtId="0" fontId="22" fillId="12" borderId="41" xfId="0" applyFont="1" applyFill="1" applyBorder="1">
      <alignment vertical="center"/>
    </xf>
    <xf numFmtId="0" fontId="22" fillId="12" borderId="28" xfId="0" applyFont="1" applyFill="1" applyBorder="1">
      <alignment vertical="center"/>
    </xf>
    <xf numFmtId="0" fontId="7" fillId="12" borderId="30" xfId="0" applyFont="1" applyFill="1" applyBorder="1">
      <alignment vertical="center"/>
    </xf>
    <xf numFmtId="0" fontId="7" fillId="12" borderId="25" xfId="0" applyFont="1" applyFill="1" applyBorder="1">
      <alignment vertical="center"/>
    </xf>
    <xf numFmtId="0" fontId="7" fillId="12" borderId="41" xfId="0" applyFont="1" applyFill="1" applyBorder="1">
      <alignment vertical="center"/>
    </xf>
    <xf numFmtId="0" fontId="22" fillId="0" borderId="0" xfId="0" applyFont="1">
      <alignment vertical="center"/>
    </xf>
    <xf numFmtId="0" fontId="7" fillId="0" borderId="0" xfId="0" applyFont="1" applyAlignment="1">
      <alignment horizontal="left" vertical="center"/>
    </xf>
    <xf numFmtId="204" fontId="7" fillId="0" borderId="0" xfId="0" applyNumberFormat="1" applyFont="1" applyAlignment="1">
      <alignment horizontal="center" vertical="center"/>
    </xf>
    <xf numFmtId="178" fontId="7" fillId="0" borderId="0" xfId="0" applyNumberFormat="1" applyFont="1" applyAlignment="1">
      <alignment horizontal="center" vertical="center"/>
    </xf>
    <xf numFmtId="184" fontId="7" fillId="0" borderId="0" xfId="0" applyNumberFormat="1" applyFont="1" applyAlignment="1">
      <alignment horizontal="center" vertical="center"/>
    </xf>
    <xf numFmtId="186" fontId="7" fillId="0" borderId="0" xfId="0" applyNumberFormat="1" applyFont="1" applyAlignment="1">
      <alignment horizontal="center" vertical="center"/>
    </xf>
    <xf numFmtId="192" fontId="7" fillId="11" borderId="0" xfId="0" applyNumberFormat="1" applyFont="1" applyFill="1">
      <alignment vertical="center"/>
    </xf>
    <xf numFmtId="0" fontId="1" fillId="11" borderId="38" xfId="0" applyFont="1" applyFill="1" applyBorder="1">
      <alignment vertical="center"/>
    </xf>
    <xf numFmtId="0" fontId="1" fillId="11" borderId="39" xfId="0" applyFont="1" applyFill="1" applyBorder="1">
      <alignment vertical="center"/>
    </xf>
    <xf numFmtId="0" fontId="1" fillId="11" borderId="28" xfId="0" applyFont="1" applyFill="1" applyBorder="1">
      <alignment vertical="center"/>
    </xf>
    <xf numFmtId="0" fontId="7" fillId="11" borderId="38" xfId="0" applyFont="1" applyFill="1" applyBorder="1">
      <alignment vertical="center"/>
    </xf>
    <xf numFmtId="195" fontId="7" fillId="11" borderId="0" xfId="0" applyNumberFormat="1" applyFont="1" applyFill="1" applyAlignment="1">
      <alignment horizontal="center" vertical="center"/>
    </xf>
    <xf numFmtId="0" fontId="7" fillId="11" borderId="39" xfId="0" applyFont="1" applyFill="1" applyBorder="1">
      <alignment vertical="center"/>
    </xf>
    <xf numFmtId="0" fontId="81" fillId="11" borderId="0" xfId="0" applyFont="1" applyFill="1">
      <alignment vertical="center"/>
    </xf>
    <xf numFmtId="178" fontId="7" fillId="11" borderId="0" xfId="0" applyNumberFormat="1" applyFont="1" applyFill="1" applyAlignment="1">
      <alignment horizontal="center" vertical="center"/>
    </xf>
    <xf numFmtId="0" fontId="7" fillId="12" borderId="14" xfId="0" applyFont="1" applyFill="1" applyBorder="1">
      <alignment vertical="center"/>
    </xf>
    <xf numFmtId="0" fontId="11" fillId="12" borderId="0" xfId="0" applyFont="1" applyFill="1" applyAlignment="1">
      <alignment horizontal="center" vertical="center"/>
    </xf>
    <xf numFmtId="0" fontId="50" fillId="12" borderId="0" xfId="0" applyFont="1" applyFill="1">
      <alignment vertical="center"/>
    </xf>
    <xf numFmtId="0" fontId="70" fillId="12" borderId="0" xfId="0" applyFont="1" applyFill="1">
      <alignment vertical="center"/>
    </xf>
    <xf numFmtId="169" fontId="7" fillId="12" borderId="0" xfId="0" applyNumberFormat="1" applyFont="1" applyFill="1" applyAlignment="1">
      <alignment horizontal="center" vertical="center"/>
    </xf>
    <xf numFmtId="0" fontId="22" fillId="12" borderId="0" xfId="0" applyFont="1" applyFill="1" applyAlignment="1">
      <alignment horizontal="center" vertical="center"/>
    </xf>
    <xf numFmtId="170" fontId="7" fillId="12" borderId="0" xfId="0" applyNumberFormat="1" applyFont="1" applyFill="1" applyAlignment="1">
      <alignment horizontal="center" vertical="center"/>
    </xf>
    <xf numFmtId="2" fontId="7" fillId="12" borderId="0" xfId="0" applyNumberFormat="1" applyFont="1" applyFill="1" applyAlignment="1">
      <alignment horizontal="center" vertical="center"/>
    </xf>
    <xf numFmtId="0" fontId="7" fillId="12" borderId="28" xfId="0" applyFont="1" applyFill="1" applyBorder="1">
      <alignment vertical="center"/>
    </xf>
    <xf numFmtId="0" fontId="7" fillId="12" borderId="16" xfId="0" applyFont="1" applyFill="1" applyBorder="1" applyAlignment="1">
      <alignment horizontal="center" vertical="center"/>
    </xf>
    <xf numFmtId="0" fontId="82" fillId="12" borderId="0" xfId="0" applyFont="1" applyFill="1">
      <alignment vertical="center"/>
    </xf>
    <xf numFmtId="0" fontId="82" fillId="12" borderId="14" xfId="0" applyFont="1" applyFill="1" applyBorder="1">
      <alignment vertical="center"/>
    </xf>
    <xf numFmtId="0" fontId="7" fillId="12" borderId="23" xfId="0" applyFont="1" applyFill="1" applyBorder="1" applyAlignment="1">
      <alignment horizontal="center" vertical="center" shrinkToFit="1"/>
    </xf>
    <xf numFmtId="179" fontId="18" fillId="12" borderId="30" xfId="0" applyNumberFormat="1" applyFont="1" applyFill="1" applyBorder="1" applyAlignment="1">
      <alignment horizontal="center" vertical="center"/>
    </xf>
    <xf numFmtId="0" fontId="78" fillId="12" borderId="0" xfId="0" applyFont="1" applyFill="1" applyAlignment="1">
      <alignment horizontal="center" vertical="center"/>
    </xf>
    <xf numFmtId="171" fontId="7" fillId="12" borderId="0" xfId="0" applyNumberFormat="1" applyFont="1" applyFill="1" applyAlignment="1">
      <alignment horizontal="center" vertical="center"/>
    </xf>
    <xf numFmtId="0" fontId="1" fillId="12" borderId="43" xfId="0" applyFont="1" applyFill="1" applyBorder="1">
      <alignment vertical="center"/>
    </xf>
    <xf numFmtId="9" fontId="78" fillId="12" borderId="19" xfId="0" applyNumberFormat="1" applyFont="1" applyFill="1" applyBorder="1" applyAlignment="1">
      <alignment horizontal="center" vertical="center"/>
    </xf>
    <xf numFmtId="0" fontId="55" fillId="12" borderId="0" xfId="0" applyFont="1" applyFill="1" applyAlignment="1">
      <alignment horizontal="center" vertical="center"/>
    </xf>
    <xf numFmtId="0" fontId="1" fillId="12" borderId="21" xfId="0" applyFont="1" applyFill="1" applyBorder="1">
      <alignment vertical="center"/>
    </xf>
    <xf numFmtId="177" fontId="20" fillId="12" borderId="18" xfId="0" applyNumberFormat="1" applyFont="1" applyFill="1" applyBorder="1" applyAlignment="1">
      <alignment horizontal="center" vertical="center"/>
    </xf>
    <xf numFmtId="0" fontId="1" fillId="12" borderId="16" xfId="0" applyFont="1" applyFill="1" applyBorder="1">
      <alignment vertical="center"/>
    </xf>
    <xf numFmtId="179" fontId="16" fillId="12" borderId="18" xfId="0" applyNumberFormat="1" applyFont="1" applyFill="1" applyBorder="1" applyAlignment="1">
      <alignment horizontal="center" vertical="center"/>
    </xf>
    <xf numFmtId="179" fontId="17" fillId="12" borderId="18" xfId="0" applyNumberFormat="1" applyFont="1" applyFill="1" applyBorder="1" applyAlignment="1">
      <alignment horizontal="center" vertical="center"/>
    </xf>
    <xf numFmtId="184" fontId="7" fillId="12" borderId="0" xfId="0" applyNumberFormat="1" applyFont="1" applyFill="1" applyAlignment="1">
      <alignment horizontal="center" vertical="center"/>
    </xf>
    <xf numFmtId="0" fontId="19" fillId="12" borderId="18" xfId="0" applyFont="1" applyFill="1" applyBorder="1" applyAlignment="1">
      <alignment horizontal="center" vertical="center"/>
    </xf>
    <xf numFmtId="0" fontId="78" fillId="12" borderId="19" xfId="0" applyFont="1" applyFill="1" applyBorder="1" applyAlignment="1">
      <alignment horizontal="center" vertical="center"/>
    </xf>
    <xf numFmtId="0" fontId="83" fillId="12" borderId="0" xfId="0" applyFont="1" applyFill="1" applyAlignment="1">
      <alignment horizontal="center" vertical="center"/>
    </xf>
    <xf numFmtId="0" fontId="1" fillId="12" borderId="41" xfId="0" applyFont="1" applyFill="1" applyBorder="1">
      <alignment vertical="center"/>
    </xf>
    <xf numFmtId="180" fontId="84" fillId="12" borderId="0" xfId="0" applyNumberFormat="1" applyFont="1" applyFill="1" applyAlignment="1">
      <alignment horizontal="center" vertical="center"/>
    </xf>
    <xf numFmtId="0" fontId="7" fillId="12" borderId="25" xfId="0" applyFont="1" applyFill="1" applyBorder="1" applyAlignment="1">
      <alignment horizontal="center" vertical="center"/>
    </xf>
    <xf numFmtId="0" fontId="7" fillId="12" borderId="40" xfId="0" applyFont="1" applyFill="1" applyBorder="1" applyAlignment="1">
      <alignment horizontal="center" vertical="center"/>
    </xf>
    <xf numFmtId="0" fontId="7" fillId="12" borderId="27" xfId="0" applyFont="1" applyFill="1" applyBorder="1" applyAlignment="1">
      <alignment horizontal="center" vertical="center"/>
    </xf>
    <xf numFmtId="0" fontId="11" fillId="12" borderId="25" xfId="0" applyFont="1" applyFill="1" applyBorder="1" applyAlignment="1">
      <alignment horizontal="center" vertical="center"/>
    </xf>
    <xf numFmtId="0" fontId="11" fillId="12" borderId="30" xfId="0" applyFont="1" applyFill="1" applyBorder="1" applyAlignment="1">
      <alignment horizontal="center" vertical="center"/>
    </xf>
    <xf numFmtId="168" fontId="7" fillId="12" borderId="0" xfId="0" applyNumberFormat="1" applyFont="1" applyFill="1">
      <alignment vertical="center"/>
    </xf>
    <xf numFmtId="0" fontId="7" fillId="12" borderId="24" xfId="0" applyFont="1" applyFill="1" applyBorder="1">
      <alignment vertical="center"/>
    </xf>
    <xf numFmtId="0" fontId="7" fillId="12" borderId="26" xfId="0" applyFont="1" applyFill="1" applyBorder="1" applyAlignment="1">
      <alignment horizontal="center" vertical="center"/>
    </xf>
    <xf numFmtId="0" fontId="11" fillId="12" borderId="0" xfId="0" applyFont="1" applyFill="1">
      <alignment vertical="center"/>
    </xf>
    <xf numFmtId="0" fontId="7" fillId="12" borderId="19" xfId="0" applyFont="1" applyFill="1" applyBorder="1" applyAlignment="1">
      <alignment horizontal="center" vertical="center"/>
    </xf>
    <xf numFmtId="22" fontId="7" fillId="12" borderId="0" xfId="0" applyNumberFormat="1" applyFont="1" applyFill="1">
      <alignment vertical="center"/>
    </xf>
    <xf numFmtId="0" fontId="1" fillId="12" borderId="0" xfId="0" applyFont="1" applyFill="1" applyAlignment="1">
      <alignment horizontal="left" vertical="center"/>
    </xf>
    <xf numFmtId="0" fontId="78" fillId="12" borderId="28" xfId="0" applyFont="1" applyFill="1" applyBorder="1" applyAlignment="1">
      <alignment horizontal="center" vertical="center"/>
    </xf>
    <xf numFmtId="0" fontId="7" fillId="12" borderId="23" xfId="0" applyFont="1" applyFill="1" applyBorder="1" applyAlignment="1">
      <alignment horizontal="left" vertical="center"/>
    </xf>
    <xf numFmtId="0" fontId="1" fillId="12" borderId="24" xfId="0" applyFont="1" applyFill="1" applyBorder="1">
      <alignment vertical="center"/>
    </xf>
    <xf numFmtId="205" fontId="7" fillId="12" borderId="0" xfId="0" applyNumberFormat="1" applyFont="1" applyFill="1" applyAlignment="1">
      <alignment horizontal="center" vertical="center"/>
    </xf>
    <xf numFmtId="0" fontId="28" fillId="12" borderId="0" xfId="0" applyFont="1" applyFill="1" applyAlignment="1">
      <alignment horizontal="center" vertical="center"/>
    </xf>
    <xf numFmtId="182" fontId="7" fillId="12" borderId="0" xfId="0" applyNumberFormat="1" applyFont="1" applyFill="1" applyAlignment="1">
      <alignment horizontal="center" vertical="center"/>
    </xf>
    <xf numFmtId="0" fontId="8" fillId="12" borderId="0" xfId="1" applyFont="1" applyFill="1" applyAlignment="1" applyProtection="1">
      <alignment vertical="center"/>
    </xf>
    <xf numFmtId="0" fontId="70" fillId="12" borderId="17" xfId="0" applyFont="1" applyFill="1" applyBorder="1">
      <alignment vertical="center"/>
    </xf>
    <xf numFmtId="0" fontId="70" fillId="12" borderId="19" xfId="0" applyFont="1" applyFill="1" applyBorder="1">
      <alignment vertical="center"/>
    </xf>
    <xf numFmtId="0" fontId="70" fillId="12" borderId="22" xfId="0" applyFont="1" applyFill="1" applyBorder="1">
      <alignment vertical="center"/>
    </xf>
    <xf numFmtId="0" fontId="49" fillId="12" borderId="0" xfId="1" applyFont="1" applyFill="1" applyAlignment="1" applyProtection="1">
      <alignment vertical="center"/>
    </xf>
    <xf numFmtId="0" fontId="22" fillId="12" borderId="30" xfId="0" applyFont="1" applyFill="1" applyBorder="1">
      <alignment vertical="center"/>
    </xf>
    <xf numFmtId="0" fontId="85" fillId="12" borderId="0" xfId="0" applyFont="1" applyFill="1" applyAlignment="1">
      <alignment horizontal="center" vertical="center" shrinkToFit="1"/>
    </xf>
    <xf numFmtId="0" fontId="8" fillId="12" borderId="19" xfId="0" applyFont="1" applyFill="1" applyBorder="1">
      <alignment vertical="center"/>
    </xf>
    <xf numFmtId="0" fontId="8" fillId="12" borderId="17" xfId="0" applyFont="1" applyFill="1" applyBorder="1">
      <alignment vertical="center"/>
    </xf>
    <xf numFmtId="0" fontId="8" fillId="12" borderId="16" xfId="0" applyFont="1" applyFill="1" applyBorder="1" applyAlignment="1">
      <alignment horizontal="left" vertical="center"/>
    </xf>
    <xf numFmtId="0" fontId="8" fillId="12" borderId="0" xfId="0" applyFont="1" applyFill="1" applyAlignment="1">
      <alignment horizontal="left" vertical="center"/>
    </xf>
    <xf numFmtId="0" fontId="8" fillId="12" borderId="23" xfId="0" applyFont="1" applyFill="1" applyBorder="1" applyAlignment="1">
      <alignment horizontal="center" vertical="center"/>
    </xf>
    <xf numFmtId="180" fontId="48" fillId="12" borderId="0" xfId="0" applyNumberFormat="1" applyFont="1" applyFill="1" applyAlignment="1">
      <alignment horizontal="center" vertical="center"/>
    </xf>
    <xf numFmtId="0" fontId="8" fillId="12" borderId="22" xfId="0" applyFont="1" applyFill="1" applyBorder="1">
      <alignment vertical="center"/>
    </xf>
    <xf numFmtId="0" fontId="8" fillId="12" borderId="22" xfId="0" applyFont="1" applyFill="1" applyBorder="1" applyAlignment="1">
      <alignment horizontal="left" vertical="center"/>
    </xf>
    <xf numFmtId="0" fontId="8" fillId="12" borderId="19" xfId="0" applyFont="1" applyFill="1" applyBorder="1" applyAlignment="1">
      <alignment horizontal="left" vertical="center"/>
    </xf>
    <xf numFmtId="0" fontId="8" fillId="12" borderId="30" xfId="0" applyFont="1" applyFill="1" applyBorder="1">
      <alignment vertical="center"/>
    </xf>
    <xf numFmtId="0" fontId="78" fillId="12" borderId="0" xfId="0" applyFont="1" applyFill="1" applyProtection="1">
      <alignment vertical="center"/>
      <protection locked="0"/>
    </xf>
    <xf numFmtId="0" fontId="7" fillId="12" borderId="30" xfId="0" applyFont="1" applyFill="1" applyBorder="1" applyAlignment="1">
      <alignment horizontal="center" vertical="center"/>
    </xf>
    <xf numFmtId="0" fontId="86" fillId="12" borderId="0" xfId="0" applyFont="1" applyFill="1">
      <alignment vertical="center"/>
    </xf>
    <xf numFmtId="0" fontId="7" fillId="12" borderId="44" xfId="0" applyFont="1" applyFill="1" applyBorder="1" applyAlignment="1">
      <alignment horizontal="center" vertical="center"/>
    </xf>
    <xf numFmtId="0" fontId="7" fillId="12" borderId="23" xfId="0" applyFont="1" applyFill="1" applyBorder="1" applyAlignment="1">
      <alignment horizontal="right" vertical="center"/>
    </xf>
    <xf numFmtId="0" fontId="7" fillId="12" borderId="45" xfId="0" applyFont="1" applyFill="1" applyBorder="1" applyAlignment="1">
      <alignment horizontal="center" vertical="center"/>
    </xf>
    <xf numFmtId="0" fontId="7" fillId="12" borderId="45" xfId="0" applyFont="1" applyFill="1" applyBorder="1" applyAlignment="1">
      <alignment horizontal="right" vertical="center"/>
    </xf>
    <xf numFmtId="168" fontId="7" fillId="12" borderId="45" xfId="0" applyNumberFormat="1" applyFont="1" applyFill="1" applyBorder="1" applyAlignment="1">
      <alignment horizontal="center" vertical="center"/>
    </xf>
    <xf numFmtId="0" fontId="8" fillId="12" borderId="25" xfId="0" applyFont="1" applyFill="1" applyBorder="1">
      <alignment vertical="center"/>
    </xf>
    <xf numFmtId="0" fontId="22" fillId="12" borderId="27" xfId="0" applyFont="1" applyFill="1" applyBorder="1">
      <alignment vertical="center"/>
    </xf>
    <xf numFmtId="0" fontId="8" fillId="12" borderId="26" xfId="0" applyFont="1" applyFill="1" applyBorder="1" applyAlignment="1">
      <alignment horizontal="center" vertical="center"/>
    </xf>
    <xf numFmtId="197" fontId="7" fillId="12" borderId="0" xfId="0" applyNumberFormat="1" applyFont="1" applyFill="1" applyAlignment="1">
      <alignment horizontal="center" vertical="center"/>
    </xf>
    <xf numFmtId="0" fontId="7" fillId="12" borderId="46" xfId="0" applyFont="1" applyFill="1" applyBorder="1" applyAlignment="1">
      <alignment horizontal="center" vertical="center"/>
    </xf>
    <xf numFmtId="186" fontId="7" fillId="12" borderId="37" xfId="0" applyNumberFormat="1" applyFont="1" applyFill="1" applyBorder="1" applyAlignment="1">
      <alignment horizontal="center" vertical="center"/>
    </xf>
    <xf numFmtId="197" fontId="7" fillId="12" borderId="47" xfId="0" applyNumberFormat="1" applyFont="1" applyFill="1" applyBorder="1" applyAlignment="1">
      <alignment horizontal="center" vertical="center"/>
    </xf>
    <xf numFmtId="185" fontId="7" fillId="12" borderId="47" xfId="0" applyNumberFormat="1" applyFont="1" applyFill="1" applyBorder="1" applyAlignment="1">
      <alignment horizontal="center" vertical="center"/>
    </xf>
    <xf numFmtId="186" fontId="7" fillId="12" borderId="36" xfId="0" applyNumberFormat="1" applyFont="1" applyFill="1" applyBorder="1" applyAlignment="1">
      <alignment horizontal="center" vertical="center"/>
    </xf>
    <xf numFmtId="197" fontId="7" fillId="12" borderId="48" xfId="0" applyNumberFormat="1" applyFont="1" applyFill="1" applyBorder="1" applyAlignment="1">
      <alignment horizontal="center" vertical="center"/>
    </xf>
    <xf numFmtId="185" fontId="7" fillId="12" borderId="48" xfId="0" applyNumberFormat="1" applyFont="1" applyFill="1" applyBorder="1" applyAlignment="1">
      <alignment horizontal="center" vertical="center"/>
    </xf>
    <xf numFmtId="168" fontId="7" fillId="12" borderId="47" xfId="0" applyNumberFormat="1" applyFont="1" applyFill="1" applyBorder="1" applyAlignment="1">
      <alignment horizontal="center" vertical="center"/>
    </xf>
    <xf numFmtId="168" fontId="7" fillId="12" borderId="48" xfId="0" applyNumberFormat="1" applyFont="1" applyFill="1" applyBorder="1" applyAlignment="1">
      <alignment horizontal="center" vertical="center"/>
    </xf>
    <xf numFmtId="197" fontId="7" fillId="12" borderId="46" xfId="0" applyNumberFormat="1" applyFont="1" applyFill="1" applyBorder="1" applyAlignment="1">
      <alignment horizontal="center" vertical="center"/>
    </xf>
    <xf numFmtId="178" fontId="7" fillId="12" borderId="46" xfId="0" applyNumberFormat="1" applyFont="1" applyFill="1" applyBorder="1" applyAlignment="1">
      <alignment horizontal="center" vertical="center"/>
    </xf>
    <xf numFmtId="0" fontId="7" fillId="12" borderId="25" xfId="0" applyFont="1" applyFill="1" applyBorder="1" applyAlignment="1">
      <alignment horizontal="left" vertical="center"/>
    </xf>
    <xf numFmtId="0" fontId="7" fillId="12" borderId="43" xfId="0" applyFont="1" applyFill="1" applyBorder="1">
      <alignment vertical="center"/>
    </xf>
    <xf numFmtId="0" fontId="87" fillId="12" borderId="0" xfId="0" applyFont="1" applyFill="1" applyAlignment="1">
      <alignment horizontal="center" vertical="center"/>
    </xf>
    <xf numFmtId="0" fontId="70" fillId="12" borderId="30" xfId="0" applyFont="1" applyFill="1" applyBorder="1">
      <alignment vertical="center"/>
    </xf>
    <xf numFmtId="0" fontId="7" fillId="12" borderId="48" xfId="0" applyFont="1" applyFill="1" applyBorder="1" applyAlignment="1">
      <alignment horizontal="center" vertical="center"/>
    </xf>
    <xf numFmtId="186" fontId="7" fillId="12" borderId="48" xfId="0" applyNumberFormat="1" applyFont="1" applyFill="1" applyBorder="1" applyAlignment="1">
      <alignment horizontal="center" vertical="center"/>
    </xf>
    <xf numFmtId="0" fontId="7" fillId="12" borderId="49" xfId="0" applyFont="1" applyFill="1" applyBorder="1" applyAlignment="1">
      <alignment horizontal="center" vertical="center"/>
    </xf>
    <xf numFmtId="197" fontId="7" fillId="12" borderId="49" xfId="0" applyNumberFormat="1" applyFont="1" applyFill="1" applyBorder="1" applyAlignment="1">
      <alignment horizontal="center" vertical="center"/>
    </xf>
    <xf numFmtId="168" fontId="7" fillId="12" borderId="49" xfId="0" applyNumberFormat="1" applyFont="1" applyFill="1" applyBorder="1" applyAlignment="1">
      <alignment horizontal="center" vertical="center"/>
    </xf>
    <xf numFmtId="182" fontId="7" fillId="12" borderId="49" xfId="0" applyNumberFormat="1" applyFont="1" applyFill="1" applyBorder="1" applyAlignment="1">
      <alignment horizontal="center" vertical="center"/>
    </xf>
    <xf numFmtId="178" fontId="7" fillId="12" borderId="49" xfId="0" applyNumberFormat="1" applyFont="1" applyFill="1" applyBorder="1" applyAlignment="1">
      <alignment horizontal="center" vertical="center"/>
    </xf>
    <xf numFmtId="0" fontId="7" fillId="12" borderId="47" xfId="0" applyFont="1" applyFill="1" applyBorder="1" applyAlignment="1">
      <alignment horizontal="center" vertical="center"/>
    </xf>
    <xf numFmtId="186" fontId="7" fillId="12" borderId="47" xfId="0" applyNumberFormat="1" applyFont="1" applyFill="1" applyBorder="1" applyAlignment="1">
      <alignment horizontal="center" vertical="center"/>
    </xf>
    <xf numFmtId="178" fontId="7" fillId="12" borderId="47" xfId="0" applyNumberFormat="1" applyFont="1" applyFill="1" applyBorder="1" applyAlignment="1">
      <alignment horizontal="center" vertical="center"/>
    </xf>
    <xf numFmtId="178" fontId="7" fillId="12" borderId="48" xfId="0" applyNumberFormat="1" applyFont="1" applyFill="1" applyBorder="1" applyAlignment="1">
      <alignment horizontal="center" vertical="center"/>
    </xf>
    <xf numFmtId="0" fontId="88" fillId="12" borderId="0" xfId="0" applyFont="1" applyFill="1" applyAlignment="1">
      <alignment horizontal="center" vertical="center" wrapText="1"/>
    </xf>
    <xf numFmtId="9" fontId="88" fillId="12" borderId="0" xfId="0" applyNumberFormat="1" applyFont="1" applyFill="1" applyAlignment="1">
      <alignment horizontal="center" vertical="center" wrapText="1"/>
    </xf>
    <xf numFmtId="0" fontId="7" fillId="12" borderId="43" xfId="0" applyFont="1" applyFill="1" applyBorder="1" applyAlignment="1">
      <alignment horizontal="left" vertical="center"/>
    </xf>
    <xf numFmtId="0" fontId="7" fillId="12" borderId="42" xfId="0" applyFont="1" applyFill="1" applyBorder="1" applyAlignment="1">
      <alignment horizontal="center" vertical="center"/>
    </xf>
    <xf numFmtId="0" fontId="7" fillId="12" borderId="26" xfId="0" applyFont="1" applyFill="1" applyBorder="1">
      <alignment vertical="center"/>
    </xf>
    <xf numFmtId="0" fontId="7" fillId="12" borderId="32" xfId="0" applyFont="1" applyFill="1" applyBorder="1" applyAlignment="1">
      <alignment horizontal="center" vertical="center"/>
    </xf>
    <xf numFmtId="182" fontId="7" fillId="12" borderId="47" xfId="0" applyNumberFormat="1" applyFont="1" applyFill="1" applyBorder="1" applyAlignment="1">
      <alignment horizontal="center" vertical="center"/>
    </xf>
    <xf numFmtId="182" fontId="7" fillId="12" borderId="48" xfId="0" applyNumberFormat="1" applyFont="1" applyFill="1" applyBorder="1" applyAlignment="1">
      <alignment horizontal="center" vertical="center"/>
    </xf>
    <xf numFmtId="0" fontId="89" fillId="12" borderId="0" xfId="0" applyFont="1" applyFill="1" applyAlignment="1">
      <alignment horizontal="center" vertical="center"/>
    </xf>
    <xf numFmtId="0" fontId="90" fillId="12" borderId="0" xfId="0" applyFont="1" applyFill="1">
      <alignment vertical="center"/>
    </xf>
    <xf numFmtId="0" fontId="7" fillId="12" borderId="0" xfId="0" applyFont="1" applyFill="1" applyAlignment="1">
      <alignment horizontal="right" vertical="center"/>
    </xf>
    <xf numFmtId="0" fontId="7" fillId="12" borderId="50" xfId="0" applyFont="1" applyFill="1" applyBorder="1">
      <alignment vertical="center"/>
    </xf>
    <xf numFmtId="0" fontId="4" fillId="12" borderId="0" xfId="1" applyFill="1">
      <alignment vertical="center"/>
    </xf>
    <xf numFmtId="0" fontId="10" fillId="12" borderId="0" xfId="0" applyFont="1" applyFill="1">
      <alignment vertical="center"/>
    </xf>
    <xf numFmtId="0" fontId="90" fillId="12" borderId="0" xfId="0" applyFont="1" applyFill="1" applyAlignment="1">
      <alignment horizontal="center" vertical="center"/>
    </xf>
    <xf numFmtId="0" fontId="90" fillId="12" borderId="0" xfId="0" applyFont="1" applyFill="1" applyAlignment="1">
      <alignment horizontal="right" vertical="center"/>
    </xf>
    <xf numFmtId="0" fontId="90" fillId="12" borderId="0" xfId="0" applyFont="1" applyFill="1" applyAlignment="1">
      <alignment horizontal="center" vertical="center" shrinkToFit="1"/>
    </xf>
    <xf numFmtId="174" fontId="7" fillId="12" borderId="0" xfId="0" applyNumberFormat="1" applyFont="1" applyFill="1">
      <alignment vertical="center"/>
    </xf>
    <xf numFmtId="185" fontId="90" fillId="12" borderId="0" xfId="0" applyNumberFormat="1" applyFont="1" applyFill="1" applyAlignment="1">
      <alignment horizontal="center" vertical="center"/>
    </xf>
    <xf numFmtId="206" fontId="90" fillId="12" borderId="0" xfId="0" applyNumberFormat="1" applyFont="1" applyFill="1" applyAlignment="1">
      <alignment horizontal="center" vertical="center"/>
    </xf>
    <xf numFmtId="206" fontId="7" fillId="12" borderId="0" xfId="0" applyNumberFormat="1" applyFont="1" applyFill="1" applyAlignment="1">
      <alignment horizontal="center" vertical="center"/>
    </xf>
    <xf numFmtId="206" fontId="7" fillId="12" borderId="0" xfId="0" applyNumberFormat="1" applyFont="1" applyFill="1">
      <alignment vertical="center"/>
    </xf>
    <xf numFmtId="0" fontId="7" fillId="12" borderId="0" xfId="0" applyFont="1" applyFill="1" applyAlignment="1">
      <alignment vertical="center" shrinkToFit="1"/>
    </xf>
    <xf numFmtId="0" fontId="55" fillId="12" borderId="0" xfId="0" applyFont="1" applyFill="1" applyAlignment="1">
      <alignment horizontal="left" vertical="center" shrinkToFit="1"/>
    </xf>
    <xf numFmtId="0" fontId="93" fillId="12" borderId="0" xfId="0" applyFont="1" applyFill="1" applyAlignment="1">
      <alignment horizontal="left" vertical="center" shrinkToFit="1"/>
    </xf>
    <xf numFmtId="0" fontId="7" fillId="11" borderId="0" xfId="0" quotePrefix="1" applyFont="1" applyFill="1" applyAlignment="1">
      <alignment horizontal="center" vertical="center"/>
    </xf>
    <xf numFmtId="0" fontId="63" fillId="12" borderId="0" xfId="0" applyFont="1" applyFill="1" applyAlignment="1">
      <alignment horizontal="center" vertical="center"/>
    </xf>
    <xf numFmtId="0" fontId="90" fillId="12" borderId="0" xfId="0" applyFont="1" applyFill="1" applyAlignment="1">
      <alignment horizontal="center" vertical="center"/>
    </xf>
    <xf numFmtId="0" fontId="7" fillId="12" borderId="0" xfId="0" applyFont="1" applyFill="1" applyAlignment="1">
      <alignment horizontal="right" vertical="center"/>
    </xf>
    <xf numFmtId="0" fontId="8" fillId="11" borderId="0" xfId="0" quotePrefix="1" applyFont="1" applyFill="1" applyAlignment="1">
      <alignment horizontal="center" vertical="center"/>
    </xf>
    <xf numFmtId="0" fontId="8" fillId="11" borderId="0" xfId="0" applyFont="1" applyFill="1" applyAlignment="1">
      <alignment horizontal="center" vertical="center"/>
    </xf>
    <xf numFmtId="0" fontId="30" fillId="12" borderId="0" xfId="0" applyFont="1" applyFill="1">
      <alignment vertical="center"/>
    </xf>
    <xf numFmtId="0" fontId="30" fillId="12" borderId="0" xfId="0" applyFont="1" applyFill="1" applyAlignment="1">
      <alignment horizontal="center" vertical="center"/>
    </xf>
    <xf numFmtId="0" fontId="91" fillId="12" borderId="0" xfId="0" applyFont="1" applyFill="1" applyAlignment="1">
      <alignment horizontal="center" vertical="center"/>
    </xf>
    <xf numFmtId="0" fontId="10" fillId="12" borderId="0" xfId="0" applyFont="1" applyFill="1" applyAlignment="1">
      <alignment horizontal="left" vertical="center" shrinkToFit="1"/>
    </xf>
    <xf numFmtId="0" fontId="5" fillId="12" borderId="0" xfId="0" applyFont="1" applyFill="1" applyAlignment="1">
      <alignment horizontal="left" vertical="center"/>
    </xf>
    <xf numFmtId="0" fontId="5" fillId="12" borderId="13" xfId="0" applyFont="1" applyFill="1" applyBorder="1" applyAlignment="1">
      <alignment horizontal="left" vertical="center"/>
    </xf>
    <xf numFmtId="0" fontId="10" fillId="15" borderId="0" xfId="0" applyFont="1" applyFill="1" applyAlignment="1">
      <alignment horizontal="left" vertical="center"/>
    </xf>
    <xf numFmtId="0" fontId="92" fillId="12" borderId="0" xfId="0" applyFont="1" applyFill="1" applyAlignment="1">
      <alignment horizontal="center" vertical="center"/>
    </xf>
    <xf numFmtId="0" fontId="92" fillId="12" borderId="13" xfId="0" applyFont="1" applyFill="1" applyBorder="1" applyAlignment="1">
      <alignment horizontal="center" vertical="center"/>
    </xf>
    <xf numFmtId="0" fontId="10" fillId="12" borderId="0" xfId="0" quotePrefix="1" applyFont="1" applyFill="1" applyAlignment="1">
      <alignment horizontal="center" vertical="center"/>
    </xf>
    <xf numFmtId="0" fontId="10" fillId="12" borderId="0" xfId="0" applyFont="1" applyFill="1" applyAlignment="1">
      <alignment horizontal="center" vertical="center"/>
    </xf>
    <xf numFmtId="0" fontId="10" fillId="12" borderId="24" xfId="0" applyFont="1" applyFill="1" applyBorder="1" applyAlignment="1">
      <alignment horizontal="center" vertical="center"/>
    </xf>
    <xf numFmtId="0" fontId="10" fillId="12" borderId="24" xfId="0" quotePrefix="1" applyFont="1" applyFill="1" applyBorder="1" applyAlignment="1">
      <alignment horizontal="center" vertical="center"/>
    </xf>
    <xf numFmtId="0" fontId="63" fillId="12" borderId="0" xfId="0" applyFont="1" applyFill="1" applyAlignment="1">
      <alignment horizontal="left" vertical="center"/>
    </xf>
    <xf numFmtId="0" fontId="7" fillId="12" borderId="0" xfId="0" applyFont="1" applyFill="1" applyAlignment="1">
      <alignment horizontal="left" wrapText="1"/>
    </xf>
    <xf numFmtId="0" fontId="5" fillId="12" borderId="14" xfId="0" applyFont="1" applyFill="1" applyBorder="1" applyAlignment="1">
      <alignment horizontal="left" vertical="center"/>
    </xf>
    <xf numFmtId="0" fontId="63" fillId="12" borderId="14" xfId="0" applyFont="1" applyFill="1" applyBorder="1" applyAlignment="1">
      <alignment horizontal="left" vertical="center"/>
    </xf>
    <xf numFmtId="0" fontId="69" fillId="12" borderId="0" xfId="0" applyFont="1" applyFill="1" applyAlignment="1">
      <alignment horizontal="center" vertical="center"/>
    </xf>
    <xf numFmtId="0" fontId="7" fillId="12" borderId="0" xfId="0" applyFont="1" applyFill="1" applyAlignment="1">
      <alignment horizontal="left" vertical="center" wrapText="1"/>
    </xf>
    <xf numFmtId="0" fontId="69" fillId="11" borderId="0" xfId="0" applyFont="1" applyFill="1" applyAlignment="1">
      <alignment horizontal="center" vertical="center"/>
    </xf>
    <xf numFmtId="0" fontId="63" fillId="11" borderId="0" xfId="0" applyFont="1" applyFill="1" applyAlignment="1">
      <alignment horizontal="left" vertical="center"/>
    </xf>
    <xf numFmtId="0" fontId="63" fillId="11" borderId="14" xfId="0" applyFont="1" applyFill="1" applyBorder="1" applyAlignment="1">
      <alignment horizontal="left" vertical="center"/>
    </xf>
    <xf numFmtId="0" fontId="7" fillId="11" borderId="0" xfId="0" applyFont="1" applyFill="1" applyAlignment="1">
      <alignment horizontal="left" vertical="center" wrapText="1"/>
    </xf>
    <xf numFmtId="0" fontId="63" fillId="12" borderId="14" xfId="0" applyFont="1" applyFill="1" applyBorder="1" applyAlignment="1">
      <alignment horizontal="center" vertical="center"/>
    </xf>
    <xf numFmtId="0" fontId="7" fillId="11" borderId="21" xfId="0" applyFont="1" applyFill="1" applyBorder="1" applyAlignment="1">
      <alignment horizontal="center" vertical="center"/>
    </xf>
    <xf numFmtId="3" fontId="7" fillId="11" borderId="0" xfId="0" applyNumberFormat="1" applyFont="1" applyFill="1" applyAlignment="1">
      <alignment horizontal="left" vertical="center"/>
    </xf>
    <xf numFmtId="0" fontId="10" fillId="11" borderId="0" xfId="0" applyFont="1" applyFill="1" applyAlignment="1">
      <alignment horizontal="left" vertical="center"/>
    </xf>
    <xf numFmtId="0" fontId="10" fillId="11" borderId="13" xfId="0" applyFont="1" applyFill="1" applyBorder="1" applyAlignment="1">
      <alignment horizontal="left" vertical="center"/>
    </xf>
    <xf numFmtId="0" fontId="63" fillId="11" borderId="0" xfId="0" applyFont="1" applyFill="1" applyAlignment="1">
      <alignment horizontal="center" vertical="center"/>
    </xf>
    <xf numFmtId="0" fontId="63" fillId="11" borderId="13" xfId="0" applyFont="1" applyFill="1" applyBorder="1" applyAlignment="1">
      <alignment horizontal="center" vertical="center"/>
    </xf>
    <xf numFmtId="0" fontId="10" fillId="11" borderId="0" xfId="0" applyFont="1" applyFill="1" applyAlignment="1">
      <alignment horizontal="center" vertical="center"/>
    </xf>
    <xf numFmtId="0" fontId="66" fillId="11" borderId="0" xfId="0" applyFont="1" applyFill="1" applyAlignment="1">
      <alignment horizontal="left" vertical="center"/>
    </xf>
    <xf numFmtId="0" fontId="5" fillId="11" borderId="0" xfId="0" applyFont="1" applyFill="1" applyAlignment="1">
      <alignment horizontal="center" vertical="center"/>
    </xf>
    <xf numFmtId="0" fontId="9" fillId="11" borderId="0" xfId="1" applyFont="1" applyFill="1" applyAlignment="1">
      <alignment horizontal="left" vertical="center"/>
    </xf>
    <xf numFmtId="0" fontId="9" fillId="11" borderId="13" xfId="1" applyFont="1" applyFill="1" applyBorder="1" applyAlignment="1">
      <alignment horizontal="left" vertical="center"/>
    </xf>
    <xf numFmtId="0" fontId="10" fillId="11" borderId="13" xfId="0" applyFont="1" applyFill="1" applyBorder="1" applyAlignment="1">
      <alignment horizontal="center" vertical="center"/>
    </xf>
    <xf numFmtId="0" fontId="8" fillId="11" borderId="0" xfId="0" applyFont="1" applyFill="1" applyAlignment="1">
      <alignment horizontal="left" vertical="center"/>
    </xf>
    <xf numFmtId="0" fontId="8" fillId="11" borderId="24" xfId="0" applyFont="1" applyFill="1" applyBorder="1" applyAlignment="1">
      <alignment horizontal="center" vertical="center"/>
    </xf>
    <xf numFmtId="0" fontId="7" fillId="12" borderId="0" xfId="0" applyFont="1" applyFill="1" applyAlignment="1">
      <alignment horizontal="center" vertical="center" shrinkToFit="1"/>
    </xf>
    <xf numFmtId="0" fontId="48" fillId="11" borderId="0" xfId="0" applyFont="1" applyFill="1" applyAlignment="1">
      <alignment horizontal="center" vertical="center"/>
    </xf>
    <xf numFmtId="0" fontId="48" fillId="11" borderId="25" xfId="0" applyFont="1" applyFill="1" applyBorder="1" applyAlignment="1">
      <alignment horizontal="center" vertical="center"/>
    </xf>
    <xf numFmtId="0" fontId="55" fillId="12" borderId="0" xfId="0" applyFont="1" applyFill="1" applyAlignment="1">
      <alignment horizontal="center" vertical="center" shrinkToFit="1"/>
    </xf>
    <xf numFmtId="0" fontId="48" fillId="11" borderId="24" xfId="0" applyFont="1" applyFill="1" applyBorder="1" applyAlignment="1">
      <alignment horizontal="center" vertical="center"/>
    </xf>
    <xf numFmtId="0" fontId="29" fillId="11" borderId="25" xfId="0" applyFont="1" applyFill="1" applyBorder="1" applyAlignment="1">
      <alignment horizontal="center" vertical="center"/>
    </xf>
    <xf numFmtId="0" fontId="29" fillId="11" borderId="0" xfId="0" applyFont="1" applyFill="1" applyAlignment="1">
      <alignment horizontal="center" vertical="center"/>
    </xf>
    <xf numFmtId="181" fontId="48" fillId="11" borderId="25" xfId="0" applyNumberFormat="1" applyFont="1" applyFill="1" applyBorder="1" applyAlignment="1">
      <alignment horizontal="center" vertical="center"/>
    </xf>
    <xf numFmtId="181" fontId="48" fillId="11" borderId="0" xfId="0" applyNumberFormat="1" applyFont="1" applyFill="1" applyAlignment="1">
      <alignment horizontal="center" vertical="center"/>
    </xf>
    <xf numFmtId="0" fontId="7" fillId="12" borderId="24" xfId="0" applyFont="1" applyFill="1" applyBorder="1" applyAlignment="1">
      <alignment horizontal="center" vertical="center" shrinkToFit="1"/>
    </xf>
    <xf numFmtId="1" fontId="57" fillId="11" borderId="0" xfId="0" applyNumberFormat="1" applyFont="1" applyFill="1" applyAlignment="1">
      <alignment horizontal="center" vertical="center"/>
    </xf>
    <xf numFmtId="185" fontId="38" fillId="12" borderId="0" xfId="0" applyNumberFormat="1" applyFont="1" applyFill="1" applyAlignment="1">
      <alignment horizontal="center" vertical="center"/>
    </xf>
    <xf numFmtId="185" fontId="54" fillId="12" borderId="0" xfId="0" applyNumberFormat="1" applyFont="1" applyFill="1" applyAlignment="1">
      <alignment horizontal="center" vertical="center"/>
    </xf>
    <xf numFmtId="196" fontId="8" fillId="11" borderId="0" xfId="0" applyNumberFormat="1" applyFont="1" applyFill="1" applyAlignment="1">
      <alignment horizontal="center" vertical="center"/>
    </xf>
    <xf numFmtId="0" fontId="30" fillId="11" borderId="0" xfId="0" applyFont="1" applyFill="1" applyAlignment="1">
      <alignment horizontal="center" vertical="center"/>
    </xf>
    <xf numFmtId="0" fontId="8" fillId="11" borderId="0" xfId="0" applyFont="1" applyFill="1" applyAlignment="1">
      <alignment horizontal="left" vertical="center" wrapText="1"/>
    </xf>
    <xf numFmtId="0" fontId="30" fillId="11" borderId="0" xfId="0" applyFont="1" applyFill="1" applyAlignment="1">
      <alignment horizontal="left" vertical="center"/>
    </xf>
    <xf numFmtId="0" fontId="30" fillId="11" borderId="24" xfId="0" applyFont="1" applyFill="1" applyBorder="1" applyAlignment="1">
      <alignment horizontal="left" vertical="center"/>
    </xf>
    <xf numFmtId="0" fontId="30" fillId="11" borderId="0" xfId="1" applyFont="1" applyFill="1" applyAlignment="1">
      <alignment horizontal="left" vertical="center"/>
    </xf>
    <xf numFmtId="0" fontId="30" fillId="11" borderId="24" xfId="1" applyFont="1" applyFill="1" applyBorder="1" applyAlignment="1">
      <alignment horizontal="left" vertical="center"/>
    </xf>
    <xf numFmtId="0" fontId="31" fillId="11" borderId="0" xfId="0" applyFont="1" applyFill="1" applyAlignment="1">
      <alignment horizontal="left" vertical="center"/>
    </xf>
    <xf numFmtId="0" fontId="30" fillId="11" borderId="13" xfId="0" applyFont="1" applyFill="1" applyBorder="1" applyAlignment="1">
      <alignment horizontal="left" vertical="center"/>
    </xf>
    <xf numFmtId="0" fontId="47" fillId="11" borderId="36" xfId="0" applyFont="1" applyFill="1" applyBorder="1" applyAlignment="1">
      <alignment horizontal="center" vertical="center"/>
    </xf>
    <xf numFmtId="0" fontId="47" fillId="11" borderId="37" xfId="0" applyFont="1" applyFill="1" applyBorder="1" applyAlignment="1">
      <alignment horizontal="center" vertical="center"/>
    </xf>
    <xf numFmtId="0" fontId="31" fillId="11" borderId="0" xfId="0" applyFont="1" applyFill="1" applyAlignment="1">
      <alignment horizontal="center" vertical="center"/>
    </xf>
    <xf numFmtId="0" fontId="8" fillId="11" borderId="0" xfId="0" applyFont="1" applyFill="1" applyAlignment="1">
      <alignment horizontal="left" vertical="top" wrapText="1"/>
    </xf>
    <xf numFmtId="0" fontId="30" fillId="11" borderId="0" xfId="0" applyFont="1" applyFill="1">
      <alignment vertical="center"/>
    </xf>
    <xf numFmtId="0" fontId="30" fillId="11" borderId="24" xfId="0" applyFont="1" applyFill="1" applyBorder="1">
      <alignment vertical="center"/>
    </xf>
    <xf numFmtId="0" fontId="9" fillId="11" borderId="14" xfId="1" applyFont="1" applyFill="1" applyBorder="1" applyAlignment="1">
      <alignment horizontal="left" vertical="center"/>
    </xf>
    <xf numFmtId="0" fontId="9" fillId="11" borderId="24" xfId="1" applyFont="1" applyFill="1" applyBorder="1" applyAlignment="1">
      <alignment horizontal="left" vertical="center"/>
    </xf>
    <xf numFmtId="0" fontId="45" fillId="11" borderId="0" xfId="0" applyFont="1" applyFill="1" applyAlignment="1">
      <alignment horizontal="left" vertical="center" wrapText="1"/>
    </xf>
    <xf numFmtId="0" fontId="9" fillId="11" borderId="0" xfId="0" applyFont="1" applyFill="1" applyAlignment="1">
      <alignment horizontal="center" vertical="center"/>
    </xf>
    <xf numFmtId="0" fontId="9" fillId="11" borderId="24" xfId="0" applyFont="1" applyFill="1" applyBorder="1" applyAlignment="1">
      <alignment horizontal="center" vertical="center"/>
    </xf>
    <xf numFmtId="0" fontId="30" fillId="11" borderId="24" xfId="0" applyFont="1" applyFill="1" applyBorder="1" applyAlignment="1">
      <alignment horizontal="center" vertical="center"/>
    </xf>
    <xf numFmtId="0" fontId="56" fillId="11" borderId="0" xfId="0" applyFont="1" applyFill="1" applyAlignment="1">
      <alignment horizontal="center" vertical="center"/>
    </xf>
    <xf numFmtId="0" fontId="7" fillId="11" borderId="33" xfId="0" applyFont="1" applyFill="1" applyBorder="1" applyAlignment="1">
      <alignment horizontal="left" vertical="center"/>
    </xf>
    <xf numFmtId="0" fontId="7" fillId="11" borderId="0" xfId="0" applyFont="1" applyFill="1" applyAlignment="1">
      <alignment horizontal="left" vertical="center"/>
    </xf>
    <xf numFmtId="3" fontId="7" fillId="11" borderId="33" xfId="0" applyNumberFormat="1" applyFont="1" applyFill="1" applyBorder="1" applyAlignment="1">
      <alignment horizontal="center" vertical="center"/>
    </xf>
    <xf numFmtId="3" fontId="7" fillId="11" borderId="0" xfId="0" applyNumberFormat="1" applyFont="1" applyFill="1" applyAlignment="1">
      <alignment horizontal="center" vertical="center"/>
    </xf>
    <xf numFmtId="0" fontId="9" fillId="11" borderId="13" xfId="0" applyFont="1" applyFill="1" applyBorder="1" applyAlignment="1">
      <alignment horizontal="center" vertical="center"/>
    </xf>
    <xf numFmtId="0" fontId="5" fillId="11" borderId="0" xfId="0" applyFont="1" applyFill="1" applyAlignment="1">
      <alignment horizontal="left" vertical="center"/>
    </xf>
    <xf numFmtId="0" fontId="9" fillId="11" borderId="0" xfId="0" applyFont="1" applyFill="1" applyAlignment="1">
      <alignment horizontal="left" vertical="center"/>
    </xf>
    <xf numFmtId="0" fontId="9" fillId="11" borderId="13" xfId="0" applyFont="1" applyFill="1" applyBorder="1" applyAlignment="1">
      <alignment horizontal="left" vertical="center"/>
    </xf>
    <xf numFmtId="14" fontId="7" fillId="11" borderId="0" xfId="0" applyNumberFormat="1" applyFont="1" applyFill="1" applyAlignment="1">
      <alignment horizontal="center" vertical="center"/>
    </xf>
    <xf numFmtId="0" fontId="7" fillId="11" borderId="0" xfId="0" applyFont="1" applyFill="1" applyAlignment="1">
      <alignment horizontal="center" vertical="center"/>
    </xf>
    <xf numFmtId="0" fontId="7" fillId="11" borderId="23" xfId="0" applyFont="1" applyFill="1" applyBorder="1" applyAlignment="1">
      <alignment horizontal="center" vertical="center"/>
    </xf>
    <xf numFmtId="0" fontId="7" fillId="11" borderId="26" xfId="0" applyFont="1" applyFill="1" applyBorder="1" applyAlignment="1">
      <alignment horizontal="center" vertical="center"/>
    </xf>
    <xf numFmtId="0" fontId="12" fillId="11" borderId="0" xfId="0" applyFont="1" applyFill="1" applyAlignment="1">
      <alignment horizontal="center" vertical="center"/>
    </xf>
    <xf numFmtId="0" fontId="7" fillId="11" borderId="24" xfId="0" applyFont="1" applyFill="1" applyBorder="1" applyAlignment="1">
      <alignment horizontal="left" vertical="center"/>
    </xf>
    <xf numFmtId="0" fontId="11" fillId="11" borderId="0" xfId="0" applyFont="1" applyFill="1" applyAlignment="1">
      <alignment horizontal="center" vertical="center"/>
    </xf>
    <xf numFmtId="0" fontId="7" fillId="11" borderId="24" xfId="0" applyFont="1" applyFill="1" applyBorder="1" applyAlignment="1">
      <alignment horizontal="center" vertical="center"/>
    </xf>
    <xf numFmtId="0" fontId="7" fillId="11" borderId="14" xfId="0" applyFont="1" applyFill="1" applyBorder="1" applyAlignment="1">
      <alignment horizontal="center" vertical="center"/>
    </xf>
    <xf numFmtId="180" fontId="7" fillId="11" borderId="0" xfId="0" applyNumberFormat="1" applyFont="1" applyFill="1" applyAlignment="1">
      <alignment horizontal="center" vertical="center"/>
    </xf>
    <xf numFmtId="180" fontId="7" fillId="11" borderId="14" xfId="0" applyNumberFormat="1" applyFont="1" applyFill="1" applyBorder="1" applyAlignment="1">
      <alignment horizontal="center" vertical="center"/>
    </xf>
    <xf numFmtId="181" fontId="7" fillId="11" borderId="0" xfId="0" applyNumberFormat="1" applyFont="1" applyFill="1" applyAlignment="1">
      <alignment horizontal="center" vertical="center"/>
    </xf>
    <xf numFmtId="181" fontId="7" fillId="11" borderId="14" xfId="0" applyNumberFormat="1" applyFont="1" applyFill="1" applyBorder="1" applyAlignment="1">
      <alignment horizontal="center" vertical="center"/>
    </xf>
    <xf numFmtId="0" fontId="10" fillId="11" borderId="24" xfId="0" applyFont="1" applyFill="1" applyBorder="1" applyAlignment="1">
      <alignment horizontal="left" vertical="center"/>
    </xf>
    <xf numFmtId="0" fontId="10" fillId="11" borderId="26" xfId="0" applyFont="1" applyFill="1" applyBorder="1" applyAlignment="1">
      <alignment horizontal="left" vertical="center"/>
    </xf>
    <xf numFmtId="0" fontId="7" fillId="11" borderId="18" xfId="0" applyFont="1" applyFill="1" applyBorder="1" applyAlignment="1">
      <alignment horizontal="center" vertical="top" wrapText="1"/>
    </xf>
    <xf numFmtId="0" fontId="7" fillId="11" borderId="0" xfId="0" applyFont="1" applyFill="1" applyAlignment="1">
      <alignment horizontal="center" vertical="top" wrapText="1"/>
    </xf>
    <xf numFmtId="0" fontId="7" fillId="11" borderId="19" xfId="0" applyFont="1" applyFill="1" applyBorder="1" applyAlignment="1">
      <alignment horizontal="center" vertical="top" wrapText="1"/>
    </xf>
    <xf numFmtId="0" fontId="6" fillId="11" borderId="0" xfId="1" applyFont="1" applyFill="1" applyAlignment="1">
      <alignment horizontal="left" vertical="center"/>
    </xf>
    <xf numFmtId="0" fontId="6" fillId="11" borderId="13" xfId="1" applyFont="1" applyFill="1" applyBorder="1" applyAlignment="1">
      <alignment horizontal="left" vertical="center"/>
    </xf>
  </cellXfs>
  <cellStyles count="3">
    <cellStyle name="Hyperlink" xfId="1" builtinId="8"/>
    <cellStyle name="Normal" xfId="0" builtinId="0"/>
    <cellStyle name="Percent" xfId="2" builtinId="5"/>
  </cellStyles>
  <dxfs count="91">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ont>
        <b/>
        <sz val="11"/>
        <color rgb="FFFFFFFF"/>
      </font>
      <fill>
        <patternFill patternType="solid">
          <bgColor rgb="FF3D79A3"/>
        </patternFill>
      </fill>
      <border>
        <left/>
        <right/>
        <top style="thin">
          <color rgb="FFFFFFFF"/>
        </top>
        <bottom style="thin">
          <color rgb="FFFFFFFF"/>
        </bottom>
      </border>
    </dxf>
    <dxf>
      <font>
        <b/>
        <sz val="11"/>
        <color rgb="FFFFFFFF"/>
      </font>
      <fill>
        <patternFill patternType="solid">
          <bgColor rgb="FF3D79A3"/>
        </patternFill>
      </fill>
      <border>
        <left/>
        <right/>
        <top style="thin">
          <color rgb="FFFFFFFF"/>
        </top>
        <bottom style="thin">
          <color rgb="FFFFFFFF"/>
        </bottom>
      </border>
    </dxf>
    <dxf>
      <font>
        <b/>
        <sz val="11"/>
        <color rgb="FFFFFFFF"/>
      </font>
      <fill>
        <patternFill patternType="solid">
          <bgColor rgb="FF4588B7"/>
        </patternFill>
      </fill>
      <border>
        <left/>
        <right/>
        <top style="thin">
          <color rgb="FFFFFFFF"/>
        </top>
        <bottom style="thin">
          <color rgb="FFFFFFFF"/>
        </bottom>
      </border>
    </dxf>
    <dxf>
      <font>
        <b/>
        <sz val="11"/>
        <color rgb="FFFFFFFF"/>
      </font>
      <fill>
        <patternFill patternType="solid">
          <bgColor rgb="FF3D79A3"/>
        </patternFill>
      </fill>
      <border>
        <left/>
        <right/>
        <top style="thin">
          <color rgb="FFFFFFFF"/>
        </top>
        <bottom style="thin">
          <color rgb="FFFFFFFF"/>
        </bottom>
      </border>
    </dxf>
    <dxf>
      <font>
        <b/>
        <sz val="11"/>
        <color rgb="FFFFFFFF"/>
      </font>
      <fill>
        <patternFill patternType="solid">
          <bgColor rgb="FF3D79A3"/>
        </patternFill>
      </fill>
      <border>
        <left/>
        <right/>
        <top style="thin">
          <color rgb="FFFFFFFF"/>
        </top>
        <bottom style="thin">
          <color rgb="FFFFFFFF"/>
        </bottom>
      </border>
    </dxf>
    <dxf>
      <font>
        <b/>
        <sz val="11"/>
        <color rgb="FFFFFFFF"/>
      </font>
      <fill>
        <patternFill patternType="solid">
          <bgColor rgb="FF3D79A3"/>
        </patternFill>
      </fill>
      <border>
        <left/>
        <right/>
        <top style="thin">
          <color rgb="FFFFFFFF"/>
        </top>
        <bottom style="thin">
          <color rgb="FFFFFFFF"/>
        </bottom>
      </border>
    </dxf>
    <dxf>
      <font>
        <b/>
        <sz val="11"/>
        <color rgb="FFFFFFFF"/>
      </font>
      <fill>
        <patternFill patternType="solid">
          <bgColor rgb="FF3D78A1"/>
        </patternFill>
      </fill>
      <border>
        <left/>
        <right/>
        <top style="thin">
          <color rgb="FFFFFFFF"/>
        </top>
        <bottom style="thin">
          <color rgb="FFFFFFFF"/>
        </bottom>
      </border>
    </dxf>
    <dxf>
      <font>
        <b/>
        <sz val="11"/>
        <color rgb="FFFFFFFF"/>
      </font>
      <fill>
        <patternFill patternType="solid">
          <bgColor rgb="FF4E91BC"/>
        </patternFill>
      </fill>
      <border>
        <left/>
        <right/>
        <top style="thin">
          <color rgb="FFFFFFFF"/>
        </top>
        <bottom style="thin">
          <color rgb="FFFFFFFF"/>
        </bottom>
      </border>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ill>
        <patternFill patternType="solid">
          <bgColor rgb="FF5D3A7A"/>
        </patternFill>
      </fill>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ill>
        <patternFill patternType="solid">
          <bgColor rgb="FF7E36B4"/>
        </patternFill>
      </fill>
    </dxf>
    <dxf>
      <fill>
        <patternFill patternType="solid">
          <bgColor rgb="FF5D3A7A"/>
        </patternFill>
      </fill>
    </dxf>
    <dxf>
      <fill>
        <patternFill patternType="solid">
          <bgColor rgb="FF5D3A7A"/>
        </patternFill>
      </fill>
    </dxf>
  </dxfs>
  <tableStyles count="0" defaultTableStyle="TableStyleMedium2" defaultPivotStyle="PivotStyleLight16"/>
  <colors>
    <mruColors>
      <color rgb="FFFFDF87"/>
      <color rgb="FF5D3A7A"/>
      <color rgb="FF7E36B4"/>
      <color rgb="FF6E3286"/>
      <color rgb="FFA65DC3"/>
      <color rgb="FFB17ED8"/>
      <color rgb="FFFDECBE"/>
      <color rgb="FFE6E88C"/>
      <color rgb="FFE2A536"/>
      <color rgb="FF934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6" Type="http://schemas.openxmlformats.org/officeDocument/2006/relationships/image" Target="../media/image29.jpeg"/><Relationship Id="rId21" Type="http://schemas.openxmlformats.org/officeDocument/2006/relationships/image" Target="../media/image24.png"/><Relationship Id="rId42" Type="http://schemas.openxmlformats.org/officeDocument/2006/relationships/image" Target="../media/image45.png"/><Relationship Id="rId47" Type="http://schemas.openxmlformats.org/officeDocument/2006/relationships/image" Target="../media/image50.jpeg"/><Relationship Id="rId63" Type="http://schemas.openxmlformats.org/officeDocument/2006/relationships/image" Target="../media/image65.jpeg"/><Relationship Id="rId68" Type="http://schemas.openxmlformats.org/officeDocument/2006/relationships/image" Target="../media/image70.jpeg"/><Relationship Id="rId2" Type="http://schemas.openxmlformats.org/officeDocument/2006/relationships/image" Target="../media/image5.jpeg"/><Relationship Id="rId16" Type="http://schemas.openxmlformats.org/officeDocument/2006/relationships/image" Target="../media/image19.jpeg"/><Relationship Id="rId29" Type="http://schemas.openxmlformats.org/officeDocument/2006/relationships/image" Target="../media/image32.jpeg"/><Relationship Id="rId11" Type="http://schemas.openxmlformats.org/officeDocument/2006/relationships/image" Target="../media/image14.jpeg"/><Relationship Id="rId24" Type="http://schemas.openxmlformats.org/officeDocument/2006/relationships/image" Target="../media/image27.png"/><Relationship Id="rId32" Type="http://schemas.openxmlformats.org/officeDocument/2006/relationships/image" Target="../media/image35.png"/><Relationship Id="rId37" Type="http://schemas.openxmlformats.org/officeDocument/2006/relationships/image" Target="../media/image40.png"/><Relationship Id="rId40" Type="http://schemas.openxmlformats.org/officeDocument/2006/relationships/image" Target="../media/image43.png"/><Relationship Id="rId45" Type="http://schemas.openxmlformats.org/officeDocument/2006/relationships/image" Target="../media/image48.png"/><Relationship Id="rId53" Type="http://schemas.openxmlformats.org/officeDocument/2006/relationships/image" Target="NULL" TargetMode="External"/><Relationship Id="rId58" Type="http://schemas.openxmlformats.org/officeDocument/2006/relationships/image" Target="../media/image60.png"/><Relationship Id="rId66" Type="http://schemas.openxmlformats.org/officeDocument/2006/relationships/image" Target="../media/image68.png"/><Relationship Id="rId74" Type="http://schemas.openxmlformats.org/officeDocument/2006/relationships/image" Target="../media/image76.png"/><Relationship Id="rId5" Type="http://schemas.openxmlformats.org/officeDocument/2006/relationships/image" Target="../media/image8.jpeg"/><Relationship Id="rId61" Type="http://schemas.openxmlformats.org/officeDocument/2006/relationships/image" Target="../media/image63.png"/><Relationship Id="rId19" Type="http://schemas.openxmlformats.org/officeDocument/2006/relationships/image" Target="../media/image22.jpeg"/><Relationship Id="rId14" Type="http://schemas.openxmlformats.org/officeDocument/2006/relationships/image" Target="../media/image17.jpeg"/><Relationship Id="rId22" Type="http://schemas.openxmlformats.org/officeDocument/2006/relationships/image" Target="../media/image25.png"/><Relationship Id="rId27" Type="http://schemas.openxmlformats.org/officeDocument/2006/relationships/image" Target="../media/image30.jpeg"/><Relationship Id="rId30" Type="http://schemas.openxmlformats.org/officeDocument/2006/relationships/image" Target="../media/image33.png"/><Relationship Id="rId35" Type="http://schemas.openxmlformats.org/officeDocument/2006/relationships/image" Target="../media/image38.png"/><Relationship Id="rId43" Type="http://schemas.openxmlformats.org/officeDocument/2006/relationships/image" Target="../media/image46.png"/><Relationship Id="rId48" Type="http://schemas.openxmlformats.org/officeDocument/2006/relationships/image" Target="../media/image51.jpeg"/><Relationship Id="rId56" Type="http://schemas.openxmlformats.org/officeDocument/2006/relationships/image" Target="../media/image58.png"/><Relationship Id="rId64" Type="http://schemas.openxmlformats.org/officeDocument/2006/relationships/image" Target="../media/image66.png"/><Relationship Id="rId69" Type="http://schemas.openxmlformats.org/officeDocument/2006/relationships/image" Target="../media/image71.jpeg"/><Relationship Id="rId8" Type="http://schemas.openxmlformats.org/officeDocument/2006/relationships/image" Target="../media/image11.jpeg"/><Relationship Id="rId51" Type="http://schemas.openxmlformats.org/officeDocument/2006/relationships/image" Target="../media/image54.png"/><Relationship Id="rId72" Type="http://schemas.openxmlformats.org/officeDocument/2006/relationships/image" Target="../media/image74.jpeg"/><Relationship Id="rId3" Type="http://schemas.openxmlformats.org/officeDocument/2006/relationships/image" Target="../media/image6.jpeg"/><Relationship Id="rId12" Type="http://schemas.openxmlformats.org/officeDocument/2006/relationships/image" Target="../media/image15.png"/><Relationship Id="rId17" Type="http://schemas.openxmlformats.org/officeDocument/2006/relationships/image" Target="../media/image20.jpeg"/><Relationship Id="rId25" Type="http://schemas.openxmlformats.org/officeDocument/2006/relationships/image" Target="../media/image28.jpeg"/><Relationship Id="rId33" Type="http://schemas.openxmlformats.org/officeDocument/2006/relationships/image" Target="../media/image36.png"/><Relationship Id="rId38" Type="http://schemas.openxmlformats.org/officeDocument/2006/relationships/image" Target="../media/image41.png"/><Relationship Id="rId46" Type="http://schemas.openxmlformats.org/officeDocument/2006/relationships/image" Target="../media/image49.jpeg"/><Relationship Id="rId59" Type="http://schemas.openxmlformats.org/officeDocument/2006/relationships/image" Target="../media/image61.jpeg"/><Relationship Id="rId67" Type="http://schemas.openxmlformats.org/officeDocument/2006/relationships/image" Target="../media/image69.jpeg"/><Relationship Id="rId20" Type="http://schemas.openxmlformats.org/officeDocument/2006/relationships/image" Target="../media/image23.jpeg"/><Relationship Id="rId41" Type="http://schemas.openxmlformats.org/officeDocument/2006/relationships/image" Target="../media/image44.png"/><Relationship Id="rId54" Type="http://schemas.openxmlformats.org/officeDocument/2006/relationships/image" Target="../media/image56.png"/><Relationship Id="rId62" Type="http://schemas.openxmlformats.org/officeDocument/2006/relationships/image" Target="../media/image64.png"/><Relationship Id="rId70" Type="http://schemas.openxmlformats.org/officeDocument/2006/relationships/image" Target="../media/image72.jpeg"/><Relationship Id="rId75" Type="http://schemas.openxmlformats.org/officeDocument/2006/relationships/image" Target="../media/image77.jpeg"/><Relationship Id="rId1" Type="http://schemas.openxmlformats.org/officeDocument/2006/relationships/image" Target="../media/image4.jpeg"/><Relationship Id="rId6" Type="http://schemas.openxmlformats.org/officeDocument/2006/relationships/image" Target="../media/image9.jpeg"/><Relationship Id="rId15" Type="http://schemas.openxmlformats.org/officeDocument/2006/relationships/image" Target="../media/image18.jpeg"/><Relationship Id="rId23" Type="http://schemas.openxmlformats.org/officeDocument/2006/relationships/image" Target="../media/image26.png"/><Relationship Id="rId28" Type="http://schemas.openxmlformats.org/officeDocument/2006/relationships/image" Target="../media/image31.jpeg"/><Relationship Id="rId36" Type="http://schemas.openxmlformats.org/officeDocument/2006/relationships/image" Target="../media/image39.png"/><Relationship Id="rId49" Type="http://schemas.openxmlformats.org/officeDocument/2006/relationships/image" Target="../media/image52.png"/><Relationship Id="rId57" Type="http://schemas.openxmlformats.org/officeDocument/2006/relationships/image" Target="../media/image59.png"/><Relationship Id="rId10" Type="http://schemas.openxmlformats.org/officeDocument/2006/relationships/image" Target="../media/image13.jpeg"/><Relationship Id="rId31" Type="http://schemas.openxmlformats.org/officeDocument/2006/relationships/image" Target="../media/image34.jpeg"/><Relationship Id="rId44" Type="http://schemas.openxmlformats.org/officeDocument/2006/relationships/image" Target="../media/image47.png"/><Relationship Id="rId52" Type="http://schemas.openxmlformats.org/officeDocument/2006/relationships/image" Target="../media/image55.png"/><Relationship Id="rId60" Type="http://schemas.openxmlformats.org/officeDocument/2006/relationships/image" Target="../media/image62.jpeg"/><Relationship Id="rId65" Type="http://schemas.openxmlformats.org/officeDocument/2006/relationships/image" Target="../media/image67.png"/><Relationship Id="rId73" Type="http://schemas.openxmlformats.org/officeDocument/2006/relationships/image" Target="../media/image75.jpeg"/><Relationship Id="rId4" Type="http://schemas.openxmlformats.org/officeDocument/2006/relationships/image" Target="../media/image7.jpeg"/><Relationship Id="rId9" Type="http://schemas.openxmlformats.org/officeDocument/2006/relationships/image" Target="../media/image12.png"/><Relationship Id="rId13" Type="http://schemas.openxmlformats.org/officeDocument/2006/relationships/image" Target="../media/image16.png"/><Relationship Id="rId18" Type="http://schemas.openxmlformats.org/officeDocument/2006/relationships/image" Target="../media/image21.jpeg"/><Relationship Id="rId39" Type="http://schemas.openxmlformats.org/officeDocument/2006/relationships/image" Target="../media/image42.png"/><Relationship Id="rId34" Type="http://schemas.openxmlformats.org/officeDocument/2006/relationships/image" Target="../media/image37.png"/><Relationship Id="rId50" Type="http://schemas.openxmlformats.org/officeDocument/2006/relationships/image" Target="../media/image53.jpeg"/><Relationship Id="rId55" Type="http://schemas.openxmlformats.org/officeDocument/2006/relationships/image" Target="../media/image57.png"/><Relationship Id="rId7" Type="http://schemas.openxmlformats.org/officeDocument/2006/relationships/image" Target="../media/image10.jpeg"/><Relationship Id="rId71" Type="http://schemas.openxmlformats.org/officeDocument/2006/relationships/image" Target="../media/image73.jpeg"/></Relationships>
</file>

<file path=xl/drawings/_rels/drawing6.xml.rels><?xml version="1.0" encoding="UTF-8" standalone="yes"?>
<Relationships xmlns="http://schemas.openxmlformats.org/package/2006/relationships"><Relationship Id="rId8" Type="http://schemas.openxmlformats.org/officeDocument/2006/relationships/image" Target="../media/image85.png"/><Relationship Id="rId13" Type="http://schemas.openxmlformats.org/officeDocument/2006/relationships/image" Target="../media/image90.png"/><Relationship Id="rId18" Type="http://schemas.openxmlformats.org/officeDocument/2006/relationships/image" Target="../media/image95.png"/><Relationship Id="rId26" Type="http://schemas.openxmlformats.org/officeDocument/2006/relationships/image" Target="../media/image103.png"/><Relationship Id="rId3" Type="http://schemas.openxmlformats.org/officeDocument/2006/relationships/image" Target="../media/image80.png"/><Relationship Id="rId21" Type="http://schemas.openxmlformats.org/officeDocument/2006/relationships/image" Target="../media/image98.png"/><Relationship Id="rId7" Type="http://schemas.openxmlformats.org/officeDocument/2006/relationships/image" Target="../media/image84.png"/><Relationship Id="rId12" Type="http://schemas.openxmlformats.org/officeDocument/2006/relationships/image" Target="../media/image89.png"/><Relationship Id="rId17" Type="http://schemas.openxmlformats.org/officeDocument/2006/relationships/image" Target="../media/image94.png"/><Relationship Id="rId25" Type="http://schemas.openxmlformats.org/officeDocument/2006/relationships/image" Target="../media/image102.png"/><Relationship Id="rId2" Type="http://schemas.openxmlformats.org/officeDocument/2006/relationships/image" Target="../media/image79.jpeg"/><Relationship Id="rId16" Type="http://schemas.openxmlformats.org/officeDocument/2006/relationships/image" Target="../media/image93.png"/><Relationship Id="rId20" Type="http://schemas.openxmlformats.org/officeDocument/2006/relationships/image" Target="../media/image97.png"/><Relationship Id="rId1" Type="http://schemas.openxmlformats.org/officeDocument/2006/relationships/image" Target="../media/image78.jpeg"/><Relationship Id="rId6" Type="http://schemas.openxmlformats.org/officeDocument/2006/relationships/image" Target="../media/image83.png"/><Relationship Id="rId11" Type="http://schemas.openxmlformats.org/officeDocument/2006/relationships/image" Target="../media/image88.png"/><Relationship Id="rId24" Type="http://schemas.openxmlformats.org/officeDocument/2006/relationships/image" Target="../media/image101.png"/><Relationship Id="rId5" Type="http://schemas.openxmlformats.org/officeDocument/2006/relationships/image" Target="../media/image82.png"/><Relationship Id="rId15" Type="http://schemas.openxmlformats.org/officeDocument/2006/relationships/image" Target="../media/image92.png"/><Relationship Id="rId23" Type="http://schemas.openxmlformats.org/officeDocument/2006/relationships/image" Target="../media/image100.png"/><Relationship Id="rId10" Type="http://schemas.openxmlformats.org/officeDocument/2006/relationships/image" Target="../media/image87.png"/><Relationship Id="rId19" Type="http://schemas.openxmlformats.org/officeDocument/2006/relationships/image" Target="../media/image96.png"/><Relationship Id="rId4" Type="http://schemas.openxmlformats.org/officeDocument/2006/relationships/image" Target="../media/image81.png"/><Relationship Id="rId9" Type="http://schemas.openxmlformats.org/officeDocument/2006/relationships/image" Target="../media/image86.png"/><Relationship Id="rId14" Type="http://schemas.openxmlformats.org/officeDocument/2006/relationships/image" Target="../media/image91.png"/><Relationship Id="rId22" Type="http://schemas.openxmlformats.org/officeDocument/2006/relationships/image" Target="../media/image99.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89</xdr:row>
      <xdr:rowOff>95250</xdr:rowOff>
    </xdr:from>
    <xdr:to>
      <xdr:col>2</xdr:col>
      <xdr:colOff>487230</xdr:colOff>
      <xdr:row>101</xdr:row>
      <xdr:rowOff>106229</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6322040"/>
          <a:ext cx="1952625" cy="21977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0</xdr:colOff>
      <xdr:row>179</xdr:row>
      <xdr:rowOff>0</xdr:rowOff>
    </xdr:from>
    <xdr:to>
      <xdr:col>30</xdr:col>
      <xdr:colOff>304800</xdr:colOff>
      <xdr:row>180</xdr:row>
      <xdr:rowOff>123824</xdr:rowOff>
    </xdr:to>
    <xdr:sp macro="" textlink="">
      <xdr:nvSpPr>
        <xdr:cNvPr id="6146" name="AutoShape 2" descr="黑油">
          <a:extLst>
            <a:ext uri="{FF2B5EF4-FFF2-40B4-BE49-F238E27FC236}">
              <a16:creationId xmlns:a16="http://schemas.microsoft.com/office/drawing/2014/main" id="{00000000-0008-0000-0100-000002180000}"/>
            </a:ext>
          </a:extLst>
        </xdr:cNvPr>
        <xdr:cNvSpPr>
          <a:spLocks noChangeAspect="1" noChangeArrowheads="1"/>
        </xdr:cNvSpPr>
      </xdr:nvSpPr>
      <xdr:spPr>
        <a:xfrm>
          <a:off x="19378295" y="32762190"/>
          <a:ext cx="304800" cy="3060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206</xdr:row>
      <xdr:rowOff>0</xdr:rowOff>
    </xdr:from>
    <xdr:to>
      <xdr:col>10</xdr:col>
      <xdr:colOff>304800</xdr:colOff>
      <xdr:row>207</xdr:row>
      <xdr:rowOff>123824</xdr:rowOff>
    </xdr:to>
    <xdr:sp macro="" textlink="">
      <xdr:nvSpPr>
        <xdr:cNvPr id="6148" name="AutoShape 4" descr="黑油">
          <a:extLst>
            <a:ext uri="{FF2B5EF4-FFF2-40B4-BE49-F238E27FC236}">
              <a16:creationId xmlns:a16="http://schemas.microsoft.com/office/drawing/2014/main" id="{00000000-0008-0000-0100-000004180000}"/>
            </a:ext>
          </a:extLst>
        </xdr:cNvPr>
        <xdr:cNvSpPr>
          <a:spLocks noChangeAspect="1" noChangeArrowheads="1"/>
        </xdr:cNvSpPr>
      </xdr:nvSpPr>
      <xdr:spPr>
        <a:xfrm>
          <a:off x="6276340" y="3764661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107315</xdr:colOff>
      <xdr:row>77</xdr:row>
      <xdr:rowOff>43180</xdr:rowOff>
    </xdr:from>
    <xdr:to>
      <xdr:col>38</xdr:col>
      <xdr:colOff>0</xdr:colOff>
      <xdr:row>85</xdr:row>
      <xdr:rowOff>43815</xdr:rowOff>
    </xdr:to>
    <xdr:pic>
      <xdr:nvPicPr>
        <xdr:cNvPr id="2" name="图片 1" descr="13西瓜投手">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2168485" y="14134465"/>
          <a:ext cx="1770380" cy="1463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100965</xdr:colOff>
      <xdr:row>59</xdr:row>
      <xdr:rowOff>2540</xdr:rowOff>
    </xdr:from>
    <xdr:to>
      <xdr:col>26</xdr:col>
      <xdr:colOff>19050</xdr:colOff>
      <xdr:row>67</xdr:row>
      <xdr:rowOff>31115</xdr:rowOff>
    </xdr:to>
    <xdr:pic>
      <xdr:nvPicPr>
        <xdr:cNvPr id="2" name="图片 1" descr="D:\3-Material Set\3-For Picture\部落冲突\西瓜投手.jpg西瓜投手">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rcRect/>
        <a:stretch>
          <a:fillRect/>
        </a:stretch>
      </xdr:blipFill>
      <xdr:spPr>
        <a:xfrm>
          <a:off x="14349095" y="10798175"/>
          <a:ext cx="1769745" cy="14916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209550</xdr:colOff>
      <xdr:row>15</xdr:row>
      <xdr:rowOff>19050</xdr:rowOff>
    </xdr:from>
    <xdr:to>
      <xdr:col>17</xdr:col>
      <xdr:colOff>196850</xdr:colOff>
      <xdr:row>26</xdr:row>
      <xdr:rowOff>130175</xdr:rowOff>
    </xdr:to>
    <xdr:pic>
      <xdr:nvPicPr>
        <xdr:cNvPr id="2" name="图片 1" descr="我的假女王">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rcRect/>
        <a:stretch>
          <a:fillRect/>
        </a:stretch>
      </xdr:blipFill>
      <xdr:spPr>
        <a:xfrm>
          <a:off x="8233410" y="2705100"/>
          <a:ext cx="2456180" cy="2080895"/>
        </a:xfrm>
        <a:prstGeom prst="rect">
          <a:avLst/>
        </a:prstGeom>
      </xdr:spPr>
    </xdr:pic>
    <xdr:clientData/>
  </xdr:twoCellAnchor>
  <xdr:twoCellAnchor editAs="oneCell">
    <xdr:from>
      <xdr:col>5</xdr:col>
      <xdr:colOff>180975</xdr:colOff>
      <xdr:row>15</xdr:row>
      <xdr:rowOff>19050</xdr:rowOff>
    </xdr:from>
    <xdr:to>
      <xdr:col>13</xdr:col>
      <xdr:colOff>158750</xdr:colOff>
      <xdr:row>25</xdr:row>
      <xdr:rowOff>109855</xdr:rowOff>
    </xdr:to>
    <xdr:pic>
      <xdr:nvPicPr>
        <xdr:cNvPr id="3" name="图片 2" descr="FA">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rcRect/>
        <a:stretch>
          <a:fillRect/>
        </a:stretch>
      </xdr:blipFill>
      <xdr:spPr>
        <a:xfrm>
          <a:off x="3267075" y="2705100"/>
          <a:ext cx="4915535" cy="1881505"/>
        </a:xfrm>
        <a:prstGeom prst="rect">
          <a:avLst/>
        </a:prstGeom>
      </xdr:spPr>
    </xdr:pic>
    <xdr:clientData/>
  </xdr:twoCellAnchor>
  <xdr:twoCellAnchor editAs="oneCell">
    <xdr:from>
      <xdr:col>13</xdr:col>
      <xdr:colOff>428625</xdr:colOff>
      <xdr:row>49</xdr:row>
      <xdr:rowOff>95250</xdr:rowOff>
    </xdr:from>
    <xdr:to>
      <xdr:col>17</xdr:col>
      <xdr:colOff>409575</xdr:colOff>
      <xdr:row>61</xdr:row>
      <xdr:rowOff>146050</xdr:rowOff>
    </xdr:to>
    <xdr:pic>
      <xdr:nvPicPr>
        <xdr:cNvPr id="4" name="图片 3" descr="533801625099382384">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rcRect/>
        <a:stretch>
          <a:fillRect/>
        </a:stretch>
      </xdr:blipFill>
      <xdr:spPr>
        <a:xfrm>
          <a:off x="8452485" y="8869680"/>
          <a:ext cx="2449830" cy="2199640"/>
        </a:xfrm>
        <a:prstGeom prst="rect">
          <a:avLst/>
        </a:prstGeom>
      </xdr:spPr>
    </xdr:pic>
    <xdr:clientData/>
  </xdr:twoCellAnchor>
  <xdr:twoCellAnchor editAs="oneCell">
    <xdr:from>
      <xdr:col>14</xdr:col>
      <xdr:colOff>323850</xdr:colOff>
      <xdr:row>71</xdr:row>
      <xdr:rowOff>47625</xdr:rowOff>
    </xdr:from>
    <xdr:to>
      <xdr:col>17</xdr:col>
      <xdr:colOff>365760</xdr:colOff>
      <xdr:row>77</xdr:row>
      <xdr:rowOff>8890</xdr:rowOff>
    </xdr:to>
    <xdr:pic>
      <xdr:nvPicPr>
        <xdr:cNvPr id="5" name="图片 4" descr="461668096796993811">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4"/>
        <a:srcRect/>
        <a:stretch>
          <a:fillRect/>
        </a:stretch>
      </xdr:blipFill>
      <xdr:spPr>
        <a:xfrm>
          <a:off x="8964930" y="12761595"/>
          <a:ext cx="1893570" cy="1035685"/>
        </a:xfrm>
        <a:prstGeom prst="rect">
          <a:avLst/>
        </a:prstGeom>
        <a:ln w="3175" cmpd="sng">
          <a:noFill/>
          <a:prstDash val="solid"/>
        </a:ln>
      </xdr:spPr>
    </xdr:pic>
    <xdr:clientData/>
  </xdr:twoCellAnchor>
  <xdr:twoCellAnchor editAs="oneCell">
    <xdr:from>
      <xdr:col>12</xdr:col>
      <xdr:colOff>219075</xdr:colOff>
      <xdr:row>88</xdr:row>
      <xdr:rowOff>47625</xdr:rowOff>
    </xdr:from>
    <xdr:to>
      <xdr:col>14</xdr:col>
      <xdr:colOff>514350</xdr:colOff>
      <xdr:row>96</xdr:row>
      <xdr:rowOff>162560</xdr:rowOff>
    </xdr:to>
    <xdr:pic>
      <xdr:nvPicPr>
        <xdr:cNvPr id="6" name="图片 5" descr="329943319477651148">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5"/>
        <a:srcRect/>
        <a:stretch>
          <a:fillRect/>
        </a:stretch>
      </xdr:blipFill>
      <xdr:spPr>
        <a:xfrm>
          <a:off x="7625715" y="15805785"/>
          <a:ext cx="1529715" cy="1547495"/>
        </a:xfrm>
        <a:prstGeom prst="rect">
          <a:avLst/>
        </a:prstGeom>
      </xdr:spPr>
    </xdr:pic>
    <xdr:clientData/>
  </xdr:twoCellAnchor>
  <xdr:twoCellAnchor editAs="oneCell">
    <xdr:from>
      <xdr:col>14</xdr:col>
      <xdr:colOff>521970</xdr:colOff>
      <xdr:row>88</xdr:row>
      <xdr:rowOff>53975</xdr:rowOff>
    </xdr:from>
    <xdr:to>
      <xdr:col>16</xdr:col>
      <xdr:colOff>377825</xdr:colOff>
      <xdr:row>96</xdr:row>
      <xdr:rowOff>160655</xdr:rowOff>
    </xdr:to>
    <xdr:pic>
      <xdr:nvPicPr>
        <xdr:cNvPr id="7" name="图片 6" descr="60518196041862178">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6"/>
        <a:srcRect/>
        <a:stretch>
          <a:fillRect/>
        </a:stretch>
      </xdr:blipFill>
      <xdr:spPr>
        <a:xfrm>
          <a:off x="9163050" y="15812135"/>
          <a:ext cx="1090295" cy="1539240"/>
        </a:xfrm>
        <a:prstGeom prst="rect">
          <a:avLst/>
        </a:prstGeom>
      </xdr:spPr>
    </xdr:pic>
    <xdr:clientData/>
  </xdr:twoCellAnchor>
  <xdr:twoCellAnchor editAs="oneCell">
    <xdr:from>
      <xdr:col>5</xdr:col>
      <xdr:colOff>76200</xdr:colOff>
      <xdr:row>103</xdr:row>
      <xdr:rowOff>47625</xdr:rowOff>
    </xdr:from>
    <xdr:to>
      <xdr:col>8</xdr:col>
      <xdr:colOff>117475</xdr:colOff>
      <xdr:row>110</xdr:row>
      <xdr:rowOff>159385</xdr:rowOff>
    </xdr:to>
    <xdr:pic>
      <xdr:nvPicPr>
        <xdr:cNvPr id="8" name="图片 7" descr="226879444918227179">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7"/>
        <a:srcRect/>
        <a:stretch>
          <a:fillRect/>
        </a:stretch>
      </xdr:blipFill>
      <xdr:spPr>
        <a:xfrm>
          <a:off x="3162300" y="18491835"/>
          <a:ext cx="1892935" cy="1365250"/>
        </a:xfrm>
        <a:prstGeom prst="rect">
          <a:avLst/>
        </a:prstGeom>
      </xdr:spPr>
    </xdr:pic>
    <xdr:clientData/>
  </xdr:twoCellAnchor>
  <xdr:twoCellAnchor editAs="oneCell">
    <xdr:from>
      <xdr:col>8</xdr:col>
      <xdr:colOff>117475</xdr:colOff>
      <xdr:row>103</xdr:row>
      <xdr:rowOff>60325</xdr:rowOff>
    </xdr:from>
    <xdr:to>
      <xdr:col>11</xdr:col>
      <xdr:colOff>80010</xdr:colOff>
      <xdr:row>110</xdr:row>
      <xdr:rowOff>165100</xdr:rowOff>
    </xdr:to>
    <xdr:pic>
      <xdr:nvPicPr>
        <xdr:cNvPr id="9" name="图片 8" descr="20716633913156394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8"/>
        <a:srcRect/>
        <a:stretch>
          <a:fillRect/>
        </a:stretch>
      </xdr:blipFill>
      <xdr:spPr>
        <a:xfrm>
          <a:off x="5055235" y="18504535"/>
          <a:ext cx="1814195" cy="1358265"/>
        </a:xfrm>
        <a:prstGeom prst="rect">
          <a:avLst/>
        </a:prstGeom>
      </xdr:spPr>
    </xdr:pic>
    <xdr:clientData/>
  </xdr:twoCellAnchor>
  <xdr:twoCellAnchor editAs="oneCell">
    <xdr:from>
      <xdr:col>13</xdr:col>
      <xdr:colOff>371475</xdr:colOff>
      <xdr:row>123</xdr:row>
      <xdr:rowOff>123825</xdr:rowOff>
    </xdr:from>
    <xdr:to>
      <xdr:col>17</xdr:col>
      <xdr:colOff>441960</xdr:colOff>
      <xdr:row>131</xdr:row>
      <xdr:rowOff>59690</xdr:rowOff>
    </xdr:to>
    <xdr:pic>
      <xdr:nvPicPr>
        <xdr:cNvPr id="10" name="图片 9" descr="微信截图_20180825165704">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9"/>
        <a:srcRect/>
        <a:stretch>
          <a:fillRect/>
        </a:stretch>
      </xdr:blipFill>
      <xdr:spPr>
        <a:xfrm>
          <a:off x="8395335" y="22149435"/>
          <a:ext cx="2539365" cy="1368425"/>
        </a:xfrm>
        <a:prstGeom prst="rect">
          <a:avLst/>
        </a:prstGeom>
      </xdr:spPr>
    </xdr:pic>
    <xdr:clientData/>
  </xdr:twoCellAnchor>
  <xdr:twoCellAnchor editAs="oneCell">
    <xdr:from>
      <xdr:col>11</xdr:col>
      <xdr:colOff>37465</xdr:colOff>
      <xdr:row>137</xdr:row>
      <xdr:rowOff>85725</xdr:rowOff>
    </xdr:from>
    <xdr:to>
      <xdr:col>16</xdr:col>
      <xdr:colOff>28575</xdr:colOff>
      <xdr:row>147</xdr:row>
      <xdr:rowOff>151130</xdr:rowOff>
    </xdr:to>
    <xdr:pic>
      <xdr:nvPicPr>
        <xdr:cNvPr id="11" name="图片 10" descr="Screenshot_20190807_204034_com.supercell.clashofc">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10"/>
        <a:srcRect/>
        <a:stretch>
          <a:fillRect/>
        </a:stretch>
      </xdr:blipFill>
      <xdr:spPr>
        <a:xfrm>
          <a:off x="6826885" y="24618315"/>
          <a:ext cx="3077210" cy="1856105"/>
        </a:xfrm>
        <a:prstGeom prst="rect">
          <a:avLst/>
        </a:prstGeom>
      </xdr:spPr>
    </xdr:pic>
    <xdr:clientData/>
  </xdr:twoCellAnchor>
  <xdr:twoCellAnchor editAs="oneCell">
    <xdr:from>
      <xdr:col>13</xdr:col>
      <xdr:colOff>180975</xdr:colOff>
      <xdr:row>152</xdr:row>
      <xdr:rowOff>47625</xdr:rowOff>
    </xdr:from>
    <xdr:to>
      <xdr:col>16</xdr:col>
      <xdr:colOff>409575</xdr:colOff>
      <xdr:row>164</xdr:row>
      <xdr:rowOff>117475</xdr:rowOff>
    </xdr:to>
    <xdr:pic>
      <xdr:nvPicPr>
        <xdr:cNvPr id="12" name="图片 11" descr="595878189515071776">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11"/>
        <a:srcRect/>
        <a:stretch>
          <a:fillRect/>
        </a:stretch>
      </xdr:blipFill>
      <xdr:spPr>
        <a:xfrm>
          <a:off x="8204835" y="27266265"/>
          <a:ext cx="2080260" cy="2218690"/>
        </a:xfrm>
        <a:prstGeom prst="rect">
          <a:avLst/>
        </a:prstGeom>
      </xdr:spPr>
    </xdr:pic>
    <xdr:clientData/>
  </xdr:twoCellAnchor>
  <xdr:twoCellAnchor editAs="oneCell">
    <xdr:from>
      <xdr:col>13</xdr:col>
      <xdr:colOff>668020</xdr:colOff>
      <xdr:row>167</xdr:row>
      <xdr:rowOff>123825</xdr:rowOff>
    </xdr:from>
    <xdr:to>
      <xdr:col>16</xdr:col>
      <xdr:colOff>541655</xdr:colOff>
      <xdr:row>176</xdr:row>
      <xdr:rowOff>130810</xdr:rowOff>
    </xdr:to>
    <xdr:pic>
      <xdr:nvPicPr>
        <xdr:cNvPr id="13" name="图片 12">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12"/>
        <a:srcRect/>
        <a:stretch>
          <a:fillRect/>
        </a:stretch>
      </xdr:blipFill>
      <xdr:spPr>
        <a:xfrm>
          <a:off x="8641080" y="30028515"/>
          <a:ext cx="1776095" cy="1618615"/>
        </a:xfrm>
        <a:prstGeom prst="rect">
          <a:avLst/>
        </a:prstGeom>
        <a:noFill/>
        <a:ln w="9525">
          <a:noFill/>
        </a:ln>
      </xdr:spPr>
    </xdr:pic>
    <xdr:clientData/>
  </xdr:twoCellAnchor>
  <xdr:twoCellAnchor editAs="oneCell">
    <xdr:from>
      <xdr:col>13</xdr:col>
      <xdr:colOff>666750</xdr:colOff>
      <xdr:row>176</xdr:row>
      <xdr:rowOff>109855</xdr:rowOff>
    </xdr:from>
    <xdr:to>
      <xdr:col>16</xdr:col>
      <xdr:colOff>540385</xdr:colOff>
      <xdr:row>185</xdr:row>
      <xdr:rowOff>36830</xdr:rowOff>
    </xdr:to>
    <xdr:pic>
      <xdr:nvPicPr>
        <xdr:cNvPr id="14" name="图片 13" descr="1565185367(1)">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13"/>
        <a:srcRect/>
        <a:stretch>
          <a:fillRect/>
        </a:stretch>
      </xdr:blipFill>
      <xdr:spPr>
        <a:xfrm>
          <a:off x="8641080" y="31626175"/>
          <a:ext cx="1774825" cy="1538605"/>
        </a:xfrm>
        <a:prstGeom prst="rect">
          <a:avLst/>
        </a:prstGeom>
      </xdr:spPr>
    </xdr:pic>
    <xdr:clientData/>
  </xdr:twoCellAnchor>
  <xdr:twoCellAnchor editAs="oneCell">
    <xdr:from>
      <xdr:col>24</xdr:col>
      <xdr:colOff>276225</xdr:colOff>
      <xdr:row>8</xdr:row>
      <xdr:rowOff>28575</xdr:rowOff>
    </xdr:from>
    <xdr:to>
      <xdr:col>28</xdr:col>
      <xdr:colOff>0</xdr:colOff>
      <xdr:row>17</xdr:row>
      <xdr:rowOff>26670</xdr:rowOff>
    </xdr:to>
    <xdr:pic>
      <xdr:nvPicPr>
        <xdr:cNvPr id="15" name="图片 14" descr="Screenshot_20191018_160512_com.supercell.clashofc">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14"/>
        <a:srcRect/>
        <a:stretch>
          <a:fillRect/>
        </a:stretch>
      </xdr:blipFill>
      <xdr:spPr>
        <a:xfrm>
          <a:off x="15089505" y="1461135"/>
          <a:ext cx="2192655" cy="1609725"/>
        </a:xfrm>
        <a:prstGeom prst="rect">
          <a:avLst/>
        </a:prstGeom>
      </xdr:spPr>
    </xdr:pic>
    <xdr:clientData/>
  </xdr:twoCellAnchor>
  <xdr:twoCellAnchor editAs="oneCell">
    <xdr:from>
      <xdr:col>33</xdr:col>
      <xdr:colOff>66675</xdr:colOff>
      <xdr:row>7</xdr:row>
      <xdr:rowOff>151130</xdr:rowOff>
    </xdr:from>
    <xdr:to>
      <xdr:col>36</xdr:col>
      <xdr:colOff>407035</xdr:colOff>
      <xdr:row>17</xdr:row>
      <xdr:rowOff>0</xdr:rowOff>
    </xdr:to>
    <xdr:pic>
      <xdr:nvPicPr>
        <xdr:cNvPr id="16" name="图片 15" descr="Screenshot_20191018_160821_com.supercell.clashofc">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15"/>
        <a:srcRect/>
        <a:stretch>
          <a:fillRect/>
        </a:stretch>
      </xdr:blipFill>
      <xdr:spPr>
        <a:xfrm>
          <a:off x="20529550" y="1404620"/>
          <a:ext cx="2192020" cy="1639570"/>
        </a:xfrm>
        <a:prstGeom prst="rect">
          <a:avLst/>
        </a:prstGeom>
      </xdr:spPr>
    </xdr:pic>
    <xdr:clientData/>
  </xdr:twoCellAnchor>
  <xdr:twoCellAnchor editAs="oneCell">
    <xdr:from>
      <xdr:col>32</xdr:col>
      <xdr:colOff>619125</xdr:colOff>
      <xdr:row>19</xdr:row>
      <xdr:rowOff>76200</xdr:rowOff>
    </xdr:from>
    <xdr:to>
      <xdr:col>36</xdr:col>
      <xdr:colOff>409575</xdr:colOff>
      <xdr:row>30</xdr:row>
      <xdr:rowOff>64135</xdr:rowOff>
    </xdr:to>
    <xdr:pic>
      <xdr:nvPicPr>
        <xdr:cNvPr id="17" name="图片 16" descr="Screenshot_20191018_161200_com.supercell.clashofc">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16"/>
        <a:srcRect/>
        <a:stretch>
          <a:fillRect/>
        </a:stretch>
      </xdr:blipFill>
      <xdr:spPr>
        <a:xfrm>
          <a:off x="20462875" y="3478530"/>
          <a:ext cx="2261235" cy="1957705"/>
        </a:xfrm>
        <a:prstGeom prst="rect">
          <a:avLst/>
        </a:prstGeom>
      </xdr:spPr>
    </xdr:pic>
    <xdr:clientData/>
  </xdr:twoCellAnchor>
  <xdr:twoCellAnchor editAs="oneCell">
    <xdr:from>
      <xdr:col>30</xdr:col>
      <xdr:colOff>97790</xdr:colOff>
      <xdr:row>38</xdr:row>
      <xdr:rowOff>151765</xdr:rowOff>
    </xdr:from>
    <xdr:to>
      <xdr:col>32</xdr:col>
      <xdr:colOff>363855</xdr:colOff>
      <xdr:row>46</xdr:row>
      <xdr:rowOff>121285</xdr:rowOff>
    </xdr:to>
    <xdr:pic>
      <xdr:nvPicPr>
        <xdr:cNvPr id="18" name="图片 17" descr="54803831600149474">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17"/>
        <a:srcRect/>
        <a:stretch>
          <a:fillRect/>
        </a:stretch>
      </xdr:blipFill>
      <xdr:spPr>
        <a:xfrm>
          <a:off x="18614390" y="6956425"/>
          <a:ext cx="1595120" cy="1402080"/>
        </a:xfrm>
        <a:prstGeom prst="rect">
          <a:avLst/>
        </a:prstGeom>
      </xdr:spPr>
    </xdr:pic>
    <xdr:clientData/>
  </xdr:twoCellAnchor>
  <xdr:twoCellAnchor editAs="oneCell">
    <xdr:from>
      <xdr:col>32</xdr:col>
      <xdr:colOff>442595</xdr:colOff>
      <xdr:row>38</xdr:row>
      <xdr:rowOff>161925</xdr:rowOff>
    </xdr:from>
    <xdr:to>
      <xdr:col>35</xdr:col>
      <xdr:colOff>171450</xdr:colOff>
      <xdr:row>46</xdr:row>
      <xdr:rowOff>83185</xdr:rowOff>
    </xdr:to>
    <xdr:pic>
      <xdr:nvPicPr>
        <xdr:cNvPr id="19" name="图片 18" descr="537092616187106478">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18"/>
        <a:srcRect/>
        <a:stretch>
          <a:fillRect/>
        </a:stretch>
      </xdr:blipFill>
      <xdr:spPr>
        <a:xfrm>
          <a:off x="20288250" y="6966585"/>
          <a:ext cx="1580515" cy="1353820"/>
        </a:xfrm>
        <a:prstGeom prst="rect">
          <a:avLst/>
        </a:prstGeom>
      </xdr:spPr>
    </xdr:pic>
    <xdr:clientData/>
  </xdr:twoCellAnchor>
  <xdr:twoCellAnchor editAs="oneCell">
    <xdr:from>
      <xdr:col>29</xdr:col>
      <xdr:colOff>111125</xdr:colOff>
      <xdr:row>50</xdr:row>
      <xdr:rowOff>47625</xdr:rowOff>
    </xdr:from>
    <xdr:to>
      <xdr:col>32</xdr:col>
      <xdr:colOff>73025</xdr:colOff>
      <xdr:row>57</xdr:row>
      <xdr:rowOff>147320</xdr:rowOff>
    </xdr:to>
    <xdr:pic>
      <xdr:nvPicPr>
        <xdr:cNvPr id="20" name="图片 19" descr="130910991866680804">
          <a:extLst>
            <a:ext uri="{FF2B5EF4-FFF2-40B4-BE49-F238E27FC236}">
              <a16:creationId xmlns:a16="http://schemas.microsoft.com/office/drawing/2014/main" id="{00000000-0008-0000-0900-000014000000}"/>
            </a:ext>
          </a:extLst>
        </xdr:cNvPr>
        <xdr:cNvPicPr>
          <a:picLocks noChangeAspect="1"/>
        </xdr:cNvPicPr>
      </xdr:nvPicPr>
      <xdr:blipFill>
        <a:blip xmlns:r="http://schemas.openxmlformats.org/officeDocument/2006/relationships" r:embed="rId19"/>
        <a:srcRect/>
        <a:stretch>
          <a:fillRect/>
        </a:stretch>
      </xdr:blipFill>
      <xdr:spPr>
        <a:xfrm>
          <a:off x="18010505" y="9001125"/>
          <a:ext cx="1908175" cy="1353185"/>
        </a:xfrm>
        <a:prstGeom prst="rect">
          <a:avLst/>
        </a:prstGeom>
      </xdr:spPr>
    </xdr:pic>
    <xdr:clientData/>
  </xdr:twoCellAnchor>
  <xdr:twoCellAnchor editAs="oneCell">
    <xdr:from>
      <xdr:col>24</xdr:col>
      <xdr:colOff>142240</xdr:colOff>
      <xdr:row>50</xdr:row>
      <xdr:rowOff>66675</xdr:rowOff>
    </xdr:from>
    <xdr:to>
      <xdr:col>27</xdr:col>
      <xdr:colOff>0</xdr:colOff>
      <xdr:row>58</xdr:row>
      <xdr:rowOff>17145</xdr:rowOff>
    </xdr:to>
    <xdr:pic>
      <xdr:nvPicPr>
        <xdr:cNvPr id="21" name="图片 20" descr="749243833464659508">
          <a:extLst>
            <a:ext uri="{FF2B5EF4-FFF2-40B4-BE49-F238E27FC236}">
              <a16:creationId xmlns:a16="http://schemas.microsoft.com/office/drawing/2014/main" id="{00000000-0008-0000-0900-000015000000}"/>
            </a:ext>
          </a:extLst>
        </xdr:cNvPr>
        <xdr:cNvPicPr>
          <a:picLocks noChangeAspect="1"/>
        </xdr:cNvPicPr>
      </xdr:nvPicPr>
      <xdr:blipFill>
        <a:blip xmlns:r="http://schemas.openxmlformats.org/officeDocument/2006/relationships" r:embed="rId20"/>
        <a:srcRect/>
        <a:stretch>
          <a:fillRect/>
        </a:stretch>
      </xdr:blipFill>
      <xdr:spPr>
        <a:xfrm>
          <a:off x="14955520" y="9020175"/>
          <a:ext cx="1709420" cy="1383030"/>
        </a:xfrm>
        <a:prstGeom prst="rect">
          <a:avLst/>
        </a:prstGeom>
      </xdr:spPr>
    </xdr:pic>
    <xdr:clientData/>
  </xdr:twoCellAnchor>
  <xdr:twoCellAnchor editAs="oneCell">
    <xdr:from>
      <xdr:col>32</xdr:col>
      <xdr:colOff>200025</xdr:colOff>
      <xdr:row>50</xdr:row>
      <xdr:rowOff>25400</xdr:rowOff>
    </xdr:from>
    <xdr:to>
      <xdr:col>35</xdr:col>
      <xdr:colOff>198120</xdr:colOff>
      <xdr:row>57</xdr:row>
      <xdr:rowOff>135255</xdr:rowOff>
    </xdr:to>
    <xdr:pic>
      <xdr:nvPicPr>
        <xdr:cNvPr id="22" name="图片 21" descr="d:\我的文档\桌面\专用文件夹\武神走位2.bmp武神走位2">
          <a:extLst>
            <a:ext uri="{FF2B5EF4-FFF2-40B4-BE49-F238E27FC236}">
              <a16:creationId xmlns:a16="http://schemas.microsoft.com/office/drawing/2014/main" id="{00000000-0008-0000-0900-000016000000}"/>
            </a:ext>
          </a:extLst>
        </xdr:cNvPr>
        <xdr:cNvPicPr>
          <a:picLocks noChangeAspect="1"/>
        </xdr:cNvPicPr>
      </xdr:nvPicPr>
      <xdr:blipFill>
        <a:blip xmlns:r="http://schemas.openxmlformats.org/officeDocument/2006/relationships" r:embed="rId21"/>
        <a:srcRect t="-669"/>
        <a:stretch>
          <a:fillRect/>
        </a:stretch>
      </xdr:blipFill>
      <xdr:spPr>
        <a:xfrm>
          <a:off x="20045680" y="8978900"/>
          <a:ext cx="1849755" cy="1363345"/>
        </a:xfrm>
        <a:prstGeom prst="rect">
          <a:avLst/>
        </a:prstGeom>
      </xdr:spPr>
    </xdr:pic>
    <xdr:clientData/>
  </xdr:twoCellAnchor>
  <xdr:twoCellAnchor editAs="oneCell">
    <xdr:from>
      <xdr:col>24</xdr:col>
      <xdr:colOff>180975</xdr:colOff>
      <xdr:row>65</xdr:row>
      <xdr:rowOff>0</xdr:rowOff>
    </xdr:from>
    <xdr:to>
      <xdr:col>27</xdr:col>
      <xdr:colOff>400050</xdr:colOff>
      <xdr:row>73</xdr:row>
      <xdr:rowOff>89535</xdr:rowOff>
    </xdr:to>
    <xdr:pic>
      <xdr:nvPicPr>
        <xdr:cNvPr id="23" name="图片 22" descr="大炮2">
          <a:extLst>
            <a:ext uri="{FF2B5EF4-FFF2-40B4-BE49-F238E27FC236}">
              <a16:creationId xmlns:a16="http://schemas.microsoft.com/office/drawing/2014/main" id="{00000000-0008-0000-0900-000017000000}"/>
            </a:ext>
          </a:extLst>
        </xdr:cNvPr>
        <xdr:cNvPicPr>
          <a:picLocks noChangeAspect="1"/>
        </xdr:cNvPicPr>
      </xdr:nvPicPr>
      <xdr:blipFill>
        <a:blip xmlns:r="http://schemas.openxmlformats.org/officeDocument/2006/relationships" r:embed="rId22"/>
        <a:stretch>
          <a:fillRect/>
        </a:stretch>
      </xdr:blipFill>
      <xdr:spPr>
        <a:xfrm>
          <a:off x="14994255" y="11639550"/>
          <a:ext cx="2070735" cy="1522095"/>
        </a:xfrm>
        <a:prstGeom prst="rect">
          <a:avLst/>
        </a:prstGeom>
      </xdr:spPr>
    </xdr:pic>
    <xdr:clientData/>
  </xdr:twoCellAnchor>
  <xdr:twoCellAnchor editAs="oneCell">
    <xdr:from>
      <xdr:col>27</xdr:col>
      <xdr:colOff>177800</xdr:colOff>
      <xdr:row>65</xdr:row>
      <xdr:rowOff>6350</xdr:rowOff>
    </xdr:from>
    <xdr:to>
      <xdr:col>30</xdr:col>
      <xdr:colOff>177800</xdr:colOff>
      <xdr:row>73</xdr:row>
      <xdr:rowOff>92710</xdr:rowOff>
    </xdr:to>
    <xdr:pic>
      <xdr:nvPicPr>
        <xdr:cNvPr id="24" name="图片 23" descr="1`E0WZ}]HWLPV3CZJDMNH3I">
          <a:extLst>
            <a:ext uri="{FF2B5EF4-FFF2-40B4-BE49-F238E27FC236}">
              <a16:creationId xmlns:a16="http://schemas.microsoft.com/office/drawing/2014/main" id="{00000000-0008-0000-0900-000018000000}"/>
            </a:ext>
          </a:extLst>
        </xdr:cNvPr>
        <xdr:cNvPicPr>
          <a:picLocks noChangeAspect="1"/>
        </xdr:cNvPicPr>
      </xdr:nvPicPr>
      <xdr:blipFill>
        <a:blip xmlns:r="http://schemas.openxmlformats.org/officeDocument/2006/relationships" r:embed="rId23"/>
        <a:srcRect/>
        <a:stretch>
          <a:fillRect/>
        </a:stretch>
      </xdr:blipFill>
      <xdr:spPr>
        <a:xfrm>
          <a:off x="16842740" y="11645900"/>
          <a:ext cx="1851660" cy="1518920"/>
        </a:xfrm>
        <a:prstGeom prst="rect">
          <a:avLst/>
        </a:prstGeom>
      </xdr:spPr>
    </xdr:pic>
    <xdr:clientData/>
  </xdr:twoCellAnchor>
  <xdr:twoCellAnchor>
    <xdr:from>
      <xdr:col>32</xdr:col>
      <xdr:colOff>208915</xdr:colOff>
      <xdr:row>73</xdr:row>
      <xdr:rowOff>123190</xdr:rowOff>
    </xdr:from>
    <xdr:to>
      <xdr:col>33</xdr:col>
      <xdr:colOff>271780</xdr:colOff>
      <xdr:row>78</xdr:row>
      <xdr:rowOff>8890</xdr:rowOff>
    </xdr:to>
    <xdr:sp macro="" textlink="">
      <xdr:nvSpPr>
        <xdr:cNvPr id="25" name="椭圆 24">
          <a:extLst>
            <a:ext uri="{FF2B5EF4-FFF2-40B4-BE49-F238E27FC236}">
              <a16:creationId xmlns:a16="http://schemas.microsoft.com/office/drawing/2014/main" id="{00000000-0008-0000-0900-000019000000}"/>
            </a:ext>
          </a:extLst>
        </xdr:cNvPr>
        <xdr:cNvSpPr/>
      </xdr:nvSpPr>
      <xdr:spPr>
        <a:xfrm>
          <a:off x="20054570" y="13195300"/>
          <a:ext cx="680085" cy="7810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100"/>
            <a:t>原版</a:t>
          </a:r>
        </a:p>
      </xdr:txBody>
    </xdr:sp>
    <xdr:clientData/>
  </xdr:twoCellAnchor>
  <xdr:twoCellAnchor>
    <xdr:from>
      <xdr:col>33</xdr:col>
      <xdr:colOff>372745</xdr:colOff>
      <xdr:row>73</xdr:row>
      <xdr:rowOff>32385</xdr:rowOff>
    </xdr:from>
    <xdr:to>
      <xdr:col>34</xdr:col>
      <xdr:colOff>599440</xdr:colOff>
      <xdr:row>78</xdr:row>
      <xdr:rowOff>33655</xdr:rowOff>
    </xdr:to>
    <xdr:sp macro="" textlink="">
      <xdr:nvSpPr>
        <xdr:cNvPr id="26" name="椭圆 25">
          <a:extLst>
            <a:ext uri="{FF2B5EF4-FFF2-40B4-BE49-F238E27FC236}">
              <a16:creationId xmlns:a16="http://schemas.microsoft.com/office/drawing/2014/main" id="{00000000-0008-0000-0900-00001A000000}"/>
            </a:ext>
          </a:extLst>
        </xdr:cNvPr>
        <xdr:cNvSpPr/>
      </xdr:nvSpPr>
      <xdr:spPr>
        <a:xfrm>
          <a:off x="20835620" y="13104495"/>
          <a:ext cx="843915" cy="896620"/>
        </a:xfrm>
        <a:prstGeom prst="ellipse">
          <a:avLst/>
        </a:prstGeom>
        <a:scene3d>
          <a:camera prst="orthographicFront">
            <a:rot lat="2484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100"/>
            <a:t>修改版</a:t>
          </a:r>
        </a:p>
        <a:p>
          <a:pPr algn="l"/>
          <a:endParaRPr lang="zh-CN" altLang="en-US" sz="1100"/>
        </a:p>
      </xdr:txBody>
    </xdr:sp>
    <xdr:clientData/>
  </xdr:twoCellAnchor>
  <xdr:twoCellAnchor editAs="oneCell">
    <xdr:from>
      <xdr:col>26</xdr:col>
      <xdr:colOff>523875</xdr:colOff>
      <xdr:row>79</xdr:row>
      <xdr:rowOff>61595</xdr:rowOff>
    </xdr:from>
    <xdr:to>
      <xdr:col>29</xdr:col>
      <xdr:colOff>254635</xdr:colOff>
      <xdr:row>86</xdr:row>
      <xdr:rowOff>162560</xdr:rowOff>
    </xdr:to>
    <xdr:pic>
      <xdr:nvPicPr>
        <xdr:cNvPr id="27" name="图片 26" descr="5">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24"/>
        <a:srcRect/>
        <a:stretch>
          <a:fillRect/>
        </a:stretch>
      </xdr:blipFill>
      <xdr:spPr>
        <a:xfrm>
          <a:off x="16571595" y="14208125"/>
          <a:ext cx="1582420" cy="1354455"/>
        </a:xfrm>
        <a:prstGeom prst="rect">
          <a:avLst/>
        </a:prstGeom>
      </xdr:spPr>
    </xdr:pic>
    <xdr:clientData/>
  </xdr:twoCellAnchor>
  <xdr:twoCellAnchor editAs="oneCell">
    <xdr:from>
      <xdr:col>24</xdr:col>
      <xdr:colOff>253365</xdr:colOff>
      <xdr:row>79</xdr:row>
      <xdr:rowOff>55245</xdr:rowOff>
    </xdr:from>
    <xdr:to>
      <xdr:col>27</xdr:col>
      <xdr:colOff>111760</xdr:colOff>
      <xdr:row>87</xdr:row>
      <xdr:rowOff>0</xdr:rowOff>
    </xdr:to>
    <xdr:pic>
      <xdr:nvPicPr>
        <xdr:cNvPr id="28" name="图片 27" descr="部落城堡大战冰冻法术">
          <a:extLst>
            <a:ext uri="{FF2B5EF4-FFF2-40B4-BE49-F238E27FC236}">
              <a16:creationId xmlns:a16="http://schemas.microsoft.com/office/drawing/2014/main" id="{00000000-0008-0000-0900-00001C000000}"/>
            </a:ext>
          </a:extLst>
        </xdr:cNvPr>
        <xdr:cNvPicPr>
          <a:picLocks noChangeAspect="1"/>
        </xdr:cNvPicPr>
      </xdr:nvPicPr>
      <xdr:blipFill>
        <a:blip xmlns:r="http://schemas.openxmlformats.org/officeDocument/2006/relationships" r:embed="rId25"/>
        <a:srcRect/>
        <a:stretch>
          <a:fillRect/>
        </a:stretch>
      </xdr:blipFill>
      <xdr:spPr>
        <a:xfrm>
          <a:off x="15066645" y="14201775"/>
          <a:ext cx="1710055" cy="1377315"/>
        </a:xfrm>
        <a:prstGeom prst="rect">
          <a:avLst/>
        </a:prstGeom>
      </xdr:spPr>
    </xdr:pic>
    <xdr:clientData/>
  </xdr:twoCellAnchor>
  <xdr:twoCellAnchor editAs="oneCell">
    <xdr:from>
      <xdr:col>29</xdr:col>
      <xdr:colOff>269240</xdr:colOff>
      <xdr:row>79</xdr:row>
      <xdr:rowOff>45085</xdr:rowOff>
    </xdr:from>
    <xdr:to>
      <xdr:col>31</xdr:col>
      <xdr:colOff>570865</xdr:colOff>
      <xdr:row>87</xdr:row>
      <xdr:rowOff>0</xdr:rowOff>
    </xdr:to>
    <xdr:pic>
      <xdr:nvPicPr>
        <xdr:cNvPr id="29" name="图片 28" descr="把我大本营冻住干嘛？">
          <a:extLst>
            <a:ext uri="{FF2B5EF4-FFF2-40B4-BE49-F238E27FC236}">
              <a16:creationId xmlns:a16="http://schemas.microsoft.com/office/drawing/2014/main" id="{00000000-0008-0000-0900-00001D000000}"/>
            </a:ext>
          </a:extLst>
        </xdr:cNvPr>
        <xdr:cNvPicPr>
          <a:picLocks noChangeAspect="1"/>
        </xdr:cNvPicPr>
      </xdr:nvPicPr>
      <xdr:blipFill>
        <a:blip xmlns:r="http://schemas.openxmlformats.org/officeDocument/2006/relationships" r:embed="rId26"/>
        <a:srcRect/>
        <a:stretch>
          <a:fillRect/>
        </a:stretch>
      </xdr:blipFill>
      <xdr:spPr>
        <a:xfrm>
          <a:off x="18168620" y="14191615"/>
          <a:ext cx="1536065" cy="1387475"/>
        </a:xfrm>
        <a:prstGeom prst="rect">
          <a:avLst/>
        </a:prstGeom>
      </xdr:spPr>
    </xdr:pic>
    <xdr:clientData/>
  </xdr:twoCellAnchor>
  <xdr:twoCellAnchor editAs="oneCell">
    <xdr:from>
      <xdr:col>24</xdr:col>
      <xdr:colOff>187325</xdr:colOff>
      <xdr:row>115</xdr:row>
      <xdr:rowOff>88900</xdr:rowOff>
    </xdr:from>
    <xdr:to>
      <xdr:col>28</xdr:col>
      <xdr:colOff>577850</xdr:colOff>
      <xdr:row>126</xdr:row>
      <xdr:rowOff>147320</xdr:rowOff>
    </xdr:to>
    <xdr:pic>
      <xdr:nvPicPr>
        <xdr:cNvPr id="33" name="图片 32" descr="7f916aeb223a0f2b775efffdd361ca3">
          <a:extLst>
            <a:ext uri="{FF2B5EF4-FFF2-40B4-BE49-F238E27FC236}">
              <a16:creationId xmlns:a16="http://schemas.microsoft.com/office/drawing/2014/main" id="{00000000-0008-0000-0900-000021000000}"/>
            </a:ext>
          </a:extLst>
        </xdr:cNvPr>
        <xdr:cNvPicPr>
          <a:picLocks noChangeAspect="1"/>
        </xdr:cNvPicPr>
      </xdr:nvPicPr>
      <xdr:blipFill>
        <a:blip xmlns:r="http://schemas.openxmlformats.org/officeDocument/2006/relationships" r:embed="rId27"/>
        <a:srcRect/>
        <a:stretch>
          <a:fillRect/>
        </a:stretch>
      </xdr:blipFill>
      <xdr:spPr>
        <a:xfrm>
          <a:off x="15000605" y="20681950"/>
          <a:ext cx="2859405" cy="2028190"/>
        </a:xfrm>
        <a:prstGeom prst="rect">
          <a:avLst/>
        </a:prstGeom>
      </xdr:spPr>
    </xdr:pic>
    <xdr:clientData/>
  </xdr:twoCellAnchor>
  <xdr:twoCellAnchor editAs="oneCell">
    <xdr:from>
      <xdr:col>29</xdr:col>
      <xdr:colOff>12065</xdr:colOff>
      <xdr:row>115</xdr:row>
      <xdr:rowOff>96520</xdr:rowOff>
    </xdr:from>
    <xdr:to>
      <xdr:col>33</xdr:col>
      <xdr:colOff>259715</xdr:colOff>
      <xdr:row>127</xdr:row>
      <xdr:rowOff>0</xdr:rowOff>
    </xdr:to>
    <xdr:pic>
      <xdr:nvPicPr>
        <xdr:cNvPr id="34" name="图片 33" descr="51f7238480c24e0bfd6520dcccb35ea">
          <a:extLst>
            <a:ext uri="{FF2B5EF4-FFF2-40B4-BE49-F238E27FC236}">
              <a16:creationId xmlns:a16="http://schemas.microsoft.com/office/drawing/2014/main" id="{00000000-0008-0000-0900-000022000000}"/>
            </a:ext>
          </a:extLst>
        </xdr:cNvPr>
        <xdr:cNvPicPr>
          <a:picLocks noChangeAspect="1"/>
        </xdr:cNvPicPr>
      </xdr:nvPicPr>
      <xdr:blipFill>
        <a:blip xmlns:r="http://schemas.openxmlformats.org/officeDocument/2006/relationships" r:embed="rId28"/>
        <a:srcRect/>
        <a:stretch>
          <a:fillRect/>
        </a:stretch>
      </xdr:blipFill>
      <xdr:spPr>
        <a:xfrm>
          <a:off x="17911445" y="20689570"/>
          <a:ext cx="2811145" cy="2052320"/>
        </a:xfrm>
        <a:prstGeom prst="rect">
          <a:avLst/>
        </a:prstGeom>
      </xdr:spPr>
    </xdr:pic>
    <xdr:clientData/>
  </xdr:twoCellAnchor>
  <xdr:twoCellAnchor editAs="oneCell">
    <xdr:from>
      <xdr:col>31</xdr:col>
      <xdr:colOff>551180</xdr:colOff>
      <xdr:row>135</xdr:row>
      <xdr:rowOff>141605</xdr:rowOff>
    </xdr:from>
    <xdr:to>
      <xdr:col>39</xdr:col>
      <xdr:colOff>281305</xdr:colOff>
      <xdr:row>152</xdr:row>
      <xdr:rowOff>109855</xdr:rowOff>
    </xdr:to>
    <xdr:pic>
      <xdr:nvPicPr>
        <xdr:cNvPr id="35" name="图片 34" descr="攻城气球">
          <a:extLst>
            <a:ext uri="{FF2B5EF4-FFF2-40B4-BE49-F238E27FC236}">
              <a16:creationId xmlns:a16="http://schemas.microsoft.com/office/drawing/2014/main" id="{00000000-0008-0000-0900-000023000000}"/>
            </a:ext>
          </a:extLst>
        </xdr:cNvPr>
        <xdr:cNvPicPr>
          <a:picLocks noChangeAspect="1"/>
        </xdr:cNvPicPr>
      </xdr:nvPicPr>
      <xdr:blipFill>
        <a:blip xmlns:r="http://schemas.openxmlformats.org/officeDocument/2006/relationships" r:embed="rId29"/>
        <a:stretch>
          <a:fillRect/>
        </a:stretch>
      </xdr:blipFill>
      <xdr:spPr>
        <a:xfrm>
          <a:off x="19685000" y="24316055"/>
          <a:ext cx="4762500" cy="3012440"/>
        </a:xfrm>
        <a:prstGeom prst="rect">
          <a:avLst/>
        </a:prstGeom>
      </xdr:spPr>
    </xdr:pic>
    <xdr:clientData/>
  </xdr:twoCellAnchor>
  <xdr:twoCellAnchor editAs="oneCell">
    <xdr:from>
      <xdr:col>29</xdr:col>
      <xdr:colOff>441325</xdr:colOff>
      <xdr:row>190</xdr:row>
      <xdr:rowOff>76200</xdr:rowOff>
    </xdr:from>
    <xdr:to>
      <xdr:col>32</xdr:col>
      <xdr:colOff>76200</xdr:colOff>
      <xdr:row>200</xdr:row>
      <xdr:rowOff>32385</xdr:rowOff>
    </xdr:to>
    <xdr:pic>
      <xdr:nvPicPr>
        <xdr:cNvPr id="37" name="图片 36">
          <a:extLst>
            <a:ext uri="{FF2B5EF4-FFF2-40B4-BE49-F238E27FC236}">
              <a16:creationId xmlns:a16="http://schemas.microsoft.com/office/drawing/2014/main" id="{00000000-0008-0000-0900-000025000000}"/>
            </a:ext>
          </a:extLst>
        </xdr:cNvPr>
        <xdr:cNvPicPr>
          <a:picLocks noChangeAspect="1"/>
        </xdr:cNvPicPr>
      </xdr:nvPicPr>
      <xdr:blipFill>
        <a:blip xmlns:r="http://schemas.openxmlformats.org/officeDocument/2006/relationships" r:embed="rId30"/>
        <a:srcRect/>
        <a:stretch>
          <a:fillRect/>
        </a:stretch>
      </xdr:blipFill>
      <xdr:spPr>
        <a:xfrm>
          <a:off x="18340705" y="34099500"/>
          <a:ext cx="1581150" cy="1746885"/>
        </a:xfrm>
        <a:prstGeom prst="rect">
          <a:avLst/>
        </a:prstGeom>
        <a:noFill/>
        <a:ln w="9525">
          <a:noFill/>
        </a:ln>
      </xdr:spPr>
    </xdr:pic>
    <xdr:clientData/>
  </xdr:twoCellAnchor>
  <xdr:twoCellAnchor editAs="oneCell">
    <xdr:from>
      <xdr:col>32</xdr:col>
      <xdr:colOff>323850</xdr:colOff>
      <xdr:row>190</xdr:row>
      <xdr:rowOff>57785</xdr:rowOff>
    </xdr:from>
    <xdr:to>
      <xdr:col>35</xdr:col>
      <xdr:colOff>248285</xdr:colOff>
      <xdr:row>200</xdr:row>
      <xdr:rowOff>17145</xdr:rowOff>
    </xdr:to>
    <xdr:pic>
      <xdr:nvPicPr>
        <xdr:cNvPr id="38" name="图片 37" descr="20190629_200250.00_00_08_13.静止001">
          <a:extLst>
            <a:ext uri="{FF2B5EF4-FFF2-40B4-BE49-F238E27FC236}">
              <a16:creationId xmlns:a16="http://schemas.microsoft.com/office/drawing/2014/main" id="{00000000-0008-0000-0900-000026000000}"/>
            </a:ext>
          </a:extLst>
        </xdr:cNvPr>
        <xdr:cNvPicPr>
          <a:picLocks noChangeAspect="1"/>
        </xdr:cNvPicPr>
      </xdr:nvPicPr>
      <xdr:blipFill>
        <a:blip xmlns:r="http://schemas.openxmlformats.org/officeDocument/2006/relationships" r:embed="rId31"/>
        <a:srcRect/>
        <a:stretch>
          <a:fillRect/>
        </a:stretch>
      </xdr:blipFill>
      <xdr:spPr>
        <a:xfrm>
          <a:off x="20169505" y="34081085"/>
          <a:ext cx="1776095" cy="1750060"/>
        </a:xfrm>
        <a:prstGeom prst="rect">
          <a:avLst/>
        </a:prstGeom>
      </xdr:spPr>
    </xdr:pic>
    <xdr:clientData/>
  </xdr:twoCellAnchor>
  <xdr:twoCellAnchor editAs="oneCell">
    <xdr:from>
      <xdr:col>33</xdr:col>
      <xdr:colOff>76200</xdr:colOff>
      <xdr:row>201</xdr:row>
      <xdr:rowOff>57150</xdr:rowOff>
    </xdr:from>
    <xdr:to>
      <xdr:col>36</xdr:col>
      <xdr:colOff>82550</xdr:colOff>
      <xdr:row>209</xdr:row>
      <xdr:rowOff>76835</xdr:rowOff>
    </xdr:to>
    <xdr:pic>
      <xdr:nvPicPr>
        <xdr:cNvPr id="39" name="图片 38">
          <a:extLst>
            <a:ext uri="{FF2B5EF4-FFF2-40B4-BE49-F238E27FC236}">
              <a16:creationId xmlns:a16="http://schemas.microsoft.com/office/drawing/2014/main" id="{00000000-0008-0000-0900-000027000000}"/>
            </a:ext>
          </a:extLst>
        </xdr:cNvPr>
        <xdr:cNvPicPr>
          <a:picLocks noChangeAspect="1"/>
        </xdr:cNvPicPr>
      </xdr:nvPicPr>
      <xdr:blipFill>
        <a:blip xmlns:r="http://schemas.openxmlformats.org/officeDocument/2006/relationships" r:embed="rId32"/>
        <a:srcRect/>
        <a:stretch>
          <a:fillRect/>
        </a:stretch>
      </xdr:blipFill>
      <xdr:spPr>
        <a:xfrm>
          <a:off x="20539075" y="36050220"/>
          <a:ext cx="1858010" cy="1452245"/>
        </a:xfrm>
        <a:prstGeom prst="rect">
          <a:avLst/>
        </a:prstGeom>
        <a:noFill/>
        <a:ln w="9525">
          <a:noFill/>
        </a:ln>
      </xdr:spPr>
    </xdr:pic>
    <xdr:clientData/>
  </xdr:twoCellAnchor>
  <xdr:twoCellAnchor editAs="oneCell">
    <xdr:from>
      <xdr:col>32</xdr:col>
      <xdr:colOff>302260</xdr:colOff>
      <xdr:row>213</xdr:row>
      <xdr:rowOff>137160</xdr:rowOff>
    </xdr:from>
    <xdr:to>
      <xdr:col>35</xdr:col>
      <xdr:colOff>136525</xdr:colOff>
      <xdr:row>219</xdr:row>
      <xdr:rowOff>43815</xdr:rowOff>
    </xdr:to>
    <xdr:pic>
      <xdr:nvPicPr>
        <xdr:cNvPr id="36" name="图片 35" descr="SVID_20200109_154830_1.00_00_32_16.静止001">
          <a:extLst>
            <a:ext uri="{FF2B5EF4-FFF2-40B4-BE49-F238E27FC236}">
              <a16:creationId xmlns:a16="http://schemas.microsoft.com/office/drawing/2014/main" id="{00000000-0008-0000-0900-000024000000}"/>
            </a:ext>
          </a:extLst>
        </xdr:cNvPr>
        <xdr:cNvPicPr>
          <a:picLocks noChangeAspect="1"/>
        </xdr:cNvPicPr>
      </xdr:nvPicPr>
      <xdr:blipFill>
        <a:blip xmlns:r="http://schemas.openxmlformats.org/officeDocument/2006/relationships" r:embed="rId33"/>
        <a:srcRect/>
        <a:stretch>
          <a:fillRect/>
        </a:stretch>
      </xdr:blipFill>
      <xdr:spPr>
        <a:xfrm>
          <a:off x="20147915" y="38279070"/>
          <a:ext cx="1685925" cy="981075"/>
        </a:xfrm>
        <a:prstGeom prst="rect">
          <a:avLst/>
        </a:prstGeom>
      </xdr:spPr>
    </xdr:pic>
    <xdr:clientData/>
  </xdr:twoCellAnchor>
  <xdr:twoCellAnchor editAs="oneCell">
    <xdr:from>
      <xdr:col>32</xdr:col>
      <xdr:colOff>257175</xdr:colOff>
      <xdr:row>227</xdr:row>
      <xdr:rowOff>127000</xdr:rowOff>
    </xdr:from>
    <xdr:to>
      <xdr:col>35</xdr:col>
      <xdr:colOff>38735</xdr:colOff>
      <xdr:row>236</xdr:row>
      <xdr:rowOff>116205</xdr:rowOff>
    </xdr:to>
    <xdr:pic>
      <xdr:nvPicPr>
        <xdr:cNvPr id="40" name="图片 39" descr="SVID_20200109_154830_1.00_01_17_05.静止002">
          <a:extLst>
            <a:ext uri="{FF2B5EF4-FFF2-40B4-BE49-F238E27FC236}">
              <a16:creationId xmlns:a16="http://schemas.microsoft.com/office/drawing/2014/main" id="{00000000-0008-0000-0900-000028000000}"/>
            </a:ext>
          </a:extLst>
        </xdr:cNvPr>
        <xdr:cNvPicPr>
          <a:picLocks noChangeAspect="1"/>
        </xdr:cNvPicPr>
      </xdr:nvPicPr>
      <xdr:blipFill>
        <a:blip xmlns:r="http://schemas.openxmlformats.org/officeDocument/2006/relationships" r:embed="rId34"/>
        <a:srcRect/>
        <a:stretch>
          <a:fillRect/>
        </a:stretch>
      </xdr:blipFill>
      <xdr:spPr>
        <a:xfrm>
          <a:off x="20102830" y="40775890"/>
          <a:ext cx="1633220" cy="1600835"/>
        </a:xfrm>
        <a:prstGeom prst="rect">
          <a:avLst/>
        </a:prstGeom>
      </xdr:spPr>
    </xdr:pic>
    <xdr:clientData/>
  </xdr:twoCellAnchor>
  <xdr:twoCellAnchor editAs="oneCell">
    <xdr:from>
      <xdr:col>32</xdr:col>
      <xdr:colOff>306705</xdr:colOff>
      <xdr:row>219</xdr:row>
      <xdr:rowOff>24130</xdr:rowOff>
    </xdr:from>
    <xdr:to>
      <xdr:col>34</xdr:col>
      <xdr:colOff>431165</xdr:colOff>
      <xdr:row>227</xdr:row>
      <xdr:rowOff>81915</xdr:rowOff>
    </xdr:to>
    <xdr:pic>
      <xdr:nvPicPr>
        <xdr:cNvPr id="41" name="图片 40" descr="SVID_20200109_154830_1.00_00_51_22.静止003">
          <a:extLst>
            <a:ext uri="{FF2B5EF4-FFF2-40B4-BE49-F238E27FC236}">
              <a16:creationId xmlns:a16="http://schemas.microsoft.com/office/drawing/2014/main" id="{00000000-0008-0000-0900-000029000000}"/>
            </a:ext>
          </a:extLst>
        </xdr:cNvPr>
        <xdr:cNvPicPr>
          <a:picLocks noChangeAspect="1"/>
        </xdr:cNvPicPr>
      </xdr:nvPicPr>
      <xdr:blipFill>
        <a:blip xmlns:r="http://schemas.openxmlformats.org/officeDocument/2006/relationships" r:embed="rId35"/>
        <a:srcRect/>
        <a:stretch>
          <a:fillRect/>
        </a:stretch>
      </xdr:blipFill>
      <xdr:spPr>
        <a:xfrm>
          <a:off x="20152360" y="39240460"/>
          <a:ext cx="1358900" cy="1490345"/>
        </a:xfrm>
        <a:prstGeom prst="rect">
          <a:avLst/>
        </a:prstGeom>
      </xdr:spPr>
    </xdr:pic>
    <xdr:clientData/>
  </xdr:twoCellAnchor>
  <xdr:twoCellAnchor editAs="oneCell">
    <xdr:from>
      <xdr:col>43</xdr:col>
      <xdr:colOff>28575</xdr:colOff>
      <xdr:row>158</xdr:row>
      <xdr:rowOff>47625</xdr:rowOff>
    </xdr:from>
    <xdr:to>
      <xdr:col>46</xdr:col>
      <xdr:colOff>37540</xdr:colOff>
      <xdr:row>161</xdr:row>
      <xdr:rowOff>32385</xdr:rowOff>
    </xdr:to>
    <xdr:pic>
      <xdr:nvPicPr>
        <xdr:cNvPr id="42" name="图片 41">
          <a:extLst>
            <a:ext uri="{FF2B5EF4-FFF2-40B4-BE49-F238E27FC236}">
              <a16:creationId xmlns:a16="http://schemas.microsoft.com/office/drawing/2014/main" id="{00000000-0008-0000-0900-00002A000000}"/>
            </a:ext>
          </a:extLst>
        </xdr:cNvPr>
        <xdr:cNvPicPr>
          <a:picLocks noChangeAspect="1"/>
        </xdr:cNvPicPr>
      </xdr:nvPicPr>
      <xdr:blipFill>
        <a:blip xmlns:r="http://schemas.openxmlformats.org/officeDocument/2006/relationships" r:embed="rId36"/>
        <a:stretch>
          <a:fillRect/>
        </a:stretch>
      </xdr:blipFill>
      <xdr:spPr>
        <a:xfrm>
          <a:off x="26663650" y="28340685"/>
          <a:ext cx="1894840" cy="521970"/>
        </a:xfrm>
        <a:prstGeom prst="rect">
          <a:avLst/>
        </a:prstGeom>
        <a:noFill/>
        <a:ln w="9525">
          <a:noFill/>
        </a:ln>
      </xdr:spPr>
    </xdr:pic>
    <xdr:clientData/>
  </xdr:twoCellAnchor>
  <xdr:twoCellAnchor editAs="oneCell">
    <xdr:from>
      <xdr:col>14</xdr:col>
      <xdr:colOff>114300</xdr:colOff>
      <xdr:row>245</xdr:row>
      <xdr:rowOff>95250</xdr:rowOff>
    </xdr:from>
    <xdr:to>
      <xdr:col>17</xdr:col>
      <xdr:colOff>116205</xdr:colOff>
      <xdr:row>253</xdr:row>
      <xdr:rowOff>50800</xdr:rowOff>
    </xdr:to>
    <xdr:pic>
      <xdr:nvPicPr>
        <xdr:cNvPr id="43" name="图片 42">
          <a:extLst>
            <a:ext uri="{FF2B5EF4-FFF2-40B4-BE49-F238E27FC236}">
              <a16:creationId xmlns:a16="http://schemas.microsoft.com/office/drawing/2014/main" id="{00000000-0008-0000-0900-00002B000000}"/>
            </a:ext>
          </a:extLst>
        </xdr:cNvPr>
        <xdr:cNvPicPr>
          <a:picLocks noChangeAspect="1"/>
        </xdr:cNvPicPr>
      </xdr:nvPicPr>
      <xdr:blipFill>
        <a:blip xmlns:r="http://schemas.openxmlformats.org/officeDocument/2006/relationships" r:embed="rId37"/>
        <a:stretch>
          <a:fillRect/>
        </a:stretch>
      </xdr:blipFill>
      <xdr:spPr>
        <a:xfrm>
          <a:off x="8755380" y="43967400"/>
          <a:ext cx="1853565" cy="1388110"/>
        </a:xfrm>
        <a:prstGeom prst="rect">
          <a:avLst/>
        </a:prstGeom>
        <a:noFill/>
        <a:ln w="9525">
          <a:noFill/>
        </a:ln>
      </xdr:spPr>
    </xdr:pic>
    <xdr:clientData/>
  </xdr:twoCellAnchor>
  <xdr:twoCellAnchor editAs="oneCell">
    <xdr:from>
      <xdr:col>16</xdr:col>
      <xdr:colOff>381000</xdr:colOff>
      <xdr:row>245</xdr:row>
      <xdr:rowOff>95250</xdr:rowOff>
    </xdr:from>
    <xdr:to>
      <xdr:col>19</xdr:col>
      <xdr:colOff>220980</xdr:colOff>
      <xdr:row>253</xdr:row>
      <xdr:rowOff>48260</xdr:rowOff>
    </xdr:to>
    <xdr:pic>
      <xdr:nvPicPr>
        <xdr:cNvPr id="44" name="图片 43">
          <a:extLst>
            <a:ext uri="{FF2B5EF4-FFF2-40B4-BE49-F238E27FC236}">
              <a16:creationId xmlns:a16="http://schemas.microsoft.com/office/drawing/2014/main" id="{00000000-0008-0000-0900-00002C000000}"/>
            </a:ext>
          </a:extLst>
        </xdr:cNvPr>
        <xdr:cNvPicPr>
          <a:picLocks noChangeAspect="1"/>
        </xdr:cNvPicPr>
      </xdr:nvPicPr>
      <xdr:blipFill>
        <a:blip xmlns:r="http://schemas.openxmlformats.org/officeDocument/2006/relationships" r:embed="rId38"/>
        <a:srcRect l="9457" r="8635"/>
        <a:stretch>
          <a:fillRect/>
        </a:stretch>
      </xdr:blipFill>
      <xdr:spPr>
        <a:xfrm>
          <a:off x="10256520" y="43967400"/>
          <a:ext cx="1691640" cy="1385570"/>
        </a:xfrm>
        <a:prstGeom prst="rect">
          <a:avLst/>
        </a:prstGeom>
        <a:noFill/>
        <a:ln w="9525">
          <a:noFill/>
        </a:ln>
      </xdr:spPr>
    </xdr:pic>
    <xdr:clientData/>
  </xdr:twoCellAnchor>
  <xdr:twoCellAnchor editAs="oneCell">
    <xdr:from>
      <xdr:col>14</xdr:col>
      <xdr:colOff>114300</xdr:colOff>
      <xdr:row>252</xdr:row>
      <xdr:rowOff>85725</xdr:rowOff>
    </xdr:from>
    <xdr:to>
      <xdr:col>17</xdr:col>
      <xdr:colOff>254635</xdr:colOff>
      <xdr:row>258</xdr:row>
      <xdr:rowOff>140335</xdr:rowOff>
    </xdr:to>
    <xdr:pic>
      <xdr:nvPicPr>
        <xdr:cNvPr id="45" name="图片 44">
          <a:extLst>
            <a:ext uri="{FF2B5EF4-FFF2-40B4-BE49-F238E27FC236}">
              <a16:creationId xmlns:a16="http://schemas.microsoft.com/office/drawing/2014/main" id="{00000000-0008-0000-0900-00002D000000}"/>
            </a:ext>
          </a:extLst>
        </xdr:cNvPr>
        <xdr:cNvPicPr>
          <a:picLocks noChangeAspect="1"/>
        </xdr:cNvPicPr>
      </xdr:nvPicPr>
      <xdr:blipFill>
        <a:blip xmlns:r="http://schemas.openxmlformats.org/officeDocument/2006/relationships" r:embed="rId39"/>
        <a:stretch>
          <a:fillRect/>
        </a:stretch>
      </xdr:blipFill>
      <xdr:spPr>
        <a:xfrm>
          <a:off x="8755380" y="45211365"/>
          <a:ext cx="1991995" cy="1129030"/>
        </a:xfrm>
        <a:prstGeom prst="rect">
          <a:avLst/>
        </a:prstGeom>
        <a:noFill/>
        <a:ln w="9525">
          <a:noFill/>
        </a:ln>
      </xdr:spPr>
    </xdr:pic>
    <xdr:clientData/>
  </xdr:twoCellAnchor>
  <xdr:twoCellAnchor editAs="oneCell">
    <xdr:from>
      <xdr:col>14</xdr:col>
      <xdr:colOff>114300</xdr:colOff>
      <xdr:row>258</xdr:row>
      <xdr:rowOff>131445</xdr:rowOff>
    </xdr:from>
    <xdr:to>
      <xdr:col>17</xdr:col>
      <xdr:colOff>278130</xdr:colOff>
      <xdr:row>266</xdr:row>
      <xdr:rowOff>81915</xdr:rowOff>
    </xdr:to>
    <xdr:pic>
      <xdr:nvPicPr>
        <xdr:cNvPr id="47" name="图片 46">
          <a:extLst>
            <a:ext uri="{FF2B5EF4-FFF2-40B4-BE49-F238E27FC236}">
              <a16:creationId xmlns:a16="http://schemas.microsoft.com/office/drawing/2014/main" id="{00000000-0008-0000-0900-00002F000000}"/>
            </a:ext>
          </a:extLst>
        </xdr:cNvPr>
        <xdr:cNvPicPr>
          <a:picLocks noChangeAspect="1"/>
        </xdr:cNvPicPr>
      </xdr:nvPicPr>
      <xdr:blipFill>
        <a:blip xmlns:r="http://schemas.openxmlformats.org/officeDocument/2006/relationships" r:embed="rId40"/>
        <a:stretch>
          <a:fillRect/>
        </a:stretch>
      </xdr:blipFill>
      <xdr:spPr>
        <a:xfrm>
          <a:off x="8755380" y="46331505"/>
          <a:ext cx="2015490" cy="1383030"/>
        </a:xfrm>
        <a:prstGeom prst="rect">
          <a:avLst/>
        </a:prstGeom>
        <a:noFill/>
        <a:ln w="9525">
          <a:noFill/>
        </a:ln>
      </xdr:spPr>
    </xdr:pic>
    <xdr:clientData/>
  </xdr:twoCellAnchor>
  <xdr:twoCellAnchor>
    <xdr:from>
      <xdr:col>26</xdr:col>
      <xdr:colOff>0</xdr:colOff>
      <xdr:row>265</xdr:row>
      <xdr:rowOff>0</xdr:rowOff>
    </xdr:from>
    <xdr:to>
      <xdr:col>26</xdr:col>
      <xdr:colOff>0</xdr:colOff>
      <xdr:row>265</xdr:row>
      <xdr:rowOff>0</xdr:rowOff>
    </xdr:to>
    <xdr:sp macro="" textlink="">
      <xdr:nvSpPr>
        <xdr:cNvPr id="4097" name="Object 1">
          <a:extLst>
            <a:ext uri="{FF2B5EF4-FFF2-40B4-BE49-F238E27FC236}">
              <a16:creationId xmlns:a16="http://schemas.microsoft.com/office/drawing/2014/main" id="{00000000-0008-0000-0900-000001100000}"/>
            </a:ext>
          </a:extLst>
        </xdr:cNvPr>
        <xdr:cNvSpPr>
          <a:spLocks noChangeAspect="1"/>
        </xdr:cNvSpPr>
      </xdr:nvSpPr>
      <xdr:spPr>
        <a:xfrm>
          <a:off x="16047720" y="47453550"/>
          <a:ext cx="0" cy="0"/>
        </a:xfrm>
        <a:prstGeom prst="rect">
          <a:avLst/>
        </a:prstGeom>
        <a:solidFill>
          <a:sysClr val="window" lastClr="FFFFFF">
            <a:gamma/>
            <a:invGamma/>
          </a:sysClr>
        </a:solidFill>
        <a:ln w="9525" cap="flat" cmpd="sng">
          <a:solidFill>
            <a:sysClr val="windowText" lastClr="000000">
              <a:gamma/>
              <a:invGamma/>
            </a:sysClr>
          </a:solidFill>
          <a:prstDash val="solid"/>
          <a:miter lim="800000"/>
          <a:headEnd type="none" w="med" len="med"/>
          <a:tailEnd type="none" w="med" len="med"/>
        </a:ln>
      </xdr:spPr>
    </xdr:sp>
    <xdr:clientData/>
  </xdr:twoCellAnchor>
  <xdr:twoCellAnchor>
    <xdr:from>
      <xdr:col>26</xdr:col>
      <xdr:colOff>0</xdr:colOff>
      <xdr:row>264</xdr:row>
      <xdr:rowOff>0</xdr:rowOff>
    </xdr:from>
    <xdr:to>
      <xdr:col>26</xdr:col>
      <xdr:colOff>0</xdr:colOff>
      <xdr:row>264</xdr:row>
      <xdr:rowOff>0</xdr:rowOff>
    </xdr:to>
    <xdr:sp macro="" textlink="">
      <xdr:nvSpPr>
        <xdr:cNvPr id="4098" name="Object 2">
          <a:extLst>
            <a:ext uri="{FF2B5EF4-FFF2-40B4-BE49-F238E27FC236}">
              <a16:creationId xmlns:a16="http://schemas.microsoft.com/office/drawing/2014/main" id="{00000000-0008-0000-0900-000002100000}"/>
            </a:ext>
          </a:extLst>
        </xdr:cNvPr>
        <xdr:cNvSpPr>
          <a:spLocks noChangeAspect="1"/>
        </xdr:cNvSpPr>
      </xdr:nvSpPr>
      <xdr:spPr>
        <a:xfrm>
          <a:off x="16047720" y="47274480"/>
          <a:ext cx="0" cy="0"/>
        </a:xfrm>
        <a:prstGeom prst="rect">
          <a:avLst/>
        </a:prstGeom>
        <a:solidFill>
          <a:sysClr val="window" lastClr="FFFFFF">
            <a:gamma/>
            <a:invGamma/>
          </a:sysClr>
        </a:solidFill>
        <a:ln w="9525" cap="flat" cmpd="sng">
          <a:solidFill>
            <a:sysClr val="windowText" lastClr="000000">
              <a:gamma/>
              <a:invGamma/>
            </a:sysClr>
          </a:solidFill>
          <a:prstDash val="solid"/>
          <a:miter lim="800000"/>
          <a:headEnd type="none" w="med" len="med"/>
          <a:tailEnd type="none" w="med" len="med"/>
        </a:ln>
      </xdr:spPr>
    </xdr:sp>
    <xdr:clientData/>
  </xdr:twoCellAnchor>
  <xdr:twoCellAnchor editAs="oneCell">
    <xdr:from>
      <xdr:col>33</xdr:col>
      <xdr:colOff>426085</xdr:colOff>
      <xdr:row>243</xdr:row>
      <xdr:rowOff>104140</xdr:rowOff>
    </xdr:from>
    <xdr:to>
      <xdr:col>36</xdr:col>
      <xdr:colOff>476885</xdr:colOff>
      <xdr:row>249</xdr:row>
      <xdr:rowOff>38735</xdr:rowOff>
    </xdr:to>
    <xdr:pic>
      <xdr:nvPicPr>
        <xdr:cNvPr id="50" name="图片 49">
          <a:extLst>
            <a:ext uri="{FF2B5EF4-FFF2-40B4-BE49-F238E27FC236}">
              <a16:creationId xmlns:a16="http://schemas.microsoft.com/office/drawing/2014/main" id="{00000000-0008-0000-0900-000032000000}"/>
            </a:ext>
          </a:extLst>
        </xdr:cNvPr>
        <xdr:cNvPicPr>
          <a:picLocks noChangeAspect="1"/>
        </xdr:cNvPicPr>
      </xdr:nvPicPr>
      <xdr:blipFill>
        <a:blip xmlns:r="http://schemas.openxmlformats.org/officeDocument/2006/relationships" r:embed="rId41"/>
        <a:srcRect t="27848" b="7595"/>
        <a:stretch>
          <a:fillRect/>
        </a:stretch>
      </xdr:blipFill>
      <xdr:spPr>
        <a:xfrm>
          <a:off x="20888960" y="43618150"/>
          <a:ext cx="1902460" cy="1009015"/>
        </a:xfrm>
        <a:prstGeom prst="rect">
          <a:avLst/>
        </a:prstGeom>
        <a:noFill/>
        <a:ln w="9525">
          <a:noFill/>
        </a:ln>
      </xdr:spPr>
    </xdr:pic>
    <xdr:clientData/>
  </xdr:twoCellAnchor>
  <xdr:twoCellAnchor editAs="oneCell">
    <xdr:from>
      <xdr:col>33</xdr:col>
      <xdr:colOff>426085</xdr:colOff>
      <xdr:row>249</xdr:row>
      <xdr:rowOff>140335</xdr:rowOff>
    </xdr:from>
    <xdr:to>
      <xdr:col>36</xdr:col>
      <xdr:colOff>512445</xdr:colOff>
      <xdr:row>254</xdr:row>
      <xdr:rowOff>96520</xdr:rowOff>
    </xdr:to>
    <xdr:pic>
      <xdr:nvPicPr>
        <xdr:cNvPr id="57" name="图片 56">
          <a:extLst>
            <a:ext uri="{FF2B5EF4-FFF2-40B4-BE49-F238E27FC236}">
              <a16:creationId xmlns:a16="http://schemas.microsoft.com/office/drawing/2014/main" id="{00000000-0008-0000-0900-000039000000}"/>
            </a:ext>
          </a:extLst>
        </xdr:cNvPr>
        <xdr:cNvPicPr>
          <a:picLocks noChangeAspect="1"/>
        </xdr:cNvPicPr>
      </xdr:nvPicPr>
      <xdr:blipFill>
        <a:blip xmlns:r="http://schemas.openxmlformats.org/officeDocument/2006/relationships" r:embed="rId42"/>
        <a:srcRect t="16846" b="25606"/>
        <a:stretch>
          <a:fillRect/>
        </a:stretch>
      </xdr:blipFill>
      <xdr:spPr>
        <a:xfrm>
          <a:off x="20888960" y="44728765"/>
          <a:ext cx="1938020" cy="851535"/>
        </a:xfrm>
        <a:prstGeom prst="rect">
          <a:avLst/>
        </a:prstGeom>
        <a:noFill/>
        <a:ln w="9525">
          <a:noFill/>
        </a:ln>
      </xdr:spPr>
    </xdr:pic>
    <xdr:clientData/>
  </xdr:twoCellAnchor>
  <xdr:twoCellAnchor editAs="oneCell">
    <xdr:from>
      <xdr:col>33</xdr:col>
      <xdr:colOff>426085</xdr:colOff>
      <xdr:row>254</xdr:row>
      <xdr:rowOff>109855</xdr:rowOff>
    </xdr:from>
    <xdr:to>
      <xdr:col>36</xdr:col>
      <xdr:colOff>583565</xdr:colOff>
      <xdr:row>259</xdr:row>
      <xdr:rowOff>134620</xdr:rowOff>
    </xdr:to>
    <xdr:pic>
      <xdr:nvPicPr>
        <xdr:cNvPr id="58" name="图片 57">
          <a:extLst>
            <a:ext uri="{FF2B5EF4-FFF2-40B4-BE49-F238E27FC236}">
              <a16:creationId xmlns:a16="http://schemas.microsoft.com/office/drawing/2014/main" id="{00000000-0008-0000-0900-00003A000000}"/>
            </a:ext>
          </a:extLst>
        </xdr:cNvPr>
        <xdr:cNvPicPr>
          <a:picLocks noChangeAspect="1"/>
        </xdr:cNvPicPr>
      </xdr:nvPicPr>
      <xdr:blipFill>
        <a:blip xmlns:r="http://schemas.openxmlformats.org/officeDocument/2006/relationships" r:embed="rId43"/>
        <a:srcRect t="33825" b="9225"/>
        <a:stretch>
          <a:fillRect/>
        </a:stretch>
      </xdr:blipFill>
      <xdr:spPr>
        <a:xfrm>
          <a:off x="20888960" y="45593635"/>
          <a:ext cx="2009140" cy="920115"/>
        </a:xfrm>
        <a:prstGeom prst="rect">
          <a:avLst/>
        </a:prstGeom>
        <a:noFill/>
        <a:ln w="9525">
          <a:noFill/>
        </a:ln>
      </xdr:spPr>
    </xdr:pic>
    <xdr:clientData/>
  </xdr:twoCellAnchor>
  <xdr:twoCellAnchor editAs="oneCell">
    <xdr:from>
      <xdr:col>14</xdr:col>
      <xdr:colOff>114300</xdr:colOff>
      <xdr:row>266</xdr:row>
      <xdr:rowOff>68580</xdr:rowOff>
    </xdr:from>
    <xdr:to>
      <xdr:col>19</xdr:col>
      <xdr:colOff>396875</xdr:colOff>
      <xdr:row>275</xdr:row>
      <xdr:rowOff>81915</xdr:rowOff>
    </xdr:to>
    <xdr:pic>
      <xdr:nvPicPr>
        <xdr:cNvPr id="79" name="图片 78">
          <a:extLst>
            <a:ext uri="{FF2B5EF4-FFF2-40B4-BE49-F238E27FC236}">
              <a16:creationId xmlns:a16="http://schemas.microsoft.com/office/drawing/2014/main" id="{00000000-0008-0000-0900-00004F000000}"/>
            </a:ext>
          </a:extLst>
        </xdr:cNvPr>
        <xdr:cNvPicPr>
          <a:picLocks noChangeAspect="1"/>
        </xdr:cNvPicPr>
      </xdr:nvPicPr>
      <xdr:blipFill>
        <a:blip xmlns:r="http://schemas.openxmlformats.org/officeDocument/2006/relationships" r:embed="rId44"/>
        <a:stretch>
          <a:fillRect/>
        </a:stretch>
      </xdr:blipFill>
      <xdr:spPr>
        <a:xfrm>
          <a:off x="8755380" y="47701200"/>
          <a:ext cx="3368675" cy="1624965"/>
        </a:xfrm>
        <a:prstGeom prst="rect">
          <a:avLst/>
        </a:prstGeom>
        <a:noFill/>
        <a:ln w="9525">
          <a:noFill/>
        </a:ln>
      </xdr:spPr>
    </xdr:pic>
    <xdr:clientData/>
  </xdr:twoCellAnchor>
  <xdr:twoCellAnchor editAs="oneCell">
    <xdr:from>
      <xdr:col>16</xdr:col>
      <xdr:colOff>7620</xdr:colOff>
      <xdr:row>281</xdr:row>
      <xdr:rowOff>86995</xdr:rowOff>
    </xdr:from>
    <xdr:to>
      <xdr:col>19</xdr:col>
      <xdr:colOff>339725</xdr:colOff>
      <xdr:row>289</xdr:row>
      <xdr:rowOff>62230</xdr:rowOff>
    </xdr:to>
    <xdr:pic>
      <xdr:nvPicPr>
        <xdr:cNvPr id="80" name="图片 79">
          <a:extLst>
            <a:ext uri="{FF2B5EF4-FFF2-40B4-BE49-F238E27FC236}">
              <a16:creationId xmlns:a16="http://schemas.microsoft.com/office/drawing/2014/main" id="{00000000-0008-0000-0900-000050000000}"/>
            </a:ext>
          </a:extLst>
        </xdr:cNvPr>
        <xdr:cNvPicPr>
          <a:picLocks noChangeAspect="1"/>
        </xdr:cNvPicPr>
      </xdr:nvPicPr>
      <xdr:blipFill>
        <a:blip xmlns:r="http://schemas.openxmlformats.org/officeDocument/2006/relationships" r:embed="rId45"/>
        <a:stretch>
          <a:fillRect/>
        </a:stretch>
      </xdr:blipFill>
      <xdr:spPr>
        <a:xfrm>
          <a:off x="9883140" y="50405665"/>
          <a:ext cx="2183765" cy="1407795"/>
        </a:xfrm>
        <a:prstGeom prst="rect">
          <a:avLst/>
        </a:prstGeom>
        <a:noFill/>
        <a:ln w="9525">
          <a:noFill/>
        </a:ln>
      </xdr:spPr>
    </xdr:pic>
    <xdr:clientData/>
  </xdr:twoCellAnchor>
  <xdr:twoCellAnchor editAs="oneCell">
    <xdr:from>
      <xdr:col>16</xdr:col>
      <xdr:colOff>140970</xdr:colOff>
      <xdr:row>289</xdr:row>
      <xdr:rowOff>57150</xdr:rowOff>
    </xdr:from>
    <xdr:to>
      <xdr:col>19</xdr:col>
      <xdr:colOff>336550</xdr:colOff>
      <xdr:row>297</xdr:row>
      <xdr:rowOff>187</xdr:rowOff>
    </xdr:to>
    <xdr:pic>
      <xdr:nvPicPr>
        <xdr:cNvPr id="81" name="图片 80" descr="WardenExplration1-飞行模式与实验">
          <a:extLst>
            <a:ext uri="{FF2B5EF4-FFF2-40B4-BE49-F238E27FC236}">
              <a16:creationId xmlns:a16="http://schemas.microsoft.com/office/drawing/2014/main" id="{00000000-0008-0000-0900-000051000000}"/>
            </a:ext>
          </a:extLst>
        </xdr:cNvPr>
        <xdr:cNvPicPr>
          <a:picLocks noChangeAspect="1"/>
        </xdr:cNvPicPr>
      </xdr:nvPicPr>
      <xdr:blipFill>
        <a:blip xmlns:r="http://schemas.openxmlformats.org/officeDocument/2006/relationships" r:embed="rId46"/>
        <a:srcRect/>
        <a:stretch>
          <a:fillRect/>
        </a:stretch>
      </xdr:blipFill>
      <xdr:spPr>
        <a:xfrm>
          <a:off x="10016490" y="51808380"/>
          <a:ext cx="2047240" cy="1375410"/>
        </a:xfrm>
        <a:prstGeom prst="rect">
          <a:avLst/>
        </a:prstGeom>
      </xdr:spPr>
    </xdr:pic>
    <xdr:clientData/>
  </xdr:twoCellAnchor>
  <xdr:twoCellAnchor editAs="oneCell">
    <xdr:from>
      <xdr:col>15</xdr:col>
      <xdr:colOff>545465</xdr:colOff>
      <xdr:row>297</xdr:row>
      <xdr:rowOff>9525</xdr:rowOff>
    </xdr:from>
    <xdr:to>
      <xdr:col>19</xdr:col>
      <xdr:colOff>339725</xdr:colOff>
      <xdr:row>307</xdr:row>
      <xdr:rowOff>67945</xdr:rowOff>
    </xdr:to>
    <xdr:pic>
      <xdr:nvPicPr>
        <xdr:cNvPr id="82" name="图片 81" descr="WardenExplration1-防守模式">
          <a:extLst>
            <a:ext uri="{FF2B5EF4-FFF2-40B4-BE49-F238E27FC236}">
              <a16:creationId xmlns:a16="http://schemas.microsoft.com/office/drawing/2014/main" id="{00000000-0008-0000-0900-000052000000}"/>
            </a:ext>
          </a:extLst>
        </xdr:cNvPr>
        <xdr:cNvPicPr>
          <a:picLocks noChangeAspect="1"/>
        </xdr:cNvPicPr>
      </xdr:nvPicPr>
      <xdr:blipFill>
        <a:blip xmlns:r="http://schemas.openxmlformats.org/officeDocument/2006/relationships" r:embed="rId47"/>
        <a:stretch>
          <a:fillRect/>
        </a:stretch>
      </xdr:blipFill>
      <xdr:spPr>
        <a:xfrm>
          <a:off x="9803765" y="53193315"/>
          <a:ext cx="2263140" cy="1849120"/>
        </a:xfrm>
        <a:prstGeom prst="rect">
          <a:avLst/>
        </a:prstGeom>
      </xdr:spPr>
    </xdr:pic>
    <xdr:clientData/>
  </xdr:twoCellAnchor>
  <xdr:twoCellAnchor editAs="oneCell">
    <xdr:from>
      <xdr:col>15</xdr:col>
      <xdr:colOff>513715</xdr:colOff>
      <xdr:row>310</xdr:row>
      <xdr:rowOff>85725</xdr:rowOff>
    </xdr:from>
    <xdr:to>
      <xdr:col>19</xdr:col>
      <xdr:colOff>339725</xdr:colOff>
      <xdr:row>320</xdr:row>
      <xdr:rowOff>134620</xdr:rowOff>
    </xdr:to>
    <xdr:pic>
      <xdr:nvPicPr>
        <xdr:cNvPr id="83" name="图片 82" descr="WardenExplration1-大守护者与戈仑冰人">
          <a:extLst>
            <a:ext uri="{FF2B5EF4-FFF2-40B4-BE49-F238E27FC236}">
              <a16:creationId xmlns:a16="http://schemas.microsoft.com/office/drawing/2014/main" id="{00000000-0008-0000-0900-000053000000}"/>
            </a:ext>
          </a:extLst>
        </xdr:cNvPr>
        <xdr:cNvPicPr>
          <a:picLocks noChangeAspect="1"/>
        </xdr:cNvPicPr>
      </xdr:nvPicPr>
      <xdr:blipFill>
        <a:blip xmlns:r="http://schemas.openxmlformats.org/officeDocument/2006/relationships" r:embed="rId48"/>
        <a:stretch>
          <a:fillRect/>
        </a:stretch>
      </xdr:blipFill>
      <xdr:spPr>
        <a:xfrm>
          <a:off x="9772015" y="55597425"/>
          <a:ext cx="2294890" cy="1839595"/>
        </a:xfrm>
        <a:prstGeom prst="rect">
          <a:avLst/>
        </a:prstGeom>
      </xdr:spPr>
    </xdr:pic>
    <xdr:clientData/>
  </xdr:twoCellAnchor>
  <xdr:twoCellAnchor editAs="oneCell">
    <xdr:from>
      <xdr:col>15</xdr:col>
      <xdr:colOff>481965</xdr:colOff>
      <xdr:row>324</xdr:row>
      <xdr:rowOff>161925</xdr:rowOff>
    </xdr:from>
    <xdr:to>
      <xdr:col>19</xdr:col>
      <xdr:colOff>339725</xdr:colOff>
      <xdr:row>334</xdr:row>
      <xdr:rowOff>141605</xdr:rowOff>
    </xdr:to>
    <xdr:pic>
      <xdr:nvPicPr>
        <xdr:cNvPr id="84" name="图片 83">
          <a:extLst>
            <a:ext uri="{FF2B5EF4-FFF2-40B4-BE49-F238E27FC236}">
              <a16:creationId xmlns:a16="http://schemas.microsoft.com/office/drawing/2014/main" id="{00000000-0008-0000-0900-000054000000}"/>
            </a:ext>
          </a:extLst>
        </xdr:cNvPr>
        <xdr:cNvPicPr>
          <a:picLocks noChangeAspect="1"/>
        </xdr:cNvPicPr>
      </xdr:nvPicPr>
      <xdr:blipFill>
        <a:blip xmlns:r="http://schemas.openxmlformats.org/officeDocument/2006/relationships" r:embed="rId49"/>
        <a:stretch>
          <a:fillRect/>
        </a:stretch>
      </xdr:blipFill>
      <xdr:spPr>
        <a:xfrm>
          <a:off x="9740265" y="58180605"/>
          <a:ext cx="2326640" cy="1770380"/>
        </a:xfrm>
        <a:prstGeom prst="rect">
          <a:avLst/>
        </a:prstGeom>
        <a:noFill/>
        <a:ln w="9525">
          <a:noFill/>
        </a:ln>
      </xdr:spPr>
    </xdr:pic>
    <xdr:clientData/>
  </xdr:twoCellAnchor>
  <xdr:twoCellAnchor editAs="oneCell">
    <xdr:from>
      <xdr:col>33</xdr:col>
      <xdr:colOff>426085</xdr:colOff>
      <xdr:row>260</xdr:row>
      <xdr:rowOff>113030</xdr:rowOff>
    </xdr:from>
    <xdr:to>
      <xdr:col>37</xdr:col>
      <xdr:colOff>167640</xdr:colOff>
      <xdr:row>287</xdr:row>
      <xdr:rowOff>130810</xdr:rowOff>
    </xdr:to>
    <xdr:pic>
      <xdr:nvPicPr>
        <xdr:cNvPr id="85" name="图片 84" descr="饱和实验终极版">
          <a:extLst>
            <a:ext uri="{FF2B5EF4-FFF2-40B4-BE49-F238E27FC236}">
              <a16:creationId xmlns:a16="http://schemas.microsoft.com/office/drawing/2014/main" id="{00000000-0008-0000-0900-000055000000}"/>
            </a:ext>
          </a:extLst>
        </xdr:cNvPr>
        <xdr:cNvPicPr>
          <a:picLocks noChangeAspect="1"/>
        </xdr:cNvPicPr>
      </xdr:nvPicPr>
      <xdr:blipFill>
        <a:blip xmlns:r="http://schemas.openxmlformats.org/officeDocument/2006/relationships" r:embed="rId50"/>
        <a:stretch>
          <a:fillRect/>
        </a:stretch>
      </xdr:blipFill>
      <xdr:spPr>
        <a:xfrm>
          <a:off x="20888960" y="46671230"/>
          <a:ext cx="2210435" cy="4852670"/>
        </a:xfrm>
        <a:prstGeom prst="rect">
          <a:avLst/>
        </a:prstGeom>
      </xdr:spPr>
    </xdr:pic>
    <xdr:clientData/>
  </xdr:twoCellAnchor>
  <xdr:twoCellAnchor editAs="oneCell">
    <xdr:from>
      <xdr:col>33</xdr:col>
      <xdr:colOff>426085</xdr:colOff>
      <xdr:row>288</xdr:row>
      <xdr:rowOff>151130</xdr:rowOff>
    </xdr:from>
    <xdr:to>
      <xdr:col>36</xdr:col>
      <xdr:colOff>603885</xdr:colOff>
      <xdr:row>297</xdr:row>
      <xdr:rowOff>16510</xdr:rowOff>
    </xdr:to>
    <xdr:pic>
      <xdr:nvPicPr>
        <xdr:cNvPr id="86" name="图片 85">
          <a:extLst>
            <a:ext uri="{FF2B5EF4-FFF2-40B4-BE49-F238E27FC236}">
              <a16:creationId xmlns:a16="http://schemas.microsoft.com/office/drawing/2014/main" id="{00000000-0008-0000-0900-000056000000}"/>
            </a:ext>
          </a:extLst>
        </xdr:cNvPr>
        <xdr:cNvPicPr>
          <a:picLocks noChangeAspect="1"/>
        </xdr:cNvPicPr>
      </xdr:nvPicPr>
      <xdr:blipFill>
        <a:blip xmlns:r="http://schemas.openxmlformats.org/officeDocument/2006/relationships" r:embed="rId51"/>
        <a:srcRect b="30736"/>
        <a:stretch>
          <a:fillRect/>
        </a:stretch>
      </xdr:blipFill>
      <xdr:spPr>
        <a:xfrm>
          <a:off x="20888960" y="51723290"/>
          <a:ext cx="2029460" cy="1477010"/>
        </a:xfrm>
        <a:prstGeom prst="rect">
          <a:avLst/>
        </a:prstGeom>
        <a:noFill/>
        <a:ln w="9525">
          <a:noFill/>
        </a:ln>
      </xdr:spPr>
    </xdr:pic>
    <xdr:clientData/>
  </xdr:twoCellAnchor>
  <xdr:twoCellAnchor>
    <xdr:from>
      <xdr:col>26</xdr:col>
      <xdr:colOff>57150</xdr:colOff>
      <xdr:row>294</xdr:row>
      <xdr:rowOff>76200</xdr:rowOff>
    </xdr:from>
    <xdr:to>
      <xdr:col>27</xdr:col>
      <xdr:colOff>542925</xdr:colOff>
      <xdr:row>297</xdr:row>
      <xdr:rowOff>133350</xdr:rowOff>
    </xdr:to>
    <xdr:pic>
      <xdr:nvPicPr>
        <xdr:cNvPr id="87" name="图片 86">
          <a:extLst>
            <a:ext uri="{FF2B5EF4-FFF2-40B4-BE49-F238E27FC236}">
              <a16:creationId xmlns:a16="http://schemas.microsoft.com/office/drawing/2014/main" id="{00000000-0008-0000-0900-000057000000}"/>
            </a:ext>
          </a:extLst>
        </xdr:cNvPr>
        <xdr:cNvPicPr>
          <a:picLocks noChangeAspect="1"/>
        </xdr:cNvPicPr>
      </xdr:nvPicPr>
      <xdr:blipFill>
        <a:blip xmlns:r="http://schemas.openxmlformats.org/officeDocument/2006/relationships" r:embed="rId52" r:link="rId53">
          <a:clrChange>
            <a:clrFrom>
              <a:srgbClr val="FFFFFF"/>
            </a:clrFrom>
            <a:clrTo>
              <a:srgbClr val="FFFFFF">
                <a:alpha val="0"/>
              </a:srgbClr>
            </a:clrTo>
          </a:clrChange>
        </a:blip>
        <a:stretch>
          <a:fillRect/>
        </a:stretch>
      </xdr:blipFill>
      <xdr:spPr>
        <a:xfrm>
          <a:off x="16104870" y="52722780"/>
          <a:ext cx="1102995" cy="594360"/>
        </a:xfrm>
        <a:prstGeom prst="rect">
          <a:avLst/>
        </a:prstGeom>
        <a:solidFill>
          <a:schemeClr val="bg1"/>
        </a:solidFill>
        <a:ln w="9525">
          <a:noFill/>
        </a:ln>
      </xdr:spPr>
    </xdr:pic>
    <xdr:clientData/>
  </xdr:twoCellAnchor>
  <xdr:twoCellAnchor editAs="oneCell">
    <xdr:from>
      <xdr:col>33</xdr:col>
      <xdr:colOff>426085</xdr:colOff>
      <xdr:row>300</xdr:row>
      <xdr:rowOff>0</xdr:rowOff>
    </xdr:from>
    <xdr:to>
      <xdr:col>36</xdr:col>
      <xdr:colOff>597535</xdr:colOff>
      <xdr:row>307</xdr:row>
      <xdr:rowOff>120650</xdr:rowOff>
    </xdr:to>
    <xdr:pic>
      <xdr:nvPicPr>
        <xdr:cNvPr id="88" name="图片 87">
          <a:extLst>
            <a:ext uri="{FF2B5EF4-FFF2-40B4-BE49-F238E27FC236}">
              <a16:creationId xmlns:a16="http://schemas.microsoft.com/office/drawing/2014/main" id="{00000000-0008-0000-0900-000058000000}"/>
            </a:ext>
          </a:extLst>
        </xdr:cNvPr>
        <xdr:cNvPicPr>
          <a:picLocks noChangeAspect="1"/>
        </xdr:cNvPicPr>
      </xdr:nvPicPr>
      <xdr:blipFill>
        <a:blip xmlns:r="http://schemas.openxmlformats.org/officeDocument/2006/relationships" r:embed="rId54"/>
        <a:srcRect l="19364" t="18341" r="26301" b="26768"/>
        <a:stretch>
          <a:fillRect/>
        </a:stretch>
      </xdr:blipFill>
      <xdr:spPr>
        <a:xfrm>
          <a:off x="20888960" y="53721000"/>
          <a:ext cx="2023110" cy="1374140"/>
        </a:xfrm>
        <a:prstGeom prst="rect">
          <a:avLst/>
        </a:prstGeom>
        <a:noFill/>
        <a:ln w="9525">
          <a:noFill/>
        </a:ln>
      </xdr:spPr>
    </xdr:pic>
    <xdr:clientData/>
  </xdr:twoCellAnchor>
  <xdr:twoCellAnchor editAs="oneCell">
    <xdr:from>
      <xdr:col>33</xdr:col>
      <xdr:colOff>426085</xdr:colOff>
      <xdr:row>308</xdr:row>
      <xdr:rowOff>141605</xdr:rowOff>
    </xdr:from>
    <xdr:to>
      <xdr:col>36</xdr:col>
      <xdr:colOff>579120</xdr:colOff>
      <xdr:row>316</xdr:row>
      <xdr:rowOff>48260</xdr:rowOff>
    </xdr:to>
    <xdr:pic>
      <xdr:nvPicPr>
        <xdr:cNvPr id="89" name="图片 88">
          <a:extLst>
            <a:ext uri="{FF2B5EF4-FFF2-40B4-BE49-F238E27FC236}">
              <a16:creationId xmlns:a16="http://schemas.microsoft.com/office/drawing/2014/main" id="{00000000-0008-0000-0900-000059000000}"/>
            </a:ext>
          </a:extLst>
        </xdr:cNvPr>
        <xdr:cNvPicPr>
          <a:picLocks noChangeAspect="1"/>
        </xdr:cNvPicPr>
      </xdr:nvPicPr>
      <xdr:blipFill>
        <a:blip xmlns:r="http://schemas.openxmlformats.org/officeDocument/2006/relationships" r:embed="rId55"/>
        <a:stretch>
          <a:fillRect/>
        </a:stretch>
      </xdr:blipFill>
      <xdr:spPr>
        <a:xfrm>
          <a:off x="20888960" y="55295165"/>
          <a:ext cx="2004695" cy="1339215"/>
        </a:xfrm>
        <a:prstGeom prst="rect">
          <a:avLst/>
        </a:prstGeom>
        <a:noFill/>
        <a:ln w="9525">
          <a:noFill/>
        </a:ln>
      </xdr:spPr>
    </xdr:pic>
    <xdr:clientData/>
  </xdr:twoCellAnchor>
  <xdr:twoCellAnchor editAs="oneCell">
    <xdr:from>
      <xdr:col>34</xdr:col>
      <xdr:colOff>352425</xdr:colOff>
      <xdr:row>316</xdr:row>
      <xdr:rowOff>114300</xdr:rowOff>
    </xdr:from>
    <xdr:to>
      <xdr:col>36</xdr:col>
      <xdr:colOff>495300</xdr:colOff>
      <xdr:row>325</xdr:row>
      <xdr:rowOff>1905</xdr:rowOff>
    </xdr:to>
    <xdr:pic>
      <xdr:nvPicPr>
        <xdr:cNvPr id="90" name="图片 89">
          <a:extLst>
            <a:ext uri="{FF2B5EF4-FFF2-40B4-BE49-F238E27FC236}">
              <a16:creationId xmlns:a16="http://schemas.microsoft.com/office/drawing/2014/main" id="{00000000-0008-0000-0900-00005A000000}"/>
            </a:ext>
          </a:extLst>
        </xdr:cNvPr>
        <xdr:cNvPicPr>
          <a:picLocks noChangeAspect="1"/>
        </xdr:cNvPicPr>
      </xdr:nvPicPr>
      <xdr:blipFill>
        <a:blip xmlns:r="http://schemas.openxmlformats.org/officeDocument/2006/relationships" r:embed="rId56"/>
        <a:stretch>
          <a:fillRect/>
        </a:stretch>
      </xdr:blipFill>
      <xdr:spPr>
        <a:xfrm>
          <a:off x="21432520" y="56700420"/>
          <a:ext cx="1377315" cy="1499235"/>
        </a:xfrm>
        <a:prstGeom prst="rect">
          <a:avLst/>
        </a:prstGeom>
        <a:noFill/>
        <a:ln w="9525">
          <a:noFill/>
        </a:ln>
      </xdr:spPr>
    </xdr:pic>
    <xdr:clientData/>
  </xdr:twoCellAnchor>
  <xdr:twoCellAnchor>
    <xdr:from>
      <xdr:col>31</xdr:col>
      <xdr:colOff>495300</xdr:colOff>
      <xdr:row>326</xdr:row>
      <xdr:rowOff>81915</xdr:rowOff>
    </xdr:from>
    <xdr:to>
      <xdr:col>35</xdr:col>
      <xdr:colOff>363220</xdr:colOff>
      <xdr:row>332</xdr:row>
      <xdr:rowOff>140970</xdr:rowOff>
    </xdr:to>
    <xdr:pic>
      <xdr:nvPicPr>
        <xdr:cNvPr id="91" name="图片 90">
          <a:extLst>
            <a:ext uri="{FF2B5EF4-FFF2-40B4-BE49-F238E27FC236}">
              <a16:creationId xmlns:a16="http://schemas.microsoft.com/office/drawing/2014/main" id="{00000000-0008-0000-0900-00005B000000}"/>
            </a:ext>
          </a:extLst>
        </xdr:cNvPr>
        <xdr:cNvPicPr>
          <a:picLocks noChangeAspect="1"/>
        </xdr:cNvPicPr>
      </xdr:nvPicPr>
      <xdr:blipFill>
        <a:blip xmlns:r="http://schemas.openxmlformats.org/officeDocument/2006/relationships" r:embed="rId57" r:link="rId53">
          <a:clrChange>
            <a:clrFrom>
              <a:srgbClr val="FFFFFF"/>
            </a:clrFrom>
            <a:clrTo>
              <a:srgbClr val="FFFFFF">
                <a:alpha val="0"/>
              </a:srgbClr>
            </a:clrTo>
          </a:clrChange>
        </a:blip>
        <a:stretch>
          <a:fillRect/>
        </a:stretch>
      </xdr:blipFill>
      <xdr:spPr>
        <a:xfrm>
          <a:off x="19629120" y="58458735"/>
          <a:ext cx="2431415" cy="1133475"/>
        </a:xfrm>
        <a:prstGeom prst="rect">
          <a:avLst/>
        </a:prstGeom>
        <a:solidFill>
          <a:schemeClr val="bg1"/>
        </a:solidFill>
        <a:ln w="9525">
          <a:noFill/>
        </a:ln>
      </xdr:spPr>
    </xdr:pic>
    <xdr:clientData/>
  </xdr:twoCellAnchor>
  <xdr:twoCellAnchor>
    <xdr:from>
      <xdr:col>15</xdr:col>
      <xdr:colOff>320040</xdr:colOff>
      <xdr:row>369</xdr:row>
      <xdr:rowOff>113030</xdr:rowOff>
    </xdr:from>
    <xdr:to>
      <xdr:col>18</xdr:col>
      <xdr:colOff>424180</xdr:colOff>
      <xdr:row>380</xdr:row>
      <xdr:rowOff>19685</xdr:rowOff>
    </xdr:to>
    <xdr:pic>
      <xdr:nvPicPr>
        <xdr:cNvPr id="30" name="图片 3">
          <a:extLst>
            <a:ext uri="{FF2B5EF4-FFF2-40B4-BE49-F238E27FC236}">
              <a16:creationId xmlns:a16="http://schemas.microsoft.com/office/drawing/2014/main" id="{00000000-0008-0000-0900-00001E000000}"/>
            </a:ext>
          </a:extLst>
        </xdr:cNvPr>
        <xdr:cNvPicPr>
          <a:picLocks noChangeAspect="1"/>
        </xdr:cNvPicPr>
      </xdr:nvPicPr>
      <xdr:blipFill>
        <a:blip xmlns:r="http://schemas.openxmlformats.org/officeDocument/2006/relationships" r:embed="rId58"/>
        <a:srcRect/>
        <a:stretch>
          <a:fillRect/>
        </a:stretch>
      </xdr:blipFill>
      <xdr:spPr>
        <a:xfrm>
          <a:off x="9578340" y="66189860"/>
          <a:ext cx="1955800" cy="1876425"/>
        </a:xfrm>
        <a:prstGeom prst="rect">
          <a:avLst/>
        </a:prstGeom>
        <a:noFill/>
        <a:ln>
          <a:noFill/>
        </a:ln>
      </xdr:spPr>
    </xdr:pic>
    <xdr:clientData/>
  </xdr:twoCellAnchor>
  <xdr:twoCellAnchor>
    <xdr:from>
      <xdr:col>12</xdr:col>
      <xdr:colOff>170815</xdr:colOff>
      <xdr:row>372</xdr:row>
      <xdr:rowOff>31115</xdr:rowOff>
    </xdr:from>
    <xdr:to>
      <xdr:col>15</xdr:col>
      <xdr:colOff>334645</xdr:colOff>
      <xdr:row>380</xdr:row>
      <xdr:rowOff>13970</xdr:rowOff>
    </xdr:to>
    <xdr:pic>
      <xdr:nvPicPr>
        <xdr:cNvPr id="31" name="图片 20" descr="判定半径">
          <a:extLst>
            <a:ext uri="{FF2B5EF4-FFF2-40B4-BE49-F238E27FC236}">
              <a16:creationId xmlns:a16="http://schemas.microsoft.com/office/drawing/2014/main" id="{00000000-0008-0000-0900-00001F000000}"/>
            </a:ext>
          </a:extLst>
        </xdr:cNvPr>
        <xdr:cNvPicPr>
          <a:picLocks noChangeAspect="1"/>
        </xdr:cNvPicPr>
      </xdr:nvPicPr>
      <xdr:blipFill>
        <a:blip xmlns:r="http://schemas.openxmlformats.org/officeDocument/2006/relationships" r:embed="rId59"/>
        <a:stretch>
          <a:fillRect/>
        </a:stretch>
      </xdr:blipFill>
      <xdr:spPr>
        <a:xfrm>
          <a:off x="7577455" y="66645155"/>
          <a:ext cx="2015490" cy="1415415"/>
        </a:xfrm>
        <a:prstGeom prst="rect">
          <a:avLst/>
        </a:prstGeom>
      </xdr:spPr>
    </xdr:pic>
    <xdr:clientData/>
  </xdr:twoCellAnchor>
  <xdr:twoCellAnchor>
    <xdr:from>
      <xdr:col>14</xdr:col>
      <xdr:colOff>628650</xdr:colOff>
      <xdr:row>382</xdr:row>
      <xdr:rowOff>27305</xdr:rowOff>
    </xdr:from>
    <xdr:to>
      <xdr:col>18</xdr:col>
      <xdr:colOff>424180</xdr:colOff>
      <xdr:row>391</xdr:row>
      <xdr:rowOff>170180</xdr:rowOff>
    </xdr:to>
    <xdr:pic>
      <xdr:nvPicPr>
        <xdr:cNvPr id="32" name="图片 21" descr="距离削减实验">
          <a:extLst>
            <a:ext uri="{FF2B5EF4-FFF2-40B4-BE49-F238E27FC236}">
              <a16:creationId xmlns:a16="http://schemas.microsoft.com/office/drawing/2014/main" id="{00000000-0008-0000-0900-000020000000}"/>
            </a:ext>
          </a:extLst>
        </xdr:cNvPr>
        <xdr:cNvPicPr>
          <a:picLocks noChangeAspect="1"/>
        </xdr:cNvPicPr>
      </xdr:nvPicPr>
      <xdr:blipFill>
        <a:blip xmlns:r="http://schemas.openxmlformats.org/officeDocument/2006/relationships" r:embed="rId60"/>
        <a:stretch>
          <a:fillRect/>
        </a:stretch>
      </xdr:blipFill>
      <xdr:spPr>
        <a:xfrm>
          <a:off x="9258300" y="68432045"/>
          <a:ext cx="2275840" cy="1754505"/>
        </a:xfrm>
        <a:prstGeom prst="rect">
          <a:avLst/>
        </a:prstGeom>
      </xdr:spPr>
    </xdr:pic>
    <xdr:clientData/>
  </xdr:twoCellAnchor>
  <xdr:twoCellAnchor>
    <xdr:from>
      <xdr:col>14</xdr:col>
      <xdr:colOff>621665</xdr:colOff>
      <xdr:row>393</xdr:row>
      <xdr:rowOff>27305</xdr:rowOff>
    </xdr:from>
    <xdr:to>
      <xdr:col>18</xdr:col>
      <xdr:colOff>424180</xdr:colOff>
      <xdr:row>403</xdr:row>
      <xdr:rowOff>115570</xdr:rowOff>
    </xdr:to>
    <xdr:pic>
      <xdr:nvPicPr>
        <xdr:cNvPr id="46" name="图片 6">
          <a:extLst>
            <a:ext uri="{FF2B5EF4-FFF2-40B4-BE49-F238E27FC236}">
              <a16:creationId xmlns:a16="http://schemas.microsoft.com/office/drawing/2014/main" id="{00000000-0008-0000-0900-00002E000000}"/>
            </a:ext>
          </a:extLst>
        </xdr:cNvPr>
        <xdr:cNvPicPr>
          <a:picLocks noChangeAspect="1"/>
        </xdr:cNvPicPr>
      </xdr:nvPicPr>
      <xdr:blipFill>
        <a:blip xmlns:r="http://schemas.openxmlformats.org/officeDocument/2006/relationships" r:embed="rId61"/>
        <a:stretch>
          <a:fillRect/>
        </a:stretch>
      </xdr:blipFill>
      <xdr:spPr>
        <a:xfrm>
          <a:off x="9258300" y="70401815"/>
          <a:ext cx="2275840" cy="1878965"/>
        </a:xfrm>
        <a:prstGeom prst="rect">
          <a:avLst/>
        </a:prstGeom>
        <a:noFill/>
        <a:ln>
          <a:noFill/>
        </a:ln>
      </xdr:spPr>
    </xdr:pic>
    <xdr:clientData/>
  </xdr:twoCellAnchor>
  <xdr:twoCellAnchor>
    <xdr:from>
      <xdr:col>13</xdr:col>
      <xdr:colOff>18415</xdr:colOff>
      <xdr:row>398</xdr:row>
      <xdr:rowOff>92075</xdr:rowOff>
    </xdr:from>
    <xdr:to>
      <xdr:col>14</xdr:col>
      <xdr:colOff>663575</xdr:colOff>
      <xdr:row>403</xdr:row>
      <xdr:rowOff>114300</xdr:rowOff>
    </xdr:to>
    <xdr:pic>
      <xdr:nvPicPr>
        <xdr:cNvPr id="48" name="图片 47">
          <a:extLst>
            <a:ext uri="{FF2B5EF4-FFF2-40B4-BE49-F238E27FC236}">
              <a16:creationId xmlns:a16="http://schemas.microsoft.com/office/drawing/2014/main" id="{00000000-0008-0000-0900-000030000000}"/>
            </a:ext>
          </a:extLst>
        </xdr:cNvPr>
        <xdr:cNvPicPr>
          <a:picLocks noChangeAspect="1"/>
        </xdr:cNvPicPr>
      </xdr:nvPicPr>
      <xdr:blipFill>
        <a:blip xmlns:r="http://schemas.openxmlformats.org/officeDocument/2006/relationships" r:embed="rId62"/>
        <a:stretch>
          <a:fillRect/>
        </a:stretch>
      </xdr:blipFill>
      <xdr:spPr>
        <a:xfrm>
          <a:off x="8042275" y="71361935"/>
          <a:ext cx="1216025" cy="917575"/>
        </a:xfrm>
        <a:prstGeom prst="rect">
          <a:avLst/>
        </a:prstGeom>
        <a:noFill/>
        <a:ln>
          <a:noFill/>
        </a:ln>
      </xdr:spPr>
    </xdr:pic>
    <xdr:clientData/>
  </xdr:twoCellAnchor>
  <xdr:twoCellAnchor>
    <xdr:from>
      <xdr:col>12</xdr:col>
      <xdr:colOff>59055</xdr:colOff>
      <xdr:row>407</xdr:row>
      <xdr:rowOff>113030</xdr:rowOff>
    </xdr:from>
    <xdr:to>
      <xdr:col>18</xdr:col>
      <xdr:colOff>424180</xdr:colOff>
      <xdr:row>417</xdr:row>
      <xdr:rowOff>10795</xdr:rowOff>
    </xdr:to>
    <xdr:pic>
      <xdr:nvPicPr>
        <xdr:cNvPr id="49" name="图片 22" descr="不开墙的情况">
          <a:extLst>
            <a:ext uri="{FF2B5EF4-FFF2-40B4-BE49-F238E27FC236}">
              <a16:creationId xmlns:a16="http://schemas.microsoft.com/office/drawing/2014/main" id="{00000000-0008-0000-0900-000031000000}"/>
            </a:ext>
          </a:extLst>
        </xdr:cNvPr>
        <xdr:cNvPicPr>
          <a:picLocks noChangeAspect="1"/>
        </xdr:cNvPicPr>
      </xdr:nvPicPr>
      <xdr:blipFill>
        <a:blip xmlns:r="http://schemas.openxmlformats.org/officeDocument/2006/relationships" r:embed="rId63"/>
        <a:srcRect/>
        <a:stretch>
          <a:fillRect/>
        </a:stretch>
      </xdr:blipFill>
      <xdr:spPr>
        <a:xfrm>
          <a:off x="7465695" y="72994520"/>
          <a:ext cx="4068445" cy="1688465"/>
        </a:xfrm>
        <a:prstGeom prst="rect">
          <a:avLst/>
        </a:prstGeom>
      </xdr:spPr>
    </xdr:pic>
    <xdr:clientData/>
  </xdr:twoCellAnchor>
  <xdr:twoCellAnchor>
    <xdr:from>
      <xdr:col>14</xdr:col>
      <xdr:colOff>314960</xdr:colOff>
      <xdr:row>419</xdr:row>
      <xdr:rowOff>65405</xdr:rowOff>
    </xdr:from>
    <xdr:to>
      <xdr:col>18</xdr:col>
      <xdr:colOff>424180</xdr:colOff>
      <xdr:row>428</xdr:row>
      <xdr:rowOff>103505</xdr:rowOff>
    </xdr:to>
    <xdr:pic>
      <xdr:nvPicPr>
        <xdr:cNvPr id="51" name="图片 9">
          <a:extLst>
            <a:ext uri="{FF2B5EF4-FFF2-40B4-BE49-F238E27FC236}">
              <a16:creationId xmlns:a16="http://schemas.microsoft.com/office/drawing/2014/main" id="{00000000-0008-0000-0900-000033000000}"/>
            </a:ext>
          </a:extLst>
        </xdr:cNvPr>
        <xdr:cNvPicPr>
          <a:picLocks noChangeAspect="1"/>
        </xdr:cNvPicPr>
      </xdr:nvPicPr>
      <xdr:blipFill>
        <a:blip xmlns:r="http://schemas.openxmlformats.org/officeDocument/2006/relationships" r:embed="rId64"/>
        <a:stretch>
          <a:fillRect/>
        </a:stretch>
      </xdr:blipFill>
      <xdr:spPr>
        <a:xfrm>
          <a:off x="8956040" y="75095735"/>
          <a:ext cx="2578100" cy="1649730"/>
        </a:xfrm>
        <a:prstGeom prst="rect">
          <a:avLst/>
        </a:prstGeom>
        <a:noFill/>
        <a:ln>
          <a:noFill/>
        </a:ln>
      </xdr:spPr>
    </xdr:pic>
    <xdr:clientData/>
  </xdr:twoCellAnchor>
  <xdr:twoCellAnchor editAs="oneCell">
    <xdr:from>
      <xdr:col>24</xdr:col>
      <xdr:colOff>228600</xdr:colOff>
      <xdr:row>350</xdr:row>
      <xdr:rowOff>141605</xdr:rowOff>
    </xdr:from>
    <xdr:to>
      <xdr:col>33</xdr:col>
      <xdr:colOff>581660</xdr:colOff>
      <xdr:row>365</xdr:row>
      <xdr:rowOff>36195</xdr:rowOff>
    </xdr:to>
    <xdr:pic>
      <xdr:nvPicPr>
        <xdr:cNvPr id="52" name="图片 51" descr="Invisibility04隐形西瓜投手和韩大狗">
          <a:extLst>
            <a:ext uri="{FF2B5EF4-FFF2-40B4-BE49-F238E27FC236}">
              <a16:creationId xmlns:a16="http://schemas.microsoft.com/office/drawing/2014/main" id="{00000000-0008-0000-0900-000034000000}"/>
            </a:ext>
          </a:extLst>
        </xdr:cNvPr>
        <xdr:cNvPicPr>
          <a:picLocks noChangeAspect="1"/>
        </xdr:cNvPicPr>
      </xdr:nvPicPr>
      <xdr:blipFill>
        <a:blip xmlns:r="http://schemas.openxmlformats.org/officeDocument/2006/relationships" r:embed="rId65"/>
        <a:stretch>
          <a:fillRect/>
        </a:stretch>
      </xdr:blipFill>
      <xdr:spPr>
        <a:xfrm>
          <a:off x="15041880" y="62816105"/>
          <a:ext cx="6002655" cy="2580640"/>
        </a:xfrm>
        <a:prstGeom prst="rect">
          <a:avLst/>
        </a:prstGeom>
      </xdr:spPr>
    </xdr:pic>
    <xdr:clientData/>
  </xdr:twoCellAnchor>
  <xdr:twoCellAnchor editAs="oneCell">
    <xdr:from>
      <xdr:col>24</xdr:col>
      <xdr:colOff>238125</xdr:colOff>
      <xdr:row>368</xdr:row>
      <xdr:rowOff>38100</xdr:rowOff>
    </xdr:from>
    <xdr:to>
      <xdr:col>33</xdr:col>
      <xdr:colOff>398780</xdr:colOff>
      <xdr:row>382</xdr:row>
      <xdr:rowOff>56515</xdr:rowOff>
    </xdr:to>
    <xdr:pic>
      <xdr:nvPicPr>
        <xdr:cNvPr id="53" name="图片 52" descr="Invisibility05隐形城墙和攻城载具">
          <a:extLst>
            <a:ext uri="{FF2B5EF4-FFF2-40B4-BE49-F238E27FC236}">
              <a16:creationId xmlns:a16="http://schemas.microsoft.com/office/drawing/2014/main" id="{00000000-0008-0000-0900-000035000000}"/>
            </a:ext>
          </a:extLst>
        </xdr:cNvPr>
        <xdr:cNvPicPr>
          <a:picLocks noChangeAspect="1"/>
        </xdr:cNvPicPr>
      </xdr:nvPicPr>
      <xdr:blipFill>
        <a:blip xmlns:r="http://schemas.openxmlformats.org/officeDocument/2006/relationships" r:embed="rId66"/>
        <a:stretch>
          <a:fillRect/>
        </a:stretch>
      </xdr:blipFill>
      <xdr:spPr>
        <a:xfrm>
          <a:off x="15051405" y="65935860"/>
          <a:ext cx="5810250" cy="2525395"/>
        </a:xfrm>
        <a:prstGeom prst="rect">
          <a:avLst/>
        </a:prstGeom>
      </xdr:spPr>
    </xdr:pic>
    <xdr:clientData/>
  </xdr:twoCellAnchor>
  <xdr:twoCellAnchor editAs="oneCell">
    <xdr:from>
      <xdr:col>30</xdr:col>
      <xdr:colOff>485776</xdr:colOff>
      <xdr:row>399</xdr:row>
      <xdr:rowOff>161926</xdr:rowOff>
    </xdr:from>
    <xdr:to>
      <xdr:col>33</xdr:col>
      <xdr:colOff>590550</xdr:colOff>
      <xdr:row>410</xdr:row>
      <xdr:rowOff>117652</xdr:rowOff>
    </xdr:to>
    <xdr:pic>
      <xdr:nvPicPr>
        <xdr:cNvPr id="71" name="图片 70">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67" cstate="email"/>
        <a:srcRect/>
        <a:stretch>
          <a:fillRect/>
        </a:stretch>
      </xdr:blipFill>
      <xdr:spPr>
        <a:xfrm>
          <a:off x="19002375" y="71610855"/>
          <a:ext cx="2051050" cy="1925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590551</xdr:colOff>
      <xdr:row>414</xdr:row>
      <xdr:rowOff>95251</xdr:rowOff>
    </xdr:from>
    <xdr:to>
      <xdr:col>34</xdr:col>
      <xdr:colOff>0</xdr:colOff>
      <xdr:row>427</xdr:row>
      <xdr:rowOff>68581</xdr:rowOff>
    </xdr:to>
    <xdr:pic>
      <xdr:nvPicPr>
        <xdr:cNvPr id="72" name="图片 71">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68" cstate="email"/>
        <a:srcRect/>
        <a:stretch>
          <a:fillRect/>
        </a:stretch>
      </xdr:blipFill>
      <xdr:spPr>
        <a:xfrm>
          <a:off x="18489930" y="74230230"/>
          <a:ext cx="2590165" cy="2301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631762</xdr:colOff>
      <xdr:row>436</xdr:row>
      <xdr:rowOff>87474</xdr:rowOff>
    </xdr:from>
    <xdr:to>
      <xdr:col>34</xdr:col>
      <xdr:colOff>29158</xdr:colOff>
      <xdr:row>448</xdr:row>
      <xdr:rowOff>78075</xdr:rowOff>
    </xdr:to>
    <xdr:pic>
      <xdr:nvPicPr>
        <xdr:cNvPr id="73" name="图片 72">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69" cstate="email"/>
        <a:srcRect/>
        <a:stretch>
          <a:fillRect/>
        </a:stretch>
      </xdr:blipFill>
      <xdr:spPr>
        <a:xfrm>
          <a:off x="16664940" y="78161515"/>
          <a:ext cx="4443730" cy="2139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260350</xdr:colOff>
      <xdr:row>464</xdr:row>
      <xdr:rowOff>41910</xdr:rowOff>
    </xdr:from>
    <xdr:to>
      <xdr:col>31</xdr:col>
      <xdr:colOff>171450</xdr:colOff>
      <xdr:row>471</xdr:row>
      <xdr:rowOff>61595</xdr:rowOff>
    </xdr:to>
    <xdr:pic>
      <xdr:nvPicPr>
        <xdr:cNvPr id="54" name="图片 53" descr="武德充沛">
          <a:extLst>
            <a:ext uri="{FF2B5EF4-FFF2-40B4-BE49-F238E27FC236}">
              <a16:creationId xmlns:a16="http://schemas.microsoft.com/office/drawing/2014/main" id="{00000000-0008-0000-0900-000036000000}"/>
            </a:ext>
          </a:extLst>
        </xdr:cNvPr>
        <xdr:cNvPicPr>
          <a:picLocks noChangeAspect="1"/>
        </xdr:cNvPicPr>
      </xdr:nvPicPr>
      <xdr:blipFill>
        <a:blip xmlns:r="http://schemas.openxmlformats.org/officeDocument/2006/relationships" r:embed="rId70"/>
        <a:stretch>
          <a:fillRect/>
        </a:stretch>
      </xdr:blipFill>
      <xdr:spPr>
        <a:xfrm>
          <a:off x="17542510" y="83130390"/>
          <a:ext cx="1762760" cy="1273175"/>
        </a:xfrm>
        <a:prstGeom prst="rect">
          <a:avLst/>
        </a:prstGeom>
      </xdr:spPr>
    </xdr:pic>
    <xdr:clientData/>
  </xdr:twoCellAnchor>
  <xdr:twoCellAnchor editAs="oneCell">
    <xdr:from>
      <xdr:col>31</xdr:col>
      <xdr:colOff>333375</xdr:colOff>
      <xdr:row>463</xdr:row>
      <xdr:rowOff>172085</xdr:rowOff>
    </xdr:from>
    <xdr:to>
      <xdr:col>36</xdr:col>
      <xdr:colOff>0</xdr:colOff>
      <xdr:row>471</xdr:row>
      <xdr:rowOff>78105</xdr:rowOff>
    </xdr:to>
    <xdr:pic>
      <xdr:nvPicPr>
        <xdr:cNvPr id="55" name="图片 54" descr="固定五秒">
          <a:extLst>
            <a:ext uri="{FF2B5EF4-FFF2-40B4-BE49-F238E27FC236}">
              <a16:creationId xmlns:a16="http://schemas.microsoft.com/office/drawing/2014/main" id="{00000000-0008-0000-0900-000037000000}"/>
            </a:ext>
          </a:extLst>
        </xdr:cNvPr>
        <xdr:cNvPicPr>
          <a:picLocks noChangeAspect="1"/>
        </xdr:cNvPicPr>
      </xdr:nvPicPr>
      <xdr:blipFill>
        <a:blip xmlns:r="http://schemas.openxmlformats.org/officeDocument/2006/relationships" r:embed="rId71"/>
        <a:stretch>
          <a:fillRect/>
        </a:stretch>
      </xdr:blipFill>
      <xdr:spPr>
        <a:xfrm>
          <a:off x="19467195" y="83081495"/>
          <a:ext cx="2847340" cy="1338580"/>
        </a:xfrm>
        <a:prstGeom prst="rect">
          <a:avLst/>
        </a:prstGeom>
      </xdr:spPr>
    </xdr:pic>
    <xdr:clientData/>
  </xdr:twoCellAnchor>
  <xdr:twoCellAnchor editAs="oneCell">
    <xdr:from>
      <xdr:col>34</xdr:col>
      <xdr:colOff>27940</xdr:colOff>
      <xdr:row>483</xdr:row>
      <xdr:rowOff>174625</xdr:rowOff>
    </xdr:from>
    <xdr:to>
      <xdr:col>37</xdr:col>
      <xdr:colOff>62865</xdr:colOff>
      <xdr:row>492</xdr:row>
      <xdr:rowOff>102870</xdr:rowOff>
    </xdr:to>
    <xdr:pic>
      <xdr:nvPicPr>
        <xdr:cNvPr id="56" name="图片 55" descr="群体实验">
          <a:extLst>
            <a:ext uri="{FF2B5EF4-FFF2-40B4-BE49-F238E27FC236}">
              <a16:creationId xmlns:a16="http://schemas.microsoft.com/office/drawing/2014/main" id="{00000000-0008-0000-0900-000038000000}"/>
            </a:ext>
          </a:extLst>
        </xdr:cNvPr>
        <xdr:cNvPicPr>
          <a:picLocks noChangeAspect="1"/>
        </xdr:cNvPicPr>
      </xdr:nvPicPr>
      <xdr:blipFill>
        <a:blip xmlns:r="http://schemas.openxmlformats.org/officeDocument/2006/relationships" r:embed="rId72"/>
        <a:stretch>
          <a:fillRect/>
        </a:stretch>
      </xdr:blipFill>
      <xdr:spPr>
        <a:xfrm>
          <a:off x="21108035" y="86665435"/>
          <a:ext cx="1886585" cy="1539875"/>
        </a:xfrm>
        <a:prstGeom prst="rect">
          <a:avLst/>
        </a:prstGeom>
      </xdr:spPr>
    </xdr:pic>
    <xdr:clientData/>
  </xdr:twoCellAnchor>
  <xdr:twoCellAnchor editAs="oneCell">
    <xdr:from>
      <xdr:col>33</xdr:col>
      <xdr:colOff>464185</xdr:colOff>
      <xdr:row>498</xdr:row>
      <xdr:rowOff>88900</xdr:rowOff>
    </xdr:from>
    <xdr:to>
      <xdr:col>37</xdr:col>
      <xdr:colOff>109220</xdr:colOff>
      <xdr:row>509</xdr:row>
      <xdr:rowOff>44450</xdr:rowOff>
    </xdr:to>
    <xdr:pic>
      <xdr:nvPicPr>
        <xdr:cNvPr id="59" name="图片 58" descr="混搭实验">
          <a:extLst>
            <a:ext uri="{FF2B5EF4-FFF2-40B4-BE49-F238E27FC236}">
              <a16:creationId xmlns:a16="http://schemas.microsoft.com/office/drawing/2014/main" id="{00000000-0008-0000-0900-00003B000000}"/>
            </a:ext>
          </a:extLst>
        </xdr:cNvPr>
        <xdr:cNvPicPr>
          <a:picLocks noChangeAspect="1"/>
        </xdr:cNvPicPr>
      </xdr:nvPicPr>
      <xdr:blipFill>
        <a:blip xmlns:r="http://schemas.openxmlformats.org/officeDocument/2006/relationships" r:embed="rId73"/>
        <a:stretch>
          <a:fillRect/>
        </a:stretch>
      </xdr:blipFill>
      <xdr:spPr>
        <a:xfrm>
          <a:off x="20927060" y="89265760"/>
          <a:ext cx="2113915" cy="1925320"/>
        </a:xfrm>
        <a:prstGeom prst="rect">
          <a:avLst/>
        </a:prstGeom>
      </xdr:spPr>
    </xdr:pic>
    <xdr:clientData/>
  </xdr:twoCellAnchor>
  <xdr:twoCellAnchor editAs="oneCell">
    <xdr:from>
      <xdr:col>14</xdr:col>
      <xdr:colOff>401955</xdr:colOff>
      <xdr:row>439</xdr:row>
      <xdr:rowOff>86995</xdr:rowOff>
    </xdr:from>
    <xdr:to>
      <xdr:col>18</xdr:col>
      <xdr:colOff>79375</xdr:colOff>
      <xdr:row>449</xdr:row>
      <xdr:rowOff>48895</xdr:rowOff>
    </xdr:to>
    <xdr:pic>
      <xdr:nvPicPr>
        <xdr:cNvPr id="61" name="图片 60" descr="C:/Users/qhj08/AppData/Local/Temp/picturecompress_20210725195551/output_2.pngoutput_2">
          <a:extLst>
            <a:ext uri="{FF2B5EF4-FFF2-40B4-BE49-F238E27FC236}">
              <a16:creationId xmlns:a16="http://schemas.microsoft.com/office/drawing/2014/main" id="{00000000-0008-0000-0900-00003D000000}"/>
            </a:ext>
          </a:extLst>
        </xdr:cNvPr>
        <xdr:cNvPicPr>
          <a:picLocks noChangeAspect="1"/>
        </xdr:cNvPicPr>
      </xdr:nvPicPr>
      <xdr:blipFill>
        <a:blip xmlns:r="http://schemas.openxmlformats.org/officeDocument/2006/relationships" r:embed="rId74"/>
        <a:stretch>
          <a:fillRect/>
        </a:stretch>
      </xdr:blipFill>
      <xdr:spPr>
        <a:xfrm>
          <a:off x="9043035" y="78698725"/>
          <a:ext cx="2146300" cy="1752600"/>
        </a:xfrm>
        <a:prstGeom prst="rect">
          <a:avLst/>
        </a:prstGeom>
        <a:noFill/>
        <a:ln w="9525">
          <a:noFill/>
        </a:ln>
      </xdr:spPr>
    </xdr:pic>
    <xdr:clientData/>
  </xdr:twoCellAnchor>
  <xdr:twoCellAnchor editAs="oneCell">
    <xdr:from>
      <xdr:col>7</xdr:col>
      <xdr:colOff>471170</xdr:colOff>
      <xdr:row>456</xdr:row>
      <xdr:rowOff>82550</xdr:rowOff>
    </xdr:from>
    <xdr:to>
      <xdr:col>18</xdr:col>
      <xdr:colOff>110490</xdr:colOff>
      <xdr:row>479</xdr:row>
      <xdr:rowOff>41275</xdr:rowOff>
    </xdr:to>
    <xdr:pic>
      <xdr:nvPicPr>
        <xdr:cNvPr id="62" name="图片 61" descr="C:/Users/qhj08/AppData/Local/Temp/picturecompress_20210725195551/output_1.jpgoutput_1">
          <a:extLst>
            <a:ext uri="{FF2B5EF4-FFF2-40B4-BE49-F238E27FC236}">
              <a16:creationId xmlns:a16="http://schemas.microsoft.com/office/drawing/2014/main" id="{00000000-0008-0000-0900-00003E000000}"/>
            </a:ext>
          </a:extLst>
        </xdr:cNvPr>
        <xdr:cNvPicPr>
          <a:picLocks noChangeAspect="1"/>
        </xdr:cNvPicPr>
      </xdr:nvPicPr>
      <xdr:blipFill>
        <a:blip xmlns:r="http://schemas.openxmlformats.org/officeDocument/2006/relationships" r:embed="rId75"/>
        <a:stretch>
          <a:fillRect/>
        </a:stretch>
      </xdr:blipFill>
      <xdr:spPr>
        <a:xfrm>
          <a:off x="4791710" y="81738470"/>
          <a:ext cx="6428740" cy="40773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66</xdr:col>
      <xdr:colOff>96520</xdr:colOff>
      <xdr:row>104</xdr:row>
      <xdr:rowOff>29210</xdr:rowOff>
    </xdr:from>
    <xdr:to>
      <xdr:col>67</xdr:col>
      <xdr:colOff>640081</xdr:colOff>
      <xdr:row>109</xdr:row>
      <xdr:rowOff>69850</xdr:rowOff>
    </xdr:to>
    <xdr:pic>
      <xdr:nvPicPr>
        <xdr:cNvPr id="2" name="图片 1" descr="皇家山羊">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40867330" y="19077305"/>
          <a:ext cx="1186815" cy="955040"/>
        </a:xfrm>
        <a:prstGeom prst="rect">
          <a:avLst/>
        </a:prstGeom>
      </xdr:spPr>
    </xdr:pic>
    <xdr:clientData/>
  </xdr:twoCellAnchor>
  <xdr:twoCellAnchor editAs="oneCell">
    <xdr:from>
      <xdr:col>66</xdr:col>
      <xdr:colOff>108585</xdr:colOff>
      <xdr:row>119</xdr:row>
      <xdr:rowOff>113665</xdr:rowOff>
    </xdr:from>
    <xdr:to>
      <xdr:col>67</xdr:col>
      <xdr:colOff>616586</xdr:colOff>
      <xdr:row>124</xdr:row>
      <xdr:rowOff>127000</xdr:rowOff>
    </xdr:to>
    <xdr:pic>
      <xdr:nvPicPr>
        <xdr:cNvPr id="3" name="图片 2" descr="派对法师">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40879395" y="21904960"/>
          <a:ext cx="1151255" cy="927735"/>
        </a:xfrm>
        <a:prstGeom prst="rect">
          <a:avLst/>
        </a:prstGeom>
      </xdr:spPr>
    </xdr:pic>
    <xdr:clientData/>
  </xdr:twoCellAnchor>
  <xdr:twoCellAnchor editAs="oneCell">
    <xdr:from>
      <xdr:col>4</xdr:col>
      <xdr:colOff>664210</xdr:colOff>
      <xdr:row>27</xdr:row>
      <xdr:rowOff>56515</xdr:rowOff>
    </xdr:from>
    <xdr:to>
      <xdr:col>6</xdr:col>
      <xdr:colOff>5844</xdr:colOff>
      <xdr:row>31</xdr:row>
      <xdr:rowOff>153670</xdr:rowOff>
    </xdr:to>
    <xdr:pic>
      <xdr:nvPicPr>
        <xdr:cNvPr id="4" name="图片 3" descr="图层 14">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3086100" y="5013325"/>
          <a:ext cx="622935" cy="828675"/>
        </a:xfrm>
        <a:prstGeom prst="rect">
          <a:avLst/>
        </a:prstGeom>
      </xdr:spPr>
    </xdr:pic>
    <xdr:clientData/>
  </xdr:twoCellAnchor>
  <xdr:twoCellAnchor editAs="oneCell">
    <xdr:from>
      <xdr:col>4</xdr:col>
      <xdr:colOff>618490</xdr:colOff>
      <xdr:row>49</xdr:row>
      <xdr:rowOff>7620</xdr:rowOff>
    </xdr:from>
    <xdr:to>
      <xdr:col>6</xdr:col>
      <xdr:colOff>27305</xdr:colOff>
      <xdr:row>54</xdr:row>
      <xdr:rowOff>216</xdr:rowOff>
    </xdr:to>
    <xdr:pic>
      <xdr:nvPicPr>
        <xdr:cNvPr id="5" name="图片 4" descr="图层 15">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4"/>
        <a:stretch>
          <a:fillRect/>
        </a:stretch>
      </xdr:blipFill>
      <xdr:spPr>
        <a:xfrm>
          <a:off x="3086100" y="8987790"/>
          <a:ext cx="644525" cy="906780"/>
        </a:xfrm>
        <a:prstGeom prst="rect">
          <a:avLst/>
        </a:prstGeom>
      </xdr:spPr>
    </xdr:pic>
    <xdr:clientData/>
  </xdr:twoCellAnchor>
  <xdr:twoCellAnchor editAs="oneCell">
    <xdr:from>
      <xdr:col>8</xdr:col>
      <xdr:colOff>622300</xdr:colOff>
      <xdr:row>48</xdr:row>
      <xdr:rowOff>158115</xdr:rowOff>
    </xdr:from>
    <xdr:to>
      <xdr:col>10</xdr:col>
      <xdr:colOff>37465</xdr:colOff>
      <xdr:row>53</xdr:row>
      <xdr:rowOff>149225</xdr:rowOff>
    </xdr:to>
    <xdr:pic>
      <xdr:nvPicPr>
        <xdr:cNvPr id="6" name="图片 5" descr="图层 16">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5"/>
        <a:stretch>
          <a:fillRect/>
        </a:stretch>
      </xdr:blipFill>
      <xdr:spPr>
        <a:xfrm>
          <a:off x="5554980" y="8955405"/>
          <a:ext cx="654685" cy="905510"/>
        </a:xfrm>
        <a:prstGeom prst="rect">
          <a:avLst/>
        </a:prstGeom>
      </xdr:spPr>
    </xdr:pic>
    <xdr:clientData/>
  </xdr:twoCellAnchor>
  <xdr:twoCellAnchor editAs="oneCell">
    <xdr:from>
      <xdr:col>12</xdr:col>
      <xdr:colOff>658495</xdr:colOff>
      <xdr:row>49</xdr:row>
      <xdr:rowOff>0</xdr:rowOff>
    </xdr:from>
    <xdr:to>
      <xdr:col>14</xdr:col>
      <xdr:colOff>67310</xdr:colOff>
      <xdr:row>53</xdr:row>
      <xdr:rowOff>172085</xdr:rowOff>
    </xdr:to>
    <xdr:pic>
      <xdr:nvPicPr>
        <xdr:cNvPr id="7" name="图片 6" descr="图层 17">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6"/>
        <a:stretch>
          <a:fillRect/>
        </a:stretch>
      </xdr:blipFill>
      <xdr:spPr>
        <a:xfrm>
          <a:off x="8023860" y="8980170"/>
          <a:ext cx="684530" cy="903605"/>
        </a:xfrm>
        <a:prstGeom prst="rect">
          <a:avLst/>
        </a:prstGeom>
      </xdr:spPr>
    </xdr:pic>
    <xdr:clientData/>
  </xdr:twoCellAnchor>
  <xdr:twoCellAnchor editAs="oneCell">
    <xdr:from>
      <xdr:col>4</xdr:col>
      <xdr:colOff>574675</xdr:colOff>
      <xdr:row>60</xdr:row>
      <xdr:rowOff>20955</xdr:rowOff>
    </xdr:from>
    <xdr:to>
      <xdr:col>6</xdr:col>
      <xdr:colOff>71120</xdr:colOff>
      <xdr:row>64</xdr:row>
      <xdr:rowOff>138430</xdr:rowOff>
    </xdr:to>
    <xdr:pic>
      <xdr:nvPicPr>
        <xdr:cNvPr id="8" name="图片 7" descr="图层 18">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7"/>
        <a:stretch>
          <a:fillRect/>
        </a:stretch>
      </xdr:blipFill>
      <xdr:spPr>
        <a:xfrm>
          <a:off x="3043555" y="11012805"/>
          <a:ext cx="730885" cy="848995"/>
        </a:xfrm>
        <a:prstGeom prst="rect">
          <a:avLst/>
        </a:prstGeom>
      </xdr:spPr>
    </xdr:pic>
    <xdr:clientData/>
  </xdr:twoCellAnchor>
  <xdr:twoCellAnchor editAs="oneCell">
    <xdr:from>
      <xdr:col>8</xdr:col>
      <xdr:colOff>581660</xdr:colOff>
      <xdr:row>60</xdr:row>
      <xdr:rowOff>43180</xdr:rowOff>
    </xdr:from>
    <xdr:to>
      <xdr:col>10</xdr:col>
      <xdr:colOff>78105</xdr:colOff>
      <xdr:row>64</xdr:row>
      <xdr:rowOff>160655</xdr:rowOff>
    </xdr:to>
    <xdr:pic>
      <xdr:nvPicPr>
        <xdr:cNvPr id="9" name="图片 8" descr="图层 19">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8"/>
        <a:stretch>
          <a:fillRect/>
        </a:stretch>
      </xdr:blipFill>
      <xdr:spPr>
        <a:xfrm>
          <a:off x="5519420" y="11035030"/>
          <a:ext cx="730885" cy="848995"/>
        </a:xfrm>
        <a:prstGeom prst="rect">
          <a:avLst/>
        </a:prstGeom>
      </xdr:spPr>
    </xdr:pic>
    <xdr:clientData/>
  </xdr:twoCellAnchor>
  <xdr:twoCellAnchor editAs="oneCell">
    <xdr:from>
      <xdr:col>12</xdr:col>
      <xdr:colOff>655320</xdr:colOff>
      <xdr:row>59</xdr:row>
      <xdr:rowOff>153035</xdr:rowOff>
    </xdr:from>
    <xdr:to>
      <xdr:col>14</xdr:col>
      <xdr:colOff>70485</xdr:colOff>
      <xdr:row>64</xdr:row>
      <xdr:rowOff>144145</xdr:rowOff>
    </xdr:to>
    <xdr:pic>
      <xdr:nvPicPr>
        <xdr:cNvPr id="10" name="图片 9" descr="图层 20">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9"/>
        <a:stretch>
          <a:fillRect/>
        </a:stretch>
      </xdr:blipFill>
      <xdr:spPr>
        <a:xfrm>
          <a:off x="8023860" y="10962005"/>
          <a:ext cx="687705" cy="905510"/>
        </a:xfrm>
        <a:prstGeom prst="rect">
          <a:avLst/>
        </a:prstGeom>
      </xdr:spPr>
    </xdr:pic>
    <xdr:clientData/>
  </xdr:twoCellAnchor>
  <xdr:twoCellAnchor editAs="oneCell">
    <xdr:from>
      <xdr:col>12</xdr:col>
      <xdr:colOff>618490</xdr:colOff>
      <xdr:row>70</xdr:row>
      <xdr:rowOff>170815</xdr:rowOff>
    </xdr:from>
    <xdr:to>
      <xdr:col>14</xdr:col>
      <xdr:colOff>27305</xdr:colOff>
      <xdr:row>75</xdr:row>
      <xdr:rowOff>161925</xdr:rowOff>
    </xdr:to>
    <xdr:pic>
      <xdr:nvPicPr>
        <xdr:cNvPr id="11" name="图片 10" descr="图层 21">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10"/>
        <a:stretch>
          <a:fillRect/>
        </a:stretch>
      </xdr:blipFill>
      <xdr:spPr>
        <a:xfrm>
          <a:off x="8023860" y="12991465"/>
          <a:ext cx="644525" cy="905510"/>
        </a:xfrm>
        <a:prstGeom prst="rect">
          <a:avLst/>
        </a:prstGeom>
      </xdr:spPr>
    </xdr:pic>
    <xdr:clientData/>
  </xdr:twoCellAnchor>
  <xdr:twoCellAnchor editAs="oneCell">
    <xdr:from>
      <xdr:col>8</xdr:col>
      <xdr:colOff>622300</xdr:colOff>
      <xdr:row>70</xdr:row>
      <xdr:rowOff>179705</xdr:rowOff>
    </xdr:from>
    <xdr:to>
      <xdr:col>10</xdr:col>
      <xdr:colOff>37465</xdr:colOff>
      <xdr:row>75</xdr:row>
      <xdr:rowOff>170815</xdr:rowOff>
    </xdr:to>
    <xdr:pic>
      <xdr:nvPicPr>
        <xdr:cNvPr id="12" name="图片 11" descr="图层 22">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1"/>
        <a:stretch>
          <a:fillRect/>
        </a:stretch>
      </xdr:blipFill>
      <xdr:spPr>
        <a:xfrm>
          <a:off x="5554980" y="13000355"/>
          <a:ext cx="654685" cy="905510"/>
        </a:xfrm>
        <a:prstGeom prst="rect">
          <a:avLst/>
        </a:prstGeom>
      </xdr:spPr>
    </xdr:pic>
    <xdr:clientData/>
  </xdr:twoCellAnchor>
  <xdr:twoCellAnchor editAs="oneCell">
    <xdr:from>
      <xdr:col>4</xdr:col>
      <xdr:colOff>615315</xdr:colOff>
      <xdr:row>71</xdr:row>
      <xdr:rowOff>28575</xdr:rowOff>
    </xdr:from>
    <xdr:to>
      <xdr:col>6</xdr:col>
      <xdr:colOff>30480</xdr:colOff>
      <xdr:row>76</xdr:row>
      <xdr:rowOff>19685</xdr:rowOff>
    </xdr:to>
    <xdr:pic>
      <xdr:nvPicPr>
        <xdr:cNvPr id="13" name="图片 12" descr="图层 23">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12"/>
        <a:stretch>
          <a:fillRect/>
        </a:stretch>
      </xdr:blipFill>
      <xdr:spPr>
        <a:xfrm>
          <a:off x="3084195" y="13032105"/>
          <a:ext cx="649605" cy="905510"/>
        </a:xfrm>
        <a:prstGeom prst="rect">
          <a:avLst/>
        </a:prstGeom>
      </xdr:spPr>
    </xdr:pic>
    <xdr:clientData/>
  </xdr:twoCellAnchor>
  <xdr:twoCellAnchor editAs="oneCell">
    <xdr:from>
      <xdr:col>9</xdr:col>
      <xdr:colOff>0</xdr:colOff>
      <xdr:row>81</xdr:row>
      <xdr:rowOff>179070</xdr:rowOff>
    </xdr:from>
    <xdr:to>
      <xdr:col>10</xdr:col>
      <xdr:colOff>39370</xdr:colOff>
      <xdr:row>86</xdr:row>
      <xdr:rowOff>149225</xdr:rowOff>
    </xdr:to>
    <xdr:pic>
      <xdr:nvPicPr>
        <xdr:cNvPr id="14" name="图片 13" descr="图层 24">
          <a:extLst>
            <a:ext uri="{FF2B5EF4-FFF2-40B4-BE49-F238E27FC236}">
              <a16:creationId xmlns:a16="http://schemas.microsoft.com/office/drawing/2014/main" id="{00000000-0008-0000-0B00-00000E000000}"/>
            </a:ext>
          </a:extLst>
        </xdr:cNvPr>
        <xdr:cNvPicPr>
          <a:picLocks noChangeAspect="1"/>
        </xdr:cNvPicPr>
      </xdr:nvPicPr>
      <xdr:blipFill>
        <a:blip xmlns:r="http://schemas.openxmlformats.org/officeDocument/2006/relationships" r:embed="rId13"/>
        <a:stretch>
          <a:fillRect/>
        </a:stretch>
      </xdr:blipFill>
      <xdr:spPr>
        <a:xfrm>
          <a:off x="5554980" y="15011400"/>
          <a:ext cx="656590" cy="884555"/>
        </a:xfrm>
        <a:prstGeom prst="rect">
          <a:avLst/>
        </a:prstGeom>
      </xdr:spPr>
    </xdr:pic>
    <xdr:clientData/>
  </xdr:twoCellAnchor>
  <xdr:twoCellAnchor editAs="oneCell">
    <xdr:from>
      <xdr:col>5</xdr:col>
      <xdr:colOff>68580</xdr:colOff>
      <xdr:row>82</xdr:row>
      <xdr:rowOff>51435</xdr:rowOff>
    </xdr:from>
    <xdr:to>
      <xdr:col>5</xdr:col>
      <xdr:colOff>577215</xdr:colOff>
      <xdr:row>87</xdr:row>
      <xdr:rowOff>28575</xdr:rowOff>
    </xdr:to>
    <xdr:pic>
      <xdr:nvPicPr>
        <xdr:cNvPr id="15" name="图片 14" descr="图层 25">
          <a:extLst>
            <a:ext uri="{FF2B5EF4-FFF2-40B4-BE49-F238E27FC236}">
              <a16:creationId xmlns:a16="http://schemas.microsoft.com/office/drawing/2014/main" id="{00000000-0008-0000-0B00-00000F000000}"/>
            </a:ext>
          </a:extLst>
        </xdr:cNvPr>
        <xdr:cNvPicPr>
          <a:picLocks noChangeAspect="1"/>
        </xdr:cNvPicPr>
      </xdr:nvPicPr>
      <xdr:blipFill>
        <a:blip xmlns:r="http://schemas.openxmlformats.org/officeDocument/2006/relationships" r:embed="rId14"/>
        <a:stretch>
          <a:fillRect/>
        </a:stretch>
      </xdr:blipFill>
      <xdr:spPr>
        <a:xfrm>
          <a:off x="3154680" y="15066645"/>
          <a:ext cx="508635" cy="891540"/>
        </a:xfrm>
        <a:prstGeom prst="rect">
          <a:avLst/>
        </a:prstGeom>
      </xdr:spPr>
    </xdr:pic>
    <xdr:clientData/>
  </xdr:twoCellAnchor>
  <xdr:twoCellAnchor editAs="oneCell">
    <xdr:from>
      <xdr:col>4</xdr:col>
      <xdr:colOff>647065</xdr:colOff>
      <xdr:row>38</xdr:row>
      <xdr:rowOff>39370</xdr:rowOff>
    </xdr:from>
    <xdr:to>
      <xdr:col>6</xdr:col>
      <xdr:colOff>7620</xdr:colOff>
      <xdr:row>43</xdr:row>
      <xdr:rowOff>9525</xdr:rowOff>
    </xdr:to>
    <xdr:pic>
      <xdr:nvPicPr>
        <xdr:cNvPr id="16" name="图片 15" descr="图层 3">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15"/>
        <a:stretch>
          <a:fillRect/>
        </a:stretch>
      </xdr:blipFill>
      <xdr:spPr>
        <a:xfrm>
          <a:off x="3086100" y="7007860"/>
          <a:ext cx="624840" cy="884555"/>
        </a:xfrm>
        <a:prstGeom prst="rect">
          <a:avLst/>
        </a:prstGeom>
      </xdr:spPr>
    </xdr:pic>
    <xdr:clientData/>
  </xdr:twoCellAnchor>
  <xdr:twoCellAnchor editAs="oneCell">
    <xdr:from>
      <xdr:col>8</xdr:col>
      <xdr:colOff>645795</xdr:colOff>
      <xdr:row>27</xdr:row>
      <xdr:rowOff>33655</xdr:rowOff>
    </xdr:from>
    <xdr:to>
      <xdr:col>10</xdr:col>
      <xdr:colOff>13335</xdr:colOff>
      <xdr:row>32</xdr:row>
      <xdr:rowOff>3810</xdr:rowOff>
    </xdr:to>
    <xdr:pic>
      <xdr:nvPicPr>
        <xdr:cNvPr id="17" name="图片 16" descr="图层 4">
          <a:extLst>
            <a:ext uri="{FF2B5EF4-FFF2-40B4-BE49-F238E27FC236}">
              <a16:creationId xmlns:a16="http://schemas.microsoft.com/office/drawing/2014/main" id="{00000000-0008-0000-0B00-000011000000}"/>
            </a:ext>
          </a:extLst>
        </xdr:cNvPr>
        <xdr:cNvPicPr>
          <a:picLocks noChangeAspect="1"/>
        </xdr:cNvPicPr>
      </xdr:nvPicPr>
      <xdr:blipFill>
        <a:blip xmlns:r="http://schemas.openxmlformats.org/officeDocument/2006/relationships" r:embed="rId16"/>
        <a:stretch>
          <a:fillRect/>
        </a:stretch>
      </xdr:blipFill>
      <xdr:spPr>
        <a:xfrm>
          <a:off x="5554980" y="4990465"/>
          <a:ext cx="630555" cy="884555"/>
        </a:xfrm>
        <a:prstGeom prst="rect">
          <a:avLst/>
        </a:prstGeom>
      </xdr:spPr>
    </xdr:pic>
    <xdr:clientData/>
  </xdr:twoCellAnchor>
  <xdr:twoCellAnchor editAs="oneCell">
    <xdr:from>
      <xdr:col>8</xdr:col>
      <xdr:colOff>645795</xdr:colOff>
      <xdr:row>38</xdr:row>
      <xdr:rowOff>13335</xdr:rowOff>
    </xdr:from>
    <xdr:to>
      <xdr:col>10</xdr:col>
      <xdr:colOff>13335</xdr:colOff>
      <xdr:row>42</xdr:row>
      <xdr:rowOff>164465</xdr:rowOff>
    </xdr:to>
    <xdr:pic>
      <xdr:nvPicPr>
        <xdr:cNvPr id="18" name="图片 17" descr="图层 5">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17"/>
        <a:stretch>
          <a:fillRect/>
        </a:stretch>
      </xdr:blipFill>
      <xdr:spPr>
        <a:xfrm>
          <a:off x="5554980" y="6981825"/>
          <a:ext cx="630555" cy="882650"/>
        </a:xfrm>
        <a:prstGeom prst="rect">
          <a:avLst/>
        </a:prstGeom>
      </xdr:spPr>
    </xdr:pic>
    <xdr:clientData/>
  </xdr:twoCellAnchor>
  <xdr:twoCellAnchor editAs="oneCell">
    <xdr:from>
      <xdr:col>12</xdr:col>
      <xdr:colOff>678815</xdr:colOff>
      <xdr:row>27</xdr:row>
      <xdr:rowOff>13970</xdr:rowOff>
    </xdr:from>
    <xdr:to>
      <xdr:col>14</xdr:col>
      <xdr:colOff>46355</xdr:colOff>
      <xdr:row>31</xdr:row>
      <xdr:rowOff>165100</xdr:rowOff>
    </xdr:to>
    <xdr:pic>
      <xdr:nvPicPr>
        <xdr:cNvPr id="19" name="图片 18" descr="图层 6">
          <a:extLst>
            <a:ext uri="{FF2B5EF4-FFF2-40B4-BE49-F238E27FC236}">
              <a16:creationId xmlns:a16="http://schemas.microsoft.com/office/drawing/2014/main" id="{00000000-0008-0000-0B00-000013000000}"/>
            </a:ext>
          </a:extLst>
        </xdr:cNvPr>
        <xdr:cNvPicPr>
          <a:picLocks noChangeAspect="1"/>
        </xdr:cNvPicPr>
      </xdr:nvPicPr>
      <xdr:blipFill>
        <a:blip xmlns:r="http://schemas.openxmlformats.org/officeDocument/2006/relationships" r:embed="rId18"/>
        <a:stretch>
          <a:fillRect/>
        </a:stretch>
      </xdr:blipFill>
      <xdr:spPr>
        <a:xfrm>
          <a:off x="8023860" y="4970780"/>
          <a:ext cx="663575" cy="882650"/>
        </a:xfrm>
        <a:prstGeom prst="rect">
          <a:avLst/>
        </a:prstGeom>
      </xdr:spPr>
    </xdr:pic>
    <xdr:clientData/>
  </xdr:twoCellAnchor>
  <xdr:twoCellAnchor editAs="oneCell">
    <xdr:from>
      <xdr:col>12</xdr:col>
      <xdr:colOff>678815</xdr:colOff>
      <xdr:row>38</xdr:row>
      <xdr:rowOff>25400</xdr:rowOff>
    </xdr:from>
    <xdr:to>
      <xdr:col>14</xdr:col>
      <xdr:colOff>46355</xdr:colOff>
      <xdr:row>43</xdr:row>
      <xdr:rowOff>1905</xdr:rowOff>
    </xdr:to>
    <xdr:pic>
      <xdr:nvPicPr>
        <xdr:cNvPr id="20" name="图片 19" descr="图层 7">
          <a:extLst>
            <a:ext uri="{FF2B5EF4-FFF2-40B4-BE49-F238E27FC236}">
              <a16:creationId xmlns:a16="http://schemas.microsoft.com/office/drawing/2014/main" id="{00000000-0008-0000-0B00-000014000000}"/>
            </a:ext>
          </a:extLst>
        </xdr:cNvPr>
        <xdr:cNvPicPr>
          <a:picLocks noChangeAspect="1"/>
        </xdr:cNvPicPr>
      </xdr:nvPicPr>
      <xdr:blipFill>
        <a:blip xmlns:r="http://schemas.openxmlformats.org/officeDocument/2006/relationships" r:embed="rId19"/>
        <a:stretch>
          <a:fillRect/>
        </a:stretch>
      </xdr:blipFill>
      <xdr:spPr>
        <a:xfrm>
          <a:off x="8023860" y="6993890"/>
          <a:ext cx="663575" cy="890905"/>
        </a:xfrm>
        <a:prstGeom prst="rect">
          <a:avLst/>
        </a:prstGeom>
      </xdr:spPr>
    </xdr:pic>
    <xdr:clientData/>
  </xdr:twoCellAnchor>
  <xdr:twoCellAnchor editAs="oneCell">
    <xdr:from>
      <xdr:col>4</xdr:col>
      <xdr:colOff>657225</xdr:colOff>
      <xdr:row>16</xdr:row>
      <xdr:rowOff>101600</xdr:rowOff>
    </xdr:from>
    <xdr:to>
      <xdr:col>6</xdr:col>
      <xdr:colOff>0</xdr:colOff>
      <xdr:row>21</xdr:row>
      <xdr:rowOff>29845</xdr:rowOff>
    </xdr:to>
    <xdr:pic>
      <xdr:nvPicPr>
        <xdr:cNvPr id="21" name="图片 20" descr="图层 8">
          <a:extLst>
            <a:ext uri="{FF2B5EF4-FFF2-40B4-BE49-F238E27FC236}">
              <a16:creationId xmlns:a16="http://schemas.microsoft.com/office/drawing/2014/main" id="{00000000-0008-0000-0B00-000015000000}"/>
            </a:ext>
          </a:extLst>
        </xdr:cNvPr>
        <xdr:cNvPicPr>
          <a:picLocks noChangeAspect="1"/>
        </xdr:cNvPicPr>
      </xdr:nvPicPr>
      <xdr:blipFill>
        <a:blip xmlns:r="http://schemas.openxmlformats.org/officeDocument/2006/relationships" r:embed="rId20"/>
        <a:stretch>
          <a:fillRect/>
        </a:stretch>
      </xdr:blipFill>
      <xdr:spPr>
        <a:xfrm>
          <a:off x="3086100" y="3037205"/>
          <a:ext cx="617220" cy="852170"/>
        </a:xfrm>
        <a:prstGeom prst="rect">
          <a:avLst/>
        </a:prstGeom>
      </xdr:spPr>
    </xdr:pic>
    <xdr:clientData/>
  </xdr:twoCellAnchor>
  <xdr:twoCellAnchor editAs="oneCell">
    <xdr:from>
      <xdr:col>13</xdr:col>
      <xdr:colOff>11430</xdr:colOff>
      <xdr:row>5</xdr:row>
      <xdr:rowOff>69850</xdr:rowOff>
    </xdr:from>
    <xdr:to>
      <xdr:col>14</xdr:col>
      <xdr:colOff>31115</xdr:colOff>
      <xdr:row>9</xdr:row>
      <xdr:rowOff>160020</xdr:rowOff>
    </xdr:to>
    <xdr:pic>
      <xdr:nvPicPr>
        <xdr:cNvPr id="22" name="图片 21" descr="图层 9">
          <a:extLst>
            <a:ext uri="{FF2B5EF4-FFF2-40B4-BE49-F238E27FC236}">
              <a16:creationId xmlns:a16="http://schemas.microsoft.com/office/drawing/2014/main" id="{00000000-0008-0000-0B00-000016000000}"/>
            </a:ext>
          </a:extLst>
        </xdr:cNvPr>
        <xdr:cNvPicPr>
          <a:picLocks noChangeAspect="1"/>
        </xdr:cNvPicPr>
      </xdr:nvPicPr>
      <xdr:blipFill>
        <a:blip xmlns:r="http://schemas.openxmlformats.org/officeDocument/2006/relationships" r:embed="rId21"/>
        <a:stretch>
          <a:fillRect/>
        </a:stretch>
      </xdr:blipFill>
      <xdr:spPr>
        <a:xfrm>
          <a:off x="8035290" y="993775"/>
          <a:ext cx="636905" cy="821690"/>
        </a:xfrm>
        <a:prstGeom prst="rect">
          <a:avLst/>
        </a:prstGeom>
      </xdr:spPr>
    </xdr:pic>
    <xdr:clientData/>
  </xdr:twoCellAnchor>
  <xdr:twoCellAnchor editAs="oneCell">
    <xdr:from>
      <xdr:col>4</xdr:col>
      <xdr:colOff>657225</xdr:colOff>
      <xdr:row>5</xdr:row>
      <xdr:rowOff>67310</xdr:rowOff>
    </xdr:from>
    <xdr:to>
      <xdr:col>6</xdr:col>
      <xdr:colOff>0</xdr:colOff>
      <xdr:row>9</xdr:row>
      <xdr:rowOff>157480</xdr:rowOff>
    </xdr:to>
    <xdr:pic>
      <xdr:nvPicPr>
        <xdr:cNvPr id="23" name="图片 22" descr="图层 10">
          <a:extLst>
            <a:ext uri="{FF2B5EF4-FFF2-40B4-BE49-F238E27FC236}">
              <a16:creationId xmlns:a16="http://schemas.microsoft.com/office/drawing/2014/main" id="{00000000-0008-0000-0B00-000017000000}"/>
            </a:ext>
          </a:extLst>
        </xdr:cNvPr>
        <xdr:cNvPicPr>
          <a:picLocks noChangeAspect="1"/>
        </xdr:cNvPicPr>
      </xdr:nvPicPr>
      <xdr:blipFill>
        <a:blip xmlns:r="http://schemas.openxmlformats.org/officeDocument/2006/relationships" r:embed="rId22"/>
        <a:stretch>
          <a:fillRect/>
        </a:stretch>
      </xdr:blipFill>
      <xdr:spPr>
        <a:xfrm>
          <a:off x="3086100" y="991235"/>
          <a:ext cx="617220" cy="821690"/>
        </a:xfrm>
        <a:prstGeom prst="rect">
          <a:avLst/>
        </a:prstGeom>
      </xdr:spPr>
    </xdr:pic>
    <xdr:clientData/>
  </xdr:twoCellAnchor>
  <xdr:twoCellAnchor editAs="oneCell">
    <xdr:from>
      <xdr:col>8</xdr:col>
      <xdr:colOff>664210</xdr:colOff>
      <xdr:row>5</xdr:row>
      <xdr:rowOff>57150</xdr:rowOff>
    </xdr:from>
    <xdr:to>
      <xdr:col>10</xdr:col>
      <xdr:colOff>5845</xdr:colOff>
      <xdr:row>9</xdr:row>
      <xdr:rowOff>147320</xdr:rowOff>
    </xdr:to>
    <xdr:pic>
      <xdr:nvPicPr>
        <xdr:cNvPr id="24" name="图片 23" descr="图层 11">
          <a:extLst>
            <a:ext uri="{FF2B5EF4-FFF2-40B4-BE49-F238E27FC236}">
              <a16:creationId xmlns:a16="http://schemas.microsoft.com/office/drawing/2014/main" id="{00000000-0008-0000-0B00-000018000000}"/>
            </a:ext>
          </a:extLst>
        </xdr:cNvPr>
        <xdr:cNvPicPr>
          <a:picLocks noChangeAspect="1"/>
        </xdr:cNvPicPr>
      </xdr:nvPicPr>
      <xdr:blipFill>
        <a:blip xmlns:r="http://schemas.openxmlformats.org/officeDocument/2006/relationships" r:embed="rId23"/>
        <a:stretch>
          <a:fillRect/>
        </a:stretch>
      </xdr:blipFill>
      <xdr:spPr>
        <a:xfrm>
          <a:off x="5554980" y="981075"/>
          <a:ext cx="622935" cy="821690"/>
        </a:xfrm>
        <a:prstGeom prst="rect">
          <a:avLst/>
        </a:prstGeom>
      </xdr:spPr>
    </xdr:pic>
    <xdr:clientData/>
  </xdr:twoCellAnchor>
  <xdr:twoCellAnchor editAs="oneCell">
    <xdr:from>
      <xdr:col>8</xdr:col>
      <xdr:colOff>664210</xdr:colOff>
      <xdr:row>16</xdr:row>
      <xdr:rowOff>90170</xdr:rowOff>
    </xdr:from>
    <xdr:to>
      <xdr:col>10</xdr:col>
      <xdr:colOff>5845</xdr:colOff>
      <xdr:row>21</xdr:row>
      <xdr:rowOff>18415</xdr:rowOff>
    </xdr:to>
    <xdr:pic>
      <xdr:nvPicPr>
        <xdr:cNvPr id="25" name="图片 24" descr="图层 12">
          <a:extLst>
            <a:ext uri="{FF2B5EF4-FFF2-40B4-BE49-F238E27FC236}">
              <a16:creationId xmlns:a16="http://schemas.microsoft.com/office/drawing/2014/main" id="{00000000-0008-0000-0B00-000019000000}"/>
            </a:ext>
          </a:extLst>
        </xdr:cNvPr>
        <xdr:cNvPicPr>
          <a:picLocks noChangeAspect="1"/>
        </xdr:cNvPicPr>
      </xdr:nvPicPr>
      <xdr:blipFill>
        <a:blip xmlns:r="http://schemas.openxmlformats.org/officeDocument/2006/relationships" r:embed="rId24"/>
        <a:stretch>
          <a:fillRect/>
        </a:stretch>
      </xdr:blipFill>
      <xdr:spPr>
        <a:xfrm>
          <a:off x="5554980" y="3025775"/>
          <a:ext cx="622935" cy="852170"/>
        </a:xfrm>
        <a:prstGeom prst="rect">
          <a:avLst/>
        </a:prstGeom>
      </xdr:spPr>
    </xdr:pic>
    <xdr:clientData/>
  </xdr:twoCellAnchor>
  <xdr:twoCellAnchor editAs="oneCell">
    <xdr:from>
      <xdr:col>13</xdr:col>
      <xdr:colOff>11430</xdr:colOff>
      <xdr:row>16</xdr:row>
      <xdr:rowOff>101600</xdr:rowOff>
    </xdr:from>
    <xdr:to>
      <xdr:col>14</xdr:col>
      <xdr:colOff>31115</xdr:colOff>
      <xdr:row>21</xdr:row>
      <xdr:rowOff>36830</xdr:rowOff>
    </xdr:to>
    <xdr:pic>
      <xdr:nvPicPr>
        <xdr:cNvPr id="26" name="图片 25" descr="图层 13">
          <a:extLst>
            <a:ext uri="{FF2B5EF4-FFF2-40B4-BE49-F238E27FC236}">
              <a16:creationId xmlns:a16="http://schemas.microsoft.com/office/drawing/2014/main" id="{00000000-0008-0000-0B00-00001A000000}"/>
            </a:ext>
          </a:extLst>
        </xdr:cNvPr>
        <xdr:cNvPicPr>
          <a:picLocks noChangeAspect="1"/>
        </xdr:cNvPicPr>
      </xdr:nvPicPr>
      <xdr:blipFill>
        <a:blip xmlns:r="http://schemas.openxmlformats.org/officeDocument/2006/relationships" r:embed="rId25"/>
        <a:stretch>
          <a:fillRect/>
        </a:stretch>
      </xdr:blipFill>
      <xdr:spPr>
        <a:xfrm>
          <a:off x="8035290" y="3037205"/>
          <a:ext cx="636905" cy="859155"/>
        </a:xfrm>
        <a:prstGeom prst="rect">
          <a:avLst/>
        </a:prstGeom>
      </xdr:spPr>
    </xdr:pic>
    <xdr:clientData/>
  </xdr:twoCellAnchor>
  <xdr:twoCellAnchor editAs="oneCell">
    <xdr:from>
      <xdr:col>13</xdr:col>
      <xdr:colOff>9525</xdr:colOff>
      <xdr:row>82</xdr:row>
      <xdr:rowOff>85725</xdr:rowOff>
    </xdr:from>
    <xdr:to>
      <xdr:col>14</xdr:col>
      <xdr:colOff>0</xdr:colOff>
      <xdr:row>86</xdr:row>
      <xdr:rowOff>143510</xdr:rowOff>
    </xdr:to>
    <xdr:pic>
      <xdr:nvPicPr>
        <xdr:cNvPr id="27" name="图片 26" descr="超级药水">
          <a:extLst>
            <a:ext uri="{FF2B5EF4-FFF2-40B4-BE49-F238E27FC236}">
              <a16:creationId xmlns:a16="http://schemas.microsoft.com/office/drawing/2014/main" id="{00000000-0008-0000-0B00-00001B000000}"/>
            </a:ext>
          </a:extLst>
        </xdr:cNvPr>
        <xdr:cNvPicPr>
          <a:picLocks noChangeAspect="1"/>
        </xdr:cNvPicPr>
      </xdr:nvPicPr>
      <xdr:blipFill>
        <a:blip xmlns:r="http://schemas.openxmlformats.org/officeDocument/2006/relationships" r:embed="rId26"/>
        <a:stretch>
          <a:fillRect/>
        </a:stretch>
      </xdr:blipFill>
      <xdr:spPr>
        <a:xfrm>
          <a:off x="8033385" y="15100935"/>
          <a:ext cx="607695" cy="789305"/>
        </a:xfrm>
        <a:prstGeom prst="rect">
          <a:avLst/>
        </a:prstGeom>
      </xdr:spPr>
    </xdr:pic>
    <xdr:clientData/>
  </xdr:twoCellAnchor>
</xdr:wsDr>
</file>

<file path=xl/theme/theme1.xml><?xml version="1.0" encoding="utf-8"?>
<a:theme xmlns:a="http://schemas.openxmlformats.org/drawingml/2006/main" name="Office 主题​​">
  <a:themeElements>
    <a:clrScheme name="海岸线">
      <a:dk1>
        <a:srgbClr val="000000"/>
      </a:dk1>
      <a:lt1>
        <a:srgbClr val="FFFFFF"/>
      </a:lt1>
      <a:dk2>
        <a:srgbClr val="E3D7CF"/>
      </a:dk2>
      <a:lt2>
        <a:srgbClr val="C1BFCB"/>
      </a:lt2>
      <a:accent1>
        <a:srgbClr val="8BB5C7"/>
      </a:accent1>
      <a:accent2>
        <a:srgbClr val="69A7C5"/>
      </a:accent2>
      <a:accent3>
        <a:srgbClr val="4E8DBC"/>
      </a:accent3>
      <a:accent4>
        <a:srgbClr val="0D74A7"/>
      </a:accent4>
      <a:accent5>
        <a:srgbClr val="01528B"/>
      </a:accent5>
      <a:accent6>
        <a:srgbClr val="013768"/>
      </a:accent6>
      <a:hlink>
        <a:srgbClr val="3E6487"/>
      </a:hlink>
      <a:folHlink>
        <a:srgbClr val="53788B"/>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pace.bilibili.com/25815754"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106"/>
  <sheetViews>
    <sheetView tabSelected="1" workbookViewId="0"/>
  </sheetViews>
  <sheetFormatPr defaultColWidth="9" defaultRowHeight="14.15"/>
  <cols>
    <col min="1" max="27" width="11.35546875" customWidth="1"/>
    <col min="28" max="28" width="10.5" customWidth="1"/>
  </cols>
  <sheetData>
    <row r="1" spans="1:30" ht="14.25" customHeight="1">
      <c r="A1" s="495"/>
      <c r="B1" s="495"/>
      <c r="C1" s="495"/>
      <c r="D1" s="495"/>
      <c r="E1" s="495"/>
      <c r="F1" s="495"/>
      <c r="G1" s="495"/>
      <c r="H1" s="137"/>
      <c r="I1" s="137"/>
      <c r="J1" s="512"/>
      <c r="K1" s="512"/>
      <c r="L1" s="512"/>
      <c r="M1" s="512"/>
      <c r="N1" s="512"/>
      <c r="O1" s="512"/>
      <c r="P1" s="386"/>
      <c r="Q1" s="386"/>
      <c r="R1" s="386"/>
      <c r="S1" s="386"/>
      <c r="T1" s="386"/>
      <c r="U1" s="386"/>
      <c r="V1" s="386"/>
      <c r="W1" s="386"/>
      <c r="X1" s="386"/>
      <c r="Y1" s="386"/>
      <c r="Z1" s="171"/>
      <c r="AA1" s="171"/>
      <c r="AB1" s="171"/>
      <c r="AC1" s="171"/>
      <c r="AD1" s="171"/>
    </row>
    <row r="2" spans="1:30" ht="14.25" customHeight="1">
      <c r="A2" s="386"/>
      <c r="B2" s="386"/>
      <c r="C2" s="386"/>
      <c r="D2" s="386"/>
      <c r="E2" s="386"/>
      <c r="F2" s="386"/>
      <c r="G2" s="495"/>
      <c r="H2" s="495"/>
      <c r="I2" s="495"/>
      <c r="J2" s="500"/>
      <c r="K2" s="501"/>
      <c r="L2" s="502"/>
      <c r="M2" s="501"/>
      <c r="N2" s="513"/>
      <c r="O2" s="513"/>
      <c r="P2" s="495"/>
      <c r="Q2" s="495"/>
      <c r="R2" s="495"/>
      <c r="S2" s="495"/>
      <c r="T2" s="495"/>
      <c r="U2" s="386"/>
      <c r="V2" s="386"/>
      <c r="W2" s="386"/>
      <c r="X2" s="386"/>
      <c r="Y2" s="386"/>
      <c r="Z2" s="171"/>
      <c r="AA2" s="171"/>
      <c r="AB2" s="171"/>
      <c r="AC2" s="171"/>
      <c r="AD2" s="171"/>
    </row>
    <row r="3" spans="1:30" ht="14.25" customHeight="1">
      <c r="A3" s="386"/>
      <c r="B3" s="521" t="s">
        <v>0</v>
      </c>
      <c r="C3" s="521"/>
      <c r="D3" s="521"/>
      <c r="E3" s="521"/>
      <c r="F3" s="137"/>
      <c r="G3" s="512" t="s">
        <v>1</v>
      </c>
      <c r="H3" s="512"/>
      <c r="I3" s="519">
        <v>15</v>
      </c>
      <c r="J3" s="500"/>
      <c r="K3" s="501"/>
      <c r="L3" s="500"/>
      <c r="M3" s="501"/>
      <c r="N3" s="500"/>
      <c r="O3" s="501"/>
      <c r="P3" s="495"/>
      <c r="Q3" s="495"/>
      <c r="R3" s="495"/>
      <c r="S3" s="495"/>
      <c r="T3" s="495"/>
      <c r="U3" s="495"/>
      <c r="V3" s="524" t="str">
        <f>IF(I3&gt;=9,IF(I3&gt;11,IF(I3&gt;14,"Ⅴ 芬福时代","Ⅳ 帝王时代"),"Ⅲ 城堡时代"),IF(I3&gt;1,"Ⅱ 封建时代","Ⅰ 黑暗时代"))</f>
        <v>Ⅴ 芬福时代</v>
      </c>
      <c r="W3" s="524"/>
      <c r="X3" s="386"/>
      <c r="Y3" s="386"/>
      <c r="Z3" s="171"/>
      <c r="AA3" s="171"/>
      <c r="AB3" s="171"/>
      <c r="AC3" s="171"/>
      <c r="AD3" s="171"/>
    </row>
    <row r="4" spans="1:30" ht="14.25" customHeight="1">
      <c r="A4" s="386"/>
      <c r="B4" s="522"/>
      <c r="C4" s="522"/>
      <c r="D4" s="522"/>
      <c r="E4" s="522"/>
      <c r="F4" s="137"/>
      <c r="G4" s="512"/>
      <c r="H4" s="512"/>
      <c r="I4" s="519"/>
      <c r="J4" s="120"/>
      <c r="K4" s="496"/>
      <c r="L4" s="120"/>
      <c r="M4" s="496"/>
      <c r="N4" s="120"/>
      <c r="O4" s="496"/>
      <c r="P4" s="386"/>
      <c r="Q4" s="386"/>
      <c r="R4" s="386"/>
      <c r="S4" s="386"/>
      <c r="T4" s="386"/>
      <c r="U4" s="386"/>
      <c r="V4" s="525"/>
      <c r="W4" s="525"/>
      <c r="X4" s="386"/>
      <c r="Y4" s="386"/>
      <c r="Z4" s="171"/>
      <c r="AA4" s="171"/>
      <c r="AB4" s="171"/>
      <c r="AC4" s="171"/>
      <c r="AD4" s="171"/>
    </row>
    <row r="5" spans="1:30" ht="14.25" customHeight="1">
      <c r="A5" s="386"/>
      <c r="B5" s="137"/>
      <c r="C5" s="137"/>
      <c r="D5" s="514" t="str">
        <f ca="1">"陪你 "&amp;DATEDIF(DATE(2018,6,11),NOW(),"D")&amp;" 天了"</f>
        <v>陪你 2129 天了</v>
      </c>
      <c r="E5" s="514"/>
      <c r="F5" s="137"/>
      <c r="G5" s="497"/>
      <c r="H5" s="497"/>
      <c r="I5" s="497"/>
      <c r="J5" s="497"/>
      <c r="K5" s="497"/>
      <c r="L5" s="497"/>
      <c r="M5" s="497"/>
      <c r="N5" s="497"/>
      <c r="O5" s="497"/>
      <c r="P5" s="497"/>
      <c r="Q5" s="497"/>
      <c r="R5" s="497"/>
      <c r="S5" s="497"/>
      <c r="T5" s="497"/>
      <c r="U5" s="497"/>
      <c r="V5" s="386"/>
      <c r="W5" s="386"/>
      <c r="X5" s="386"/>
      <c r="Y5" s="386"/>
      <c r="Z5" s="171"/>
      <c r="AA5" s="171"/>
      <c r="AB5" s="171"/>
      <c r="AC5" s="171"/>
      <c r="AD5" s="171"/>
    </row>
    <row r="6" spans="1:30" ht="14.25" customHeight="1">
      <c r="A6" s="386"/>
      <c r="B6" s="137"/>
      <c r="C6" s="137"/>
      <c r="D6" s="137"/>
      <c r="E6" s="137"/>
      <c r="F6" s="137"/>
      <c r="G6" s="257" t="s">
        <v>2</v>
      </c>
      <c r="H6" s="137" t="str">
        <f ca="1">"★"&amp;TEXT(VALUE(LEFT(小羊的家备份!Z8,2)),"?0")&amp;" ☀"&amp;TEXT(VALUE(RIGHT(小羊的家备份!Z8,3)),"?0")</f>
        <v>★21 ☀ 7</v>
      </c>
      <c r="I6" s="137"/>
      <c r="J6" s="257" t="s">
        <v>3</v>
      </c>
      <c r="K6" s="137" t="str">
        <f ca="1">"★"&amp;TEXT(VALUE(LEFT(小羊的家备份!Z37,2)),"?0")&amp;" ☀"&amp;TEXT(VALUE(RIGHT(小羊的家备份!Z37,3)),"?0")</f>
        <v>★15 ☀ 1</v>
      </c>
      <c r="L6" s="137"/>
      <c r="M6" s="257" t="s">
        <v>4</v>
      </c>
      <c r="N6" s="137" t="str">
        <f ca="1">"★"&amp;TEXT(VALUE(小羊的家备份!Z55),"?0")</f>
        <v>★11</v>
      </c>
      <c r="O6" s="137"/>
      <c r="P6" s="257" t="s">
        <v>5</v>
      </c>
      <c r="Q6" s="137" t="str">
        <f ca="1">"★"&amp;TEXT(VALUE(小羊的家备份!Z83),"?0")</f>
        <v>★10</v>
      </c>
      <c r="R6" s="137"/>
      <c r="S6" s="515" t="s">
        <v>6</v>
      </c>
      <c r="T6" s="516"/>
      <c r="U6" s="386"/>
      <c r="V6" s="526" t="s">
        <v>7</v>
      </c>
      <c r="W6" s="527"/>
      <c r="X6" s="386"/>
      <c r="Y6" s="386"/>
      <c r="Z6" s="171"/>
      <c r="AA6" s="171"/>
      <c r="AB6" s="171"/>
      <c r="AC6" s="171"/>
      <c r="AD6" s="171"/>
    </row>
    <row r="7" spans="1:30" ht="14.25" customHeight="1">
      <c r="A7" s="386"/>
      <c r="B7" s="523" t="s">
        <v>8</v>
      </c>
      <c r="C7" s="523"/>
      <c r="D7" s="523"/>
      <c r="E7" s="523"/>
      <c r="F7" s="137"/>
      <c r="G7" s="257" t="s">
        <v>9</v>
      </c>
      <c r="H7" s="137" t="str">
        <f ca="1">"★"&amp;TEXT(VALUE(LEFT(小羊的家备份!Z9,2)),"?0")&amp;" ☀"&amp;TEXT(VALUE(RIGHT(小羊的家备份!Z9,3)),"?0")</f>
        <v>★21 ☀ 8</v>
      </c>
      <c r="I7" s="137"/>
      <c r="J7" s="257" t="s">
        <v>10</v>
      </c>
      <c r="K7" s="137" t="str">
        <f ca="1">"★"&amp;TEXT(VALUE(LEFT(小羊的家备份!Z38,2)),"?0")&amp;" ☀"&amp;TEXT(VALUE(RIGHT(小羊的家备份!Z38,3)),"?0")</f>
        <v>★11 ☀ 1</v>
      </c>
      <c r="L7" s="137"/>
      <c r="M7" s="257" t="s">
        <v>11</v>
      </c>
      <c r="N7" s="137" t="str">
        <f ca="1">"★"&amp;TEXT(VALUE(小羊的家备份!Z56),"?0")</f>
        <v>★11</v>
      </c>
      <c r="O7" s="137"/>
      <c r="P7" s="257" t="s">
        <v>12</v>
      </c>
      <c r="Q7" s="137" t="str">
        <f ca="1">"★"&amp;TEXT(VALUE(小羊的家备份!Z84),"?0")</f>
        <v>★ 9</v>
      </c>
      <c r="R7" s="137"/>
      <c r="S7" s="54" t="s">
        <v>13</v>
      </c>
      <c r="T7" s="137">
        <f ca="1">小羊的家备份!Z121</f>
        <v>1400</v>
      </c>
      <c r="U7" s="137"/>
      <c r="V7" s="528"/>
      <c r="W7" s="528"/>
      <c r="X7" s="386"/>
      <c r="Y7" s="386"/>
      <c r="Z7" s="171"/>
      <c r="AA7" s="171"/>
      <c r="AB7" s="171"/>
      <c r="AC7" s="171"/>
      <c r="AD7" s="171"/>
    </row>
    <row r="8" spans="1:30" ht="14.25" customHeight="1">
      <c r="A8" s="386"/>
      <c r="B8" s="523"/>
      <c r="C8" s="523"/>
      <c r="D8" s="523"/>
      <c r="E8" s="523"/>
      <c r="F8" s="137"/>
      <c r="G8" s="257" t="s">
        <v>14</v>
      </c>
      <c r="H8" s="137" t="str">
        <f ca="1">"★"&amp;TEXT(VALUE(LEFT(小羊的家备份!Z10,2)),"?0")&amp;" ☀"&amp;TEXT(VALUE(RIGHT(小羊的家备份!Z10,3)),"?0")</f>
        <v>★16 ☀200</v>
      </c>
      <c r="I8" s="137" t="str">
        <f>IF(I3=15,"★15☀125","")</f>
        <v>★15☀125</v>
      </c>
      <c r="J8" s="257" t="s">
        <v>15</v>
      </c>
      <c r="K8" s="137" t="str">
        <f ca="1">"★"&amp;TEXT(VALUE(LEFT(小羊的家备份!Z39,2)),"?0")&amp;" ☀"&amp;TEXT(VALUE(RIGHT(小羊的家备份!Z39,3)),"?0")</f>
        <v>★13 ☀ 1</v>
      </c>
      <c r="L8" s="137"/>
      <c r="M8" s="257" t="s">
        <v>16</v>
      </c>
      <c r="N8" s="137" t="str">
        <f ca="1">"★"&amp;TEXT(VALUE(小羊的家备份!Z57),"?0")</f>
        <v>★11</v>
      </c>
      <c r="O8" s="137"/>
      <c r="P8" s="257" t="s">
        <v>17</v>
      </c>
      <c r="Q8" s="137" t="str">
        <f ca="1">"★"&amp;TEXT(VALUE(小羊的家备份!Z85),"?0")</f>
        <v>★ 6</v>
      </c>
      <c r="R8" s="137"/>
      <c r="S8" s="54" t="s">
        <v>18</v>
      </c>
      <c r="T8" s="503">
        <f ca="1">小羊的家备份!Z122</f>
        <v>10</v>
      </c>
      <c r="U8" s="137"/>
      <c r="V8" s="500" t="s">
        <v>19</v>
      </c>
      <c r="W8" s="504">
        <f ca="1">小羊的家备份!Z150</f>
        <v>552300000</v>
      </c>
      <c r="X8" s="386"/>
      <c r="Y8" s="386"/>
      <c r="Z8" s="171"/>
      <c r="AA8" s="171"/>
      <c r="AB8" s="171"/>
      <c r="AC8" s="171"/>
      <c r="AD8" s="171"/>
    </row>
    <row r="9" spans="1:30" ht="14.25" customHeight="1">
      <c r="A9" s="386"/>
      <c r="B9" s="137"/>
      <c r="C9" s="137"/>
      <c r="D9" s="137"/>
      <c r="E9" s="137"/>
      <c r="F9" s="137"/>
      <c r="G9" s="257" t="s">
        <v>20</v>
      </c>
      <c r="H9" s="137" t="str">
        <f ca="1">"★"&amp;TEXT(VALUE(LEFT(小羊的家备份!Z11,2)),"?0")&amp;" ☀"&amp;TEXT(VALUE(RIGHT(小羊的家备份!Z11,3)),"?0")</f>
        <v>★15 ☀ 4</v>
      </c>
      <c r="I9" s="137"/>
      <c r="J9" s="257" t="s">
        <v>21</v>
      </c>
      <c r="K9" s="137" t="str">
        <f ca="1">"★"&amp;TEXT(VALUE(LEFT(小羊的家备份!Z40,2)),"?0")&amp;" ☀"&amp;TEXT(VALUE(RIGHT(小羊的家备份!Z40,3)),"?0")</f>
        <v>★16 ☀ 1</v>
      </c>
      <c r="L9" s="137"/>
      <c r="M9" s="257" t="s">
        <v>22</v>
      </c>
      <c r="N9" s="137" t="str">
        <f ca="1">"★"&amp;TEXT(VALUE(小羊的家备份!Z58),"?0")</f>
        <v>★ 8</v>
      </c>
      <c r="O9" s="137"/>
      <c r="P9" s="257" t="s">
        <v>23</v>
      </c>
      <c r="Q9" s="137" t="str">
        <f ca="1">"★"&amp;TEXT(VALUE(小羊的家备份!Z86),"?0")</f>
        <v>★ 5</v>
      </c>
      <c r="R9" s="137"/>
      <c r="S9" s="54" t="s">
        <v>24</v>
      </c>
      <c r="T9" s="503">
        <f ca="1">小羊的家备份!Z123</f>
        <v>4</v>
      </c>
      <c r="U9" s="137"/>
      <c r="V9" s="500" t="s">
        <v>25</v>
      </c>
      <c r="W9" s="504">
        <f ca="1">小羊的家备份!Z151</f>
        <v>956500000</v>
      </c>
      <c r="X9" s="386"/>
      <c r="Y9" s="386"/>
      <c r="Z9" s="171"/>
      <c r="AA9" s="171"/>
      <c r="AB9" s="171"/>
      <c r="AC9" s="171"/>
      <c r="AD9" s="171"/>
    </row>
    <row r="10" spans="1:30" ht="14.25" customHeight="1">
      <c r="A10" s="386"/>
      <c r="B10" s="137"/>
      <c r="C10" s="137"/>
      <c r="D10" s="498"/>
      <c r="E10" s="498"/>
      <c r="F10" s="137"/>
      <c r="G10" s="257" t="s">
        <v>26</v>
      </c>
      <c r="H10" s="137" t="str">
        <f ca="1">"★"&amp;TEXT(VALUE(LEFT(小羊的家备份!Z12,2)),"?0")&amp;" ☀"&amp;TEXT(VALUE(RIGHT(小羊的家备份!Z12,3)),"?0")</f>
        <v>★13 ☀ 4</v>
      </c>
      <c r="I10" s="137"/>
      <c r="J10" s="257" t="s">
        <v>27</v>
      </c>
      <c r="K10" s="137" t="str">
        <f ca="1">"★"&amp;TEXT(VALUE(LEFT(小羊的家备份!Z41,2)),"?0")&amp;" ☀"&amp;TEXT(VALUE(RIGHT(小羊的家备份!Z41,3)),"?0")</f>
        <v>★ 9 ☀ 1</v>
      </c>
      <c r="L10" s="137"/>
      <c r="M10" s="257" t="s">
        <v>28</v>
      </c>
      <c r="N10" s="137" t="str">
        <f ca="1">"★"&amp;TEXT(VALUE(小羊的家备份!Z59),"?0")</f>
        <v>★11</v>
      </c>
      <c r="O10" s="137"/>
      <c r="P10" s="257" t="s">
        <v>29</v>
      </c>
      <c r="Q10" s="137" t="str">
        <f ca="1">"★"&amp;TEXT(VALUE(小羊的家备份!Z87),"?0")</f>
        <v>★ 7</v>
      </c>
      <c r="R10" s="137"/>
      <c r="S10" s="54" t="s">
        <v>30</v>
      </c>
      <c r="T10" s="137">
        <f ca="1">小羊的家备份!Z124</f>
        <v>650000</v>
      </c>
      <c r="U10" s="137"/>
      <c r="V10" s="120" t="s">
        <v>31</v>
      </c>
      <c r="W10" s="150">
        <f ca="1">小羊的家备份!Z152</f>
        <v>16520000</v>
      </c>
      <c r="X10" s="386"/>
      <c r="Y10" s="386"/>
      <c r="Z10" s="171"/>
      <c r="AA10" s="171"/>
      <c r="AB10" s="171"/>
      <c r="AC10" s="171"/>
      <c r="AD10" s="171"/>
    </row>
    <row r="11" spans="1:30" ht="14.25" customHeight="1">
      <c r="A11" s="386"/>
      <c r="B11" s="520" t="str">
        <f ca="1">INDEX(INDIRECT(小羊的家备份!T2),MATCH(1,INDIRECT(小羊的家备份!T1),0))</f>
        <v>家乡支援军-&gt;地狱飞龙</v>
      </c>
      <c r="C11" s="520"/>
      <c r="D11" s="520"/>
      <c r="E11" s="517" t="str">
        <f ca="1">HYPERLINK(INDEX(INDIRECT(小羊的家备份!T3),MATCH(1,INDIRECT(小羊的家备份!T1),0)),"&gt;&gt;进入")</f>
        <v>&gt;&gt;进入</v>
      </c>
      <c r="F11" s="137"/>
      <c r="G11" s="257" t="s">
        <v>32</v>
      </c>
      <c r="H11" s="137" t="str">
        <f ca="1">"★"&amp;TEXT(VALUE(LEFT(小羊的家备份!Z13,2)),"?0")&amp;" ☀"&amp;TEXT(VALUE(RIGHT(小羊的家备份!Z13,3)),"?0")</f>
        <v>★15 ☀ 5</v>
      </c>
      <c r="I11" s="137"/>
      <c r="J11" s="257" t="s">
        <v>33</v>
      </c>
      <c r="K11" s="137" t="str">
        <f ca="1">"★"&amp;TEXT(VALUE(LEFT(小羊的家备份!Z42,2)),"?0")&amp;" ☀"&amp;TEXT(VALUE(RIGHT(小羊的家备份!Z42,3)),"?0")</f>
        <v>★12 ☀ 4</v>
      </c>
      <c r="L11" s="137"/>
      <c r="M11" s="257" t="s">
        <v>34</v>
      </c>
      <c r="N11" s="137" t="str">
        <f ca="1">"★"&amp;TEXT(VALUE(小羊的家备份!Z60),"?0")</f>
        <v>★10</v>
      </c>
      <c r="O11" s="137"/>
      <c r="P11" s="257" t="s">
        <v>35</v>
      </c>
      <c r="Q11" s="137" t="str">
        <f ca="1">"★"&amp;TEXT(VALUE(小羊的家备份!Z88),"?0")</f>
        <v>★ 7</v>
      </c>
      <c r="R11" s="137"/>
      <c r="S11" s="54" t="s">
        <v>36</v>
      </c>
      <c r="T11" s="137">
        <f ca="1">小羊的家备份!Z125</f>
        <v>5500</v>
      </c>
      <c r="U11" s="137"/>
      <c r="V11" s="502" t="s">
        <v>37</v>
      </c>
      <c r="W11" s="505">
        <f ca="1">小羊的家备份!Z153</f>
        <v>1386</v>
      </c>
      <c r="X11" s="386"/>
      <c r="Y11" s="386"/>
      <c r="Z11" s="171"/>
      <c r="AA11" s="171"/>
      <c r="AB11" s="171"/>
      <c r="AC11" s="171"/>
      <c r="AD11" s="171"/>
    </row>
    <row r="12" spans="1:30" ht="14.25" customHeight="1">
      <c r="A12" s="386"/>
      <c r="B12" s="520"/>
      <c r="C12" s="520"/>
      <c r="D12" s="520"/>
      <c r="E12" s="518"/>
      <c r="F12" s="137"/>
      <c r="G12" s="257" t="s">
        <v>38</v>
      </c>
      <c r="H12" s="142" t="str">
        <f ca="1">"★"&amp;TEXT(VALUE(LEFT(小羊的家备份!Z14,2)),"?0")&amp;" ☀"&amp;TEXT(VALUE(RIGHT(小羊的家备份!Z14,3)),"?0")</f>
        <v>★ 7 ☀ 2</v>
      </c>
      <c r="I12" s="137"/>
      <c r="J12" s="257" t="s">
        <v>39</v>
      </c>
      <c r="K12" s="137" t="str">
        <f ca="1">"★"&amp;TEXT(VALUE(LEFT(小羊的家备份!Z43,2)),"?0")&amp;" ☀"&amp;TEXT(VALUE(RIGHT(小羊的家备份!Z43,3)),"?0")</f>
        <v>★ 7 ☀ 1</v>
      </c>
      <c r="L12" s="137"/>
      <c r="M12" s="257" t="s">
        <v>40</v>
      </c>
      <c r="N12" s="137" t="str">
        <f ca="1">"★"&amp;TEXT(VALUE(小羊的家备份!Z61),"?0")</f>
        <v>★11</v>
      </c>
      <c r="O12" s="137"/>
      <c r="P12" s="257" t="s">
        <v>41</v>
      </c>
      <c r="Q12" s="137" t="str">
        <f ca="1">"★"&amp;TEXT(VALUE(小羊的家备份!Z89),"?0")</f>
        <v>★ 4</v>
      </c>
      <c r="R12" s="137"/>
      <c r="S12" s="137"/>
      <c r="T12" s="137"/>
      <c r="U12" s="137"/>
      <c r="V12" s="500" t="s">
        <v>42</v>
      </c>
      <c r="W12" s="505">
        <f ca="1">小羊的家备份!Z154</f>
        <v>270.5</v>
      </c>
      <c r="X12" s="386"/>
      <c r="Y12" s="386"/>
      <c r="Z12" s="171"/>
      <c r="AA12" s="171"/>
      <c r="AB12" s="171"/>
      <c r="AC12" s="171"/>
      <c r="AD12" s="171"/>
    </row>
    <row r="13" spans="1:30" ht="14.25" customHeight="1">
      <c r="A13" s="386"/>
      <c r="B13" s="137"/>
      <c r="C13" s="137"/>
      <c r="D13" s="137"/>
      <c r="E13" s="137"/>
      <c r="F13" s="137"/>
      <c r="G13" s="257" t="s">
        <v>43</v>
      </c>
      <c r="H13" s="137" t="str">
        <f ca="1">"★"&amp;TEXT(VALUE(LEFT(小羊的家备份!Z15,2)),"?0")&amp;" ☀"&amp;TEXT(VALUE(RIGHT(小羊的家备份!Z15,3)),"?0")</f>
        <v>★13 ☀ 5</v>
      </c>
      <c r="I13" s="137"/>
      <c r="J13" s="257" t="s">
        <v>44</v>
      </c>
      <c r="K13" s="137" t="str">
        <f ca="1">"★"&amp;TEXT(VALUE(LEFT(小羊的家备份!Z44,2)),"?0")&amp;" ☀"&amp;TEXT(VALUE(RIGHT(小羊的家备份!Z44,3)),"?0")</f>
        <v>★ 5 ☀ 1</v>
      </c>
      <c r="L13" s="137"/>
      <c r="M13" s="257" t="s">
        <v>45</v>
      </c>
      <c r="N13" s="137" t="str">
        <f ca="1">"★"&amp;TEXT(VALUE(小羊的家备份!Z62),"?0")</f>
        <v>★ 7</v>
      </c>
      <c r="O13" s="137"/>
      <c r="P13" s="137" t="s">
        <v>46</v>
      </c>
      <c r="Q13" s="137" t="str">
        <f ca="1">"★"&amp;TEXT(VALUE(小羊的家备份!Z90),"?0")</f>
        <v>★ 4</v>
      </c>
      <c r="R13" s="137"/>
      <c r="S13" s="515" t="s">
        <v>47</v>
      </c>
      <c r="T13" s="516"/>
      <c r="U13" s="137"/>
      <c r="V13" s="120" t="s">
        <v>48</v>
      </c>
      <c r="W13" s="506">
        <f ca="1">小羊的家备份!Z155</f>
        <v>210</v>
      </c>
      <c r="X13" s="386"/>
      <c r="Y13" s="386"/>
      <c r="Z13" s="171"/>
      <c r="AA13" s="171"/>
      <c r="AB13" s="171"/>
      <c r="AC13" s="171"/>
      <c r="AD13" s="171"/>
    </row>
    <row r="14" spans="1:30" ht="14.25" customHeight="1">
      <c r="A14" s="386"/>
      <c r="B14" s="520" t="str">
        <f ca="1">INDEX(INDIRECT(小羊的家备份!T2),MATCH(2,INDIRECT(小羊的家备份!T1),0))</f>
        <v>都城军队-&gt;地狱飞龙</v>
      </c>
      <c r="C14" s="520"/>
      <c r="D14" s="520"/>
      <c r="E14" s="517" t="str">
        <f ca="1">HYPERLINK(INDEX(INDIRECT(小羊的家备份!T3),MATCH(2,INDIRECT(小羊的家备份!T1),0)),"&gt;&gt;进入")</f>
        <v>&gt;&gt;进入</v>
      </c>
      <c r="F14" s="137"/>
      <c r="G14" s="257" t="s">
        <v>49</v>
      </c>
      <c r="H14" s="137" t="str">
        <f ca="1">"★"&amp;TEXT(VALUE(LEFT(小羊的家备份!Z16,2)),"?0")&amp;" ☀"&amp;TEXT(VALUE(RIGHT(小羊的家备份!Z16,3)),"?0")</f>
        <v>★10 ☀ 2</v>
      </c>
      <c r="I14" s="137"/>
      <c r="J14" s="257" t="s">
        <v>50</v>
      </c>
      <c r="K14" s="137" t="str">
        <f ca="1">"★"&amp;TEXT(VALUE(LEFT(小羊的家备份!Z45,2)),"?0")&amp;" ☀"&amp;TEXT(VALUE(RIGHT(小羊的家备份!Z45,3)),"?0")</f>
        <v>★ 7 ☀ 1</v>
      </c>
      <c r="L14" s="137"/>
      <c r="M14" s="257" t="s">
        <v>51</v>
      </c>
      <c r="N14" s="137" t="str">
        <f ca="1">"★"&amp;TEXT(VALUE(小羊的家备份!Z63),"?0")</f>
        <v>★ 9</v>
      </c>
      <c r="O14" s="137"/>
      <c r="P14" s="137"/>
      <c r="Q14" s="137"/>
      <c r="R14" s="137"/>
      <c r="S14" s="54" t="s">
        <v>52</v>
      </c>
      <c r="T14" s="137">
        <f ca="1">小羊的家备份!Z128</f>
        <v>13</v>
      </c>
      <c r="U14" s="137"/>
      <c r="V14" s="500" t="s">
        <v>53</v>
      </c>
      <c r="W14" s="500">
        <f ca="1">小羊的家备份!Z156</f>
        <v>0</v>
      </c>
      <c r="X14" s="386"/>
      <c r="Y14" s="386"/>
      <c r="Z14" s="171"/>
      <c r="AA14" s="171"/>
      <c r="AB14" s="171"/>
      <c r="AC14" s="171"/>
      <c r="AD14" s="171"/>
    </row>
    <row r="15" spans="1:30" ht="14.25" customHeight="1">
      <c r="A15" s="386"/>
      <c r="B15" s="520"/>
      <c r="C15" s="520"/>
      <c r="D15" s="520"/>
      <c r="E15" s="518"/>
      <c r="F15" s="137"/>
      <c r="G15" s="257" t="s">
        <v>54</v>
      </c>
      <c r="H15" s="137" t="str">
        <f ca="1">"★"&amp;TEXT(VALUE(LEFT(小羊的家备份!Z17,2)),"?0")&amp;" ☀"&amp;TEXT(VALUE(RIGHT(小羊的家备份!Z17,3)),"?0")</f>
        <v>★10 ☀ 4</v>
      </c>
      <c r="I15" s="137"/>
      <c r="J15" s="257" t="s">
        <v>55</v>
      </c>
      <c r="K15" s="137" t="str">
        <f ca="1">"★"&amp;TEXT(VALUE(LEFT(小羊的家备份!Z46,2)),"?0")&amp;" ☀"&amp;TEXT(VALUE(RIGHT(小羊的家备份!Z46,3)),"?0")</f>
        <v>★15 ☀ 7</v>
      </c>
      <c r="L15" s="137"/>
      <c r="M15" s="257" t="s">
        <v>56</v>
      </c>
      <c r="N15" s="137" t="str">
        <f ca="1">"★"&amp;TEXT(VALUE(小羊的家备份!Z64),"?0")</f>
        <v>★ 9</v>
      </c>
      <c r="O15" s="137"/>
      <c r="P15" s="257" t="s">
        <v>57</v>
      </c>
      <c r="Q15" s="137" t="str">
        <f ca="1">"★"&amp;TEXT(VALUE(小羊的家备份!Z93),"?0")</f>
        <v>★ 9</v>
      </c>
      <c r="R15" s="137"/>
      <c r="S15" s="54" t="s">
        <v>30</v>
      </c>
      <c r="T15" s="137">
        <f ca="1">小羊的家备份!Z126</f>
        <v>150000</v>
      </c>
      <c r="U15" s="137"/>
      <c r="V15" s="500" t="s">
        <v>58</v>
      </c>
      <c r="W15" s="504">
        <f ca="1">小羊的家备份!Z157-小羊的家备份!Z156</f>
        <v>1600000000</v>
      </c>
      <c r="X15" s="386"/>
      <c r="Y15" s="386"/>
      <c r="Z15" s="171"/>
      <c r="AA15" s="171"/>
      <c r="AB15" s="171"/>
      <c r="AC15" s="171"/>
      <c r="AD15" s="171"/>
    </row>
    <row r="16" spans="1:30" ht="14.25" customHeight="1">
      <c r="A16" s="386"/>
      <c r="B16" s="137"/>
      <c r="C16" s="137"/>
      <c r="D16" s="137"/>
      <c r="E16" s="137"/>
      <c r="F16" s="137"/>
      <c r="G16" s="257" t="s">
        <v>59</v>
      </c>
      <c r="H16" s="137" t="str">
        <f ca="1">"★"&amp;TEXT(VALUE(LEFT(小羊的家备份!Z18,2)),"?0")&amp;" ☀"&amp;TEXT(VALUE(RIGHT(小羊的家备份!Z18,3)),"?0")</f>
        <v>★ 9 ☀ 3</v>
      </c>
      <c r="I16" s="137"/>
      <c r="J16" s="257" t="s">
        <v>60</v>
      </c>
      <c r="K16" s="137" t="str">
        <f ca="1">"★"&amp;TEXT(VALUE(LEFT(小羊的家备份!Z47,2)),"?0")&amp;" ☀"&amp;TEXT(VALUE(RIGHT(小羊的家备份!Z47,3)),"?0")</f>
        <v>★16 ☀ 4</v>
      </c>
      <c r="L16" s="137"/>
      <c r="M16" s="257" t="s">
        <v>61</v>
      </c>
      <c r="N16" s="137" t="str">
        <f ca="1">"★"&amp;TEXT(VALUE(小羊的家备份!Z65),"?0")</f>
        <v>★ 8</v>
      </c>
      <c r="O16" s="137"/>
      <c r="P16" s="257" t="s">
        <v>62</v>
      </c>
      <c r="Q16" s="137" t="str">
        <f ca="1">"★"&amp;TEXT(VALUE(小羊的家备份!Z94),"?0")</f>
        <v>★ 5</v>
      </c>
      <c r="R16" s="137"/>
      <c r="S16" s="54" t="s">
        <v>36</v>
      </c>
      <c r="T16" s="137">
        <f ca="1">小羊的家备份!Z127</f>
        <v>800</v>
      </c>
      <c r="U16" s="137"/>
      <c r="V16" s="137"/>
      <c r="W16" s="137"/>
      <c r="X16" s="386"/>
      <c r="Y16" s="386"/>
      <c r="Z16" s="171"/>
      <c r="AA16" s="171"/>
      <c r="AB16" s="171"/>
      <c r="AC16" s="171"/>
      <c r="AD16" s="171"/>
    </row>
    <row r="17" spans="1:30" ht="14.25" customHeight="1">
      <c r="A17" s="386"/>
      <c r="B17" s="520" t="str">
        <f ca="1">INDEX(INDIRECT(小羊的家备份!T2),MATCH(3,INDIRECT(小羊的家备份!T1),0))</f>
        <v>都城建筑-&gt;地狱飞龙训练营</v>
      </c>
      <c r="C17" s="520"/>
      <c r="D17" s="520"/>
      <c r="E17" s="517" t="str">
        <f ca="1">HYPERLINK(INDEX(INDIRECT(小羊的家备份!T3),MATCH(3,INDIRECT(小羊的家备份!T1),0)),"&gt;&gt;进入")</f>
        <v>&gt;&gt;进入</v>
      </c>
      <c r="F17" s="137"/>
      <c r="G17" s="257" t="s">
        <v>63</v>
      </c>
      <c r="H17" s="137" t="str">
        <f ca="1">"★"&amp;TEXT(VALUE(LEFT(小羊的家备份!Z19,2)),"?0")&amp;" ☀"&amp;TEXT(VALUE(RIGHT(小羊的家备份!Z19,3)),"?0")</f>
        <v>★ 5 ☀ 1</v>
      </c>
      <c r="I17" s="137"/>
      <c r="J17" s="257" t="s">
        <v>64</v>
      </c>
      <c r="K17" s="137" t="str">
        <f ca="1">"★"&amp;TEXT(VALUE(LEFT(小羊的家备份!Z48,2)),"?0")&amp;" ☀"&amp;TEXT(VALUE(RIGHT(小羊的家备份!Z48,3)),"?0")</f>
        <v>★15 ☀ 7</v>
      </c>
      <c r="L17" s="137"/>
      <c r="M17" s="257" t="s">
        <v>65</v>
      </c>
      <c r="N17" s="137" t="str">
        <f ca="1">"★"&amp;TEXT(VALUE(小羊的家备份!Z66),"?0")</f>
        <v>★ 8</v>
      </c>
      <c r="O17" s="137"/>
      <c r="P17" s="257" t="s">
        <v>66</v>
      </c>
      <c r="Q17" s="137" t="str">
        <f ca="1">"★"&amp;TEXT(VALUE(小羊的家备份!Z95),"?0")</f>
        <v>★ 5</v>
      </c>
      <c r="R17" s="137"/>
      <c r="S17" s="386"/>
      <c r="T17" s="386"/>
      <c r="U17" s="137"/>
      <c r="V17" s="137"/>
      <c r="W17" s="137"/>
      <c r="X17" s="386"/>
      <c r="Y17" s="386"/>
      <c r="Z17" s="171"/>
      <c r="AA17" s="171"/>
      <c r="AB17" s="171"/>
      <c r="AC17" s="171"/>
      <c r="AD17" s="171"/>
    </row>
    <row r="18" spans="1:30" ht="14.25" customHeight="1">
      <c r="A18" s="386"/>
      <c r="B18" s="520"/>
      <c r="C18" s="520"/>
      <c r="D18" s="520"/>
      <c r="E18" s="518"/>
      <c r="F18" s="137"/>
      <c r="G18" s="257" t="s">
        <v>67</v>
      </c>
      <c r="H18" s="137" t="str">
        <f ca="1">"★"&amp;TEXT(VALUE(LEFT(小羊的家备份!Z24,2)),"?0")&amp;" ☀"&amp;TEXT(VALUE(RIGHT(小羊的家备份!Z24,3)),"?0")</f>
        <v>★ 5 ☀ 1</v>
      </c>
      <c r="I18" s="137"/>
      <c r="J18" s="257" t="s">
        <v>68</v>
      </c>
      <c r="K18" s="137" t="str">
        <f ca="1">"★"&amp;TEXT(VALUE(LEFT(小羊的家备份!Z49,2)),"?0")&amp;" ☀"&amp;TEXT(VALUE(RIGHT(小羊的家备份!Z49,3)),"?0")</f>
        <v>★16 ☀ 4</v>
      </c>
      <c r="L18" s="137"/>
      <c r="M18" s="257" t="s">
        <v>69</v>
      </c>
      <c r="N18" s="137" t="str">
        <f ca="1">"★"&amp;TEXT(VALUE(小羊的家备份!Z67),"?0")</f>
        <v>★ 5</v>
      </c>
      <c r="O18" s="137"/>
      <c r="P18" s="257" t="s">
        <v>70</v>
      </c>
      <c r="Q18" s="137" t="str">
        <f ca="1">"★"&amp;TEXT(VALUE(小羊的家备份!Z96),"?0")</f>
        <v>★ 7</v>
      </c>
      <c r="R18" s="137"/>
      <c r="S18" s="515" t="s">
        <v>71</v>
      </c>
      <c r="T18" s="516"/>
      <c r="U18" s="137"/>
      <c r="V18" s="526" t="s">
        <v>72</v>
      </c>
      <c r="W18" s="527"/>
      <c r="X18" s="386"/>
      <c r="Y18" s="386"/>
      <c r="Z18" s="171"/>
      <c r="AA18" s="171"/>
      <c r="AB18" s="171"/>
      <c r="AC18" s="171"/>
      <c r="AD18" s="171"/>
    </row>
    <row r="19" spans="1:30" ht="14.25" customHeight="1">
      <c r="A19" s="386"/>
      <c r="B19" s="137"/>
      <c r="C19" s="137"/>
      <c r="D19" s="137"/>
      <c r="E19" s="137"/>
      <c r="F19" s="137"/>
      <c r="G19" s="257" t="s">
        <v>73</v>
      </c>
      <c r="H19" s="137" t="str">
        <f ca="1">"★"&amp;TEXT(VALUE(LEFT(小羊的家备份!Z20,2)),"?0")&amp;" ☀"&amp;TEXT(VALUE(RIGHT(小羊的家备份!Z20,3)),"?0")</f>
        <v>★ 3 ☀ 2</v>
      </c>
      <c r="I19" s="137"/>
      <c r="J19" s="257" t="s">
        <v>74</v>
      </c>
      <c r="K19" s="137" t="str">
        <f ca="1">"★"&amp;TEXT(VALUE(LEFT(小羊的家备份!Z50,2)),"?0")&amp;" ☀"&amp;TEXT(VALUE(RIGHT(小羊的家备份!Z50,3)),"?0")</f>
        <v>★ 9 ☀ 3</v>
      </c>
      <c r="L19" s="137"/>
      <c r="M19" s="257" t="s">
        <v>75</v>
      </c>
      <c r="N19" s="137" t="str">
        <f ca="1">"★"&amp;TEXT(VALUE(小羊的家备份!Z68),"?0")</f>
        <v>★ 4</v>
      </c>
      <c r="O19" s="137"/>
      <c r="P19" s="257" t="s">
        <v>76</v>
      </c>
      <c r="Q19" s="137" t="str">
        <f ca="1">"★"&amp;TEXT(VALUE(小羊的家备份!Z97),"?0")</f>
        <v>★ 6</v>
      </c>
      <c r="R19" s="137"/>
      <c r="S19" s="54" t="s">
        <v>30</v>
      </c>
      <c r="T19" s="137">
        <f ca="1">小羊的家备份!Z131</f>
        <v>4800000</v>
      </c>
      <c r="U19" s="137"/>
      <c r="V19" s="529" t="s">
        <v>72</v>
      </c>
      <c r="W19" s="528"/>
      <c r="X19" s="386"/>
      <c r="Y19" s="386"/>
      <c r="Z19" s="171"/>
      <c r="AA19" s="171"/>
      <c r="AB19" s="171"/>
      <c r="AC19" s="171"/>
      <c r="AD19" s="171"/>
    </row>
    <row r="20" spans="1:30" ht="14.25" customHeight="1">
      <c r="A20" s="386"/>
      <c r="B20" s="137" t="s">
        <v>77</v>
      </c>
      <c r="C20" s="137"/>
      <c r="D20" s="137"/>
      <c r="E20" s="499"/>
      <c r="F20" s="137"/>
      <c r="G20" s="257" t="s">
        <v>78</v>
      </c>
      <c r="H20" s="137" t="str">
        <f ca="1">"★"&amp;TEXT(VALUE(LEFT(小羊的家备份!Z21,2)),"?0")&amp;" ☀"&amp;TEXT(VALUE(RIGHT(小羊的家备份!Z21,3)),"?0")</f>
        <v>★ 4 ☀ 5</v>
      </c>
      <c r="I20" s="137"/>
      <c r="J20" s="257" t="s">
        <v>79</v>
      </c>
      <c r="K20" s="137" t="str">
        <f ca="1">"★"&amp;TEXT(VALUE(LEFT(小羊的家备份!Z51,2)),"?0")&amp;" ☀"&amp;TEXT(VALUE(RIGHT(小羊的家备份!Z51,3)),"?0")</f>
        <v>★10 ☀ 1</v>
      </c>
      <c r="L20" s="137"/>
      <c r="M20" s="257" t="s">
        <v>80</v>
      </c>
      <c r="N20" s="137" t="str">
        <f ca="1">"★"&amp;TEXT(VALUE(小羊的家备份!Z69),"?0")</f>
        <v>★ 3</v>
      </c>
      <c r="O20" s="137"/>
      <c r="P20" s="137"/>
      <c r="Q20" s="137"/>
      <c r="R20" s="137"/>
      <c r="S20" s="54" t="s">
        <v>36</v>
      </c>
      <c r="T20" s="137">
        <f ca="1">小羊的家备份!Z132</f>
        <v>24000</v>
      </c>
      <c r="U20" s="137"/>
      <c r="V20" s="500" t="s">
        <v>19</v>
      </c>
      <c r="W20" s="504">
        <f ca="1">小羊的家备份!Z158</f>
        <v>2454259950</v>
      </c>
      <c r="X20" s="386"/>
      <c r="Y20" s="386"/>
      <c r="Z20" s="171"/>
      <c r="AA20" s="171"/>
      <c r="AB20" s="171"/>
      <c r="AC20" s="171"/>
      <c r="AD20" s="171"/>
    </row>
    <row r="21" spans="1:30" ht="14.25" customHeight="1">
      <c r="A21" s="386"/>
      <c r="B21" s="137"/>
      <c r="C21" s="137"/>
      <c r="D21" s="137"/>
      <c r="E21" s="499"/>
      <c r="F21" s="137"/>
      <c r="G21" s="257" t="s">
        <v>81</v>
      </c>
      <c r="H21" s="137" t="str">
        <f ca="1">"★"&amp;TEXT(VALUE(LEFT(小羊的家备份!Z22,2)),"?0")&amp;" ☀"&amp;TEXT(VALUE(RIGHT(小羊的家备份!Z22,3)),"?0")</f>
        <v>★ 3 ☀ 2</v>
      </c>
      <c r="I21" s="137"/>
      <c r="J21" s="95" t="s">
        <v>82</v>
      </c>
      <c r="K21" s="137" t="str">
        <f ca="1">"★"&amp;TEXT(VALUE(LEFT(小羊的家备份!Z52,2)),"?0")&amp;" ☀"&amp;TEXT(VALUE(RIGHT(小羊的家备份!Z52,3)),"?0")</f>
        <v>★ 8 ☀ 1</v>
      </c>
      <c r="L21" s="137"/>
      <c r="M21" s="137" t="s">
        <v>83</v>
      </c>
      <c r="N21" s="137" t="str">
        <f ca="1">"★"&amp;TEXT(VALUE(小羊的家备份!Z70),"?0")</f>
        <v>★ 3</v>
      </c>
      <c r="O21" s="137"/>
      <c r="P21" s="137"/>
      <c r="Q21" s="137"/>
      <c r="R21" s="137"/>
      <c r="S21" s="386"/>
      <c r="T21" s="386"/>
      <c r="U21" s="137"/>
      <c r="V21" s="500" t="s">
        <v>25</v>
      </c>
      <c r="W21" s="504">
        <f ca="1">小羊的家备份!Z159</f>
        <v>4458169500</v>
      </c>
      <c r="X21" s="386"/>
      <c r="Y21" s="386"/>
      <c r="Z21" s="171"/>
      <c r="AA21" s="171"/>
      <c r="AB21" s="171"/>
      <c r="AC21" s="171"/>
      <c r="AD21" s="171"/>
    </row>
    <row r="22" spans="1:30" ht="14.25" customHeight="1">
      <c r="A22" s="386"/>
      <c r="B22" s="137"/>
      <c r="C22" s="137"/>
      <c r="D22" s="137"/>
      <c r="E22" s="137"/>
      <c r="F22" s="137"/>
      <c r="G22" s="257" t="s">
        <v>84</v>
      </c>
      <c r="H22" s="137" t="str">
        <f ca="1">"★"&amp;TEXT(VALUE(LEFT(小羊的家备份!Z23,2)),"?0")&amp;" ☀"&amp;TEXT(VALUE(RIGHT(小羊的家备份!Z23,3)),"?0")</f>
        <v>★ 2 ☀ 1</v>
      </c>
      <c r="I22" s="137"/>
      <c r="J22" s="137"/>
      <c r="K22" s="137"/>
      <c r="L22" s="137"/>
      <c r="M22" s="137"/>
      <c r="N22" s="137"/>
      <c r="O22" s="137"/>
      <c r="P22" s="137"/>
      <c r="Q22" s="137"/>
      <c r="R22" s="137"/>
      <c r="S22" s="515" t="s">
        <v>85</v>
      </c>
      <c r="T22" s="516"/>
      <c r="U22" s="137"/>
      <c r="V22" s="120" t="s">
        <v>31</v>
      </c>
      <c r="W22" s="150">
        <f ca="1">小羊的家备份!Z160</f>
        <v>58010000</v>
      </c>
      <c r="X22" s="386"/>
      <c r="Y22" s="386"/>
      <c r="Z22" s="171"/>
      <c r="AA22" s="171"/>
      <c r="AB22" s="171"/>
      <c r="AC22" s="171"/>
      <c r="AD22" s="171"/>
    </row>
    <row r="23" spans="1:30" ht="14.25" customHeight="1">
      <c r="A23" s="386"/>
      <c r="B23" s="137"/>
      <c r="C23" s="137"/>
      <c r="D23" s="137"/>
      <c r="E23" s="137"/>
      <c r="F23" s="137"/>
      <c r="G23" s="257" t="s">
        <v>86</v>
      </c>
      <c r="H23" s="137" t="str">
        <f ca="1">"★"&amp;TEXT(VALUE(LEFT(小羊的家备份!Z25,2)),"?0")&amp;" ☀"&amp;TEXT(VALUE(RIGHT(小羊的家备份!Z25,3)),"?0")</f>
        <v>★ 5 ☀ 1</v>
      </c>
      <c r="I23" s="137"/>
      <c r="J23" s="137"/>
      <c r="K23" s="137"/>
      <c r="L23" s="137"/>
      <c r="M23" s="257" t="s">
        <v>87</v>
      </c>
      <c r="N23" s="137" t="str">
        <f ca="1">"★"&amp;TEXT(VALUE(小羊的家备份!Z72),"?0")</f>
        <v>★11</v>
      </c>
      <c r="O23" s="137"/>
      <c r="P23" s="257" t="s">
        <v>88</v>
      </c>
      <c r="Q23" s="137" t="str">
        <f ca="1">"★"&amp;TEXT(VALUE(小羊的家备份!Z114),"?0")</f>
        <v>★ 4</v>
      </c>
      <c r="R23" s="137"/>
      <c r="S23" s="54" t="s">
        <v>30</v>
      </c>
      <c r="T23" s="137">
        <f ca="1">小羊的家备份!Z129</f>
        <v>3000000</v>
      </c>
      <c r="U23" s="137"/>
      <c r="V23" s="502" t="s">
        <v>37</v>
      </c>
      <c r="W23" s="505">
        <f ca="1">小羊的家备份!Z161</f>
        <v>7598.432055511852</v>
      </c>
      <c r="X23" s="386"/>
      <c r="Y23" s="386"/>
      <c r="Z23" s="171"/>
      <c r="AA23" s="171"/>
      <c r="AB23" s="171"/>
      <c r="AC23" s="171"/>
      <c r="AD23" s="171"/>
    </row>
    <row r="24" spans="1:30" ht="14.25" customHeight="1">
      <c r="A24" s="386"/>
      <c r="B24" s="137"/>
      <c r="C24" s="137"/>
      <c r="D24" s="137"/>
      <c r="E24" s="137"/>
      <c r="F24" s="137"/>
      <c r="G24" s="257" t="s">
        <v>89</v>
      </c>
      <c r="H24" s="137" t="str">
        <f ca="1">"★"&amp;TEXT(VALUE(LEFT(小羊的家备份!Z26,2)),"?0")&amp;" ☀"&amp;TEXT(VALUE(RIGHT(小羊的家备份!Z26,3)),"?0")</f>
        <v>★ 5 ☀ 1</v>
      </c>
      <c r="I24" s="137"/>
      <c r="J24" s="137"/>
      <c r="K24" s="137"/>
      <c r="L24" s="137"/>
      <c r="M24" s="257" t="s">
        <v>90</v>
      </c>
      <c r="N24" s="137" t="str">
        <f ca="1">"★"&amp;TEXT(VALUE(小羊的家备份!Z73),"?0")</f>
        <v>★11</v>
      </c>
      <c r="O24" s="137"/>
      <c r="P24" s="257" t="s">
        <v>91</v>
      </c>
      <c r="Q24" s="137" t="str">
        <f ca="1">"★"&amp;TEXT(VALUE(小羊的家备份!Z115),"?0")</f>
        <v>★ 4</v>
      </c>
      <c r="R24" s="137"/>
      <c r="S24" s="54" t="s">
        <v>36</v>
      </c>
      <c r="T24" s="137">
        <f ca="1">小羊的家备份!Z130</f>
        <v>6000</v>
      </c>
      <c r="U24" s="137"/>
      <c r="V24" s="500" t="s">
        <v>42</v>
      </c>
      <c r="W24" s="505">
        <f ca="1">小羊的家备份!Z162</f>
        <v>1852.9999999999998</v>
      </c>
      <c r="X24" s="386"/>
      <c r="Y24" s="386"/>
      <c r="Z24" s="171"/>
      <c r="AA24" s="171"/>
      <c r="AB24" s="171"/>
      <c r="AC24" s="171"/>
      <c r="AD24" s="171"/>
    </row>
    <row r="25" spans="1:30" ht="14.25" customHeight="1">
      <c r="A25" s="386"/>
      <c r="B25" s="137"/>
      <c r="C25" s="137"/>
      <c r="D25" s="137"/>
      <c r="E25" s="137"/>
      <c r="F25" s="137"/>
      <c r="G25" s="257" t="s">
        <v>92</v>
      </c>
      <c r="H25" s="142" t="str">
        <f ca="1">"★"&amp;TEXT(VALUE(LEFT(小羊的家备份!Z27,2)),"?0")&amp;" ☀"&amp;TEXT(VALUE(RIGHT(小羊的家备份!Z27,3)),"?0")</f>
        <v>★ 5 ☀ 1</v>
      </c>
      <c r="I25" s="137"/>
      <c r="J25" s="137"/>
      <c r="K25" s="137"/>
      <c r="L25" s="137"/>
      <c r="M25" s="257" t="s">
        <v>93</v>
      </c>
      <c r="N25" s="137" t="str">
        <f ca="1">"★"&amp;TEXT(VALUE(小羊的家备份!Z74),"?0")</f>
        <v>★ 9</v>
      </c>
      <c r="O25" s="137"/>
      <c r="P25" s="257" t="s">
        <v>94</v>
      </c>
      <c r="Q25" s="137" t="str">
        <f ca="1">"★"&amp;TEXT(VALUE(小羊的家备份!Z116),"?0")</f>
        <v>★ 4</v>
      </c>
      <c r="R25" s="137"/>
      <c r="S25" s="137" t="s">
        <v>95</v>
      </c>
      <c r="T25" s="137">
        <f ca="1">小羊的家备份!Z133</f>
        <v>18000000</v>
      </c>
      <c r="U25" s="137"/>
      <c r="V25" s="120" t="s">
        <v>48</v>
      </c>
      <c r="W25" s="506">
        <f ca="1">小羊的家备份!Z163</f>
        <v>420</v>
      </c>
      <c r="X25" s="386"/>
      <c r="Y25" s="386"/>
      <c r="Z25" s="171"/>
      <c r="AA25" s="171"/>
      <c r="AB25" s="171"/>
      <c r="AC25" s="171"/>
      <c r="AD25" s="171"/>
    </row>
    <row r="26" spans="1:30" ht="14.25" customHeight="1">
      <c r="A26" s="386"/>
      <c r="B26" s="137"/>
      <c r="C26" s="137"/>
      <c r="D26" s="137"/>
      <c r="E26" s="137"/>
      <c r="F26" s="137"/>
      <c r="G26" s="137"/>
      <c r="H26" s="137"/>
      <c r="I26" s="137"/>
      <c r="J26" s="137"/>
      <c r="K26" s="137"/>
      <c r="L26" s="137"/>
      <c r="M26" s="257" t="s">
        <v>96</v>
      </c>
      <c r="N26" s="137" t="str">
        <f ca="1">"★"&amp;TEXT(VALUE(小羊的家备份!Z75),"?0")</f>
        <v>★11</v>
      </c>
      <c r="O26" s="137"/>
      <c r="P26" s="257" t="s">
        <v>97</v>
      </c>
      <c r="Q26" s="137" t="str">
        <f ca="1">"★"&amp;TEXT(VALUE(小羊的家备份!Z117),"?0")</f>
        <v>★ 4</v>
      </c>
      <c r="R26" s="137"/>
      <c r="S26" s="137" t="s">
        <v>98</v>
      </c>
      <c r="T26" s="137">
        <f ca="1">小羊的家备份!Z134</f>
        <v>180000</v>
      </c>
      <c r="U26" s="137"/>
      <c r="V26" s="500"/>
      <c r="W26" s="500"/>
      <c r="X26" s="386"/>
      <c r="Y26" s="386"/>
      <c r="Z26" s="171"/>
      <c r="AA26" s="171"/>
      <c r="AB26" s="171"/>
      <c r="AC26" s="171"/>
      <c r="AD26" s="171"/>
    </row>
    <row r="27" spans="1:30" ht="14.25" customHeight="1">
      <c r="A27" s="386"/>
      <c r="B27" s="530" t="s">
        <v>99</v>
      </c>
      <c r="C27" s="530"/>
      <c r="D27" s="530" t="s">
        <v>100</v>
      </c>
      <c r="E27" s="530"/>
      <c r="F27" s="137"/>
      <c r="G27" s="137"/>
      <c r="H27" s="137"/>
      <c r="I27" s="137"/>
      <c r="J27" s="137"/>
      <c r="K27" s="137"/>
      <c r="L27" s="137"/>
      <c r="M27" s="257" t="s">
        <v>101</v>
      </c>
      <c r="N27" s="137" t="str">
        <f ca="1">"★"&amp;TEXT(VALUE(小羊的家备份!Z76),"?0")</f>
        <v>★ 6</v>
      </c>
      <c r="O27" s="137"/>
      <c r="P27" s="257" t="s">
        <v>102</v>
      </c>
      <c r="Q27" s="137" t="str">
        <f ca="1">"★"&amp;TEXT(VALUE(小羊的家备份!Z118),"?0")</f>
        <v>★ 4</v>
      </c>
      <c r="R27" s="137"/>
      <c r="S27" s="137"/>
      <c r="T27" s="137"/>
      <c r="U27" s="137"/>
      <c r="V27" s="500" t="s">
        <v>53</v>
      </c>
      <c r="W27" s="504">
        <f ca="1">小羊的家备份!Z164</f>
        <v>5216250</v>
      </c>
      <c r="X27" s="386"/>
      <c r="Y27" s="386"/>
      <c r="Z27" s="171"/>
      <c r="AA27" s="171"/>
      <c r="AB27" s="171"/>
      <c r="AC27" s="171"/>
      <c r="AD27" s="171"/>
    </row>
    <row r="28" spans="1:30" ht="14.25" customHeight="1">
      <c r="A28" s="386"/>
      <c r="B28" s="530"/>
      <c r="C28" s="530"/>
      <c r="D28" s="530"/>
      <c r="E28" s="530"/>
      <c r="F28" s="137"/>
      <c r="G28" s="257" t="s">
        <v>103</v>
      </c>
      <c r="H28" s="137" t="str">
        <f ca="1">"★"&amp;TEXT(VALUE(LEFT(小羊的家备份!Z29,2)),"?0")&amp;" ☀"&amp;TEXT(VALUE(RIGHT(小羊的家备份!Z29,3)),"?0")</f>
        <v>★11 ☀ 8</v>
      </c>
      <c r="I28" s="137"/>
      <c r="J28" s="257" t="s">
        <v>104</v>
      </c>
      <c r="K28" s="137" t="str">
        <f ca="1">"★"&amp;TEXT(VALUE(小羊的家备份!Z100),"?0")</f>
        <v>★85</v>
      </c>
      <c r="L28" s="137"/>
      <c r="M28" s="257" t="s">
        <v>105</v>
      </c>
      <c r="N28" s="137" t="str">
        <f ca="1">"★"&amp;TEXT(VALUE(小羊的家备份!Z77),"?0")</f>
        <v>★ 6</v>
      </c>
      <c r="O28" s="137"/>
      <c r="P28" s="137" t="s">
        <v>106</v>
      </c>
      <c r="Q28" s="137" t="str">
        <f ca="1">"★"&amp;TEXT(VALUE(小羊的家备份!Z119),"?0")</f>
        <v>★ 4</v>
      </c>
      <c r="R28" s="137"/>
      <c r="S28" s="137"/>
      <c r="T28" s="137"/>
      <c r="U28" s="137"/>
      <c r="V28" s="500" t="s">
        <v>58</v>
      </c>
      <c r="W28" s="504">
        <f ca="1">小羊的家备份!Z165-小羊的家备份!Z164</f>
        <v>6466875000</v>
      </c>
      <c r="X28" s="386"/>
      <c r="Y28" s="386"/>
      <c r="Z28" s="171"/>
      <c r="AA28" s="171"/>
      <c r="AB28" s="171"/>
      <c r="AC28" s="171"/>
      <c r="AD28" s="171"/>
    </row>
    <row r="29" spans="1:30" ht="14.25" customHeight="1">
      <c r="A29" s="386"/>
      <c r="B29" s="137"/>
      <c r="C29" s="137"/>
      <c r="D29" s="137"/>
      <c r="E29" s="137"/>
      <c r="F29" s="137"/>
      <c r="G29" s="257" t="s">
        <v>107</v>
      </c>
      <c r="H29" s="137" t="str">
        <f ca="1">"★"&amp;TEXT(VALUE(LEFT(小羊的家备份!Z30,2)),"?0")&amp;" ☀"&amp;TEXT(VALUE(RIGHT(小羊的家备份!Z30,3)),"?0")</f>
        <v>★10 ☀ 7</v>
      </c>
      <c r="I29" s="137"/>
      <c r="J29" s="257" t="s">
        <v>108</v>
      </c>
      <c r="K29" s="137" t="str">
        <f ca="1">"★"&amp;TEXT(VALUE(小羊的家备份!Z101),"?0")</f>
        <v>★85</v>
      </c>
      <c r="L29" s="137"/>
      <c r="M29" s="257" t="s">
        <v>109</v>
      </c>
      <c r="N29" s="137" t="str">
        <f ca="1">"★"&amp;TEXT(VALUE(小羊的家备份!Z78),"?0")</f>
        <v>★ 6</v>
      </c>
      <c r="O29" s="137"/>
      <c r="P29" s="137" t="s">
        <v>110</v>
      </c>
      <c r="Q29" s="137" t="str">
        <f ca="1">"★"&amp;TEXT(VALUE(小羊的家备份!Z120),"?0")</f>
        <v>★ 4</v>
      </c>
      <c r="R29" s="137"/>
      <c r="S29" s="515" t="s">
        <v>111</v>
      </c>
      <c r="T29" s="516"/>
      <c r="U29" s="137"/>
      <c r="V29" s="137"/>
      <c r="W29" s="137"/>
      <c r="X29" s="386"/>
      <c r="Y29" s="386"/>
      <c r="Z29" s="171"/>
      <c r="AA29" s="171"/>
      <c r="AB29" s="171"/>
      <c r="AC29" s="171"/>
      <c r="AD29" s="171"/>
    </row>
    <row r="30" spans="1:30" ht="14.25" customHeight="1">
      <c r="A30" s="386"/>
      <c r="B30" s="137"/>
      <c r="C30" s="137"/>
      <c r="D30" s="137"/>
      <c r="E30" s="137"/>
      <c r="F30" s="137"/>
      <c r="G30" s="257" t="s">
        <v>112</v>
      </c>
      <c r="H30" s="137" t="str">
        <f ca="1">"★"&amp;TEXT(VALUE(LEFT(小羊的家备份!Z31,2)),"?0")&amp;" ☀"&amp;TEXT(VALUE(RIGHT(小羊的家备份!Z31,3)),"?0")</f>
        <v>★ 4 ☀ 8</v>
      </c>
      <c r="I30" s="137"/>
      <c r="J30" s="257" t="s">
        <v>113</v>
      </c>
      <c r="K30" s="137" t="str">
        <f ca="1">"★"&amp;TEXT(VALUE(小羊的家备份!Z102),"?0")</f>
        <v>★60</v>
      </c>
      <c r="L30" s="137"/>
      <c r="M30" s="257" t="s">
        <v>114</v>
      </c>
      <c r="N30" s="137" t="str">
        <f ca="1">"★"&amp;TEXT(VALUE(小羊的家备份!Z79),"?0")</f>
        <v>★ 6</v>
      </c>
      <c r="O30" s="137"/>
      <c r="P30" s="137"/>
      <c r="Q30" s="137"/>
      <c r="R30" s="137"/>
      <c r="S30" s="421" t="s">
        <v>115</v>
      </c>
      <c r="T30" s="507">
        <f ca="1">小羊的家备份!Z145</f>
        <v>5</v>
      </c>
      <c r="U30" s="137"/>
      <c r="V30" s="137"/>
      <c r="W30" s="137"/>
      <c r="X30" s="386"/>
      <c r="Y30" s="386"/>
      <c r="Z30" s="171"/>
      <c r="AA30" s="171"/>
      <c r="AB30" s="171"/>
      <c r="AC30" s="171"/>
      <c r="AD30" s="171"/>
    </row>
    <row r="31" spans="1:30" ht="14.25" customHeight="1">
      <c r="A31" s="386"/>
      <c r="B31" s="137"/>
      <c r="C31" s="137"/>
      <c r="D31" s="137"/>
      <c r="E31" s="137"/>
      <c r="F31" s="137"/>
      <c r="G31" s="257" t="s">
        <v>116</v>
      </c>
      <c r="H31" s="137" t="str">
        <f ca="1">"★"&amp;TEXT(VALUE(LEFT(小羊的家备份!Z32,2)),"?0")&amp;" ☀"&amp;TEXT(VALUE(RIGHT(小羊的家备份!Z32,3)),"?0")</f>
        <v>★ 5 ☀ 9</v>
      </c>
      <c r="I31" s="137"/>
      <c r="J31" s="257" t="s">
        <v>117</v>
      </c>
      <c r="K31" s="137" t="str">
        <f ca="1">"★"&amp;TEXT(VALUE(小羊的家备份!Z103),"?0")</f>
        <v>★35</v>
      </c>
      <c r="L31" s="137"/>
      <c r="M31" s="137" t="s">
        <v>118</v>
      </c>
      <c r="N31" s="137" t="str">
        <f ca="1">"★"&amp;TEXT(VALUE(小羊的家备份!Z80),"?0")</f>
        <v>★ 3</v>
      </c>
      <c r="O31" s="137"/>
      <c r="P31" s="137" t="s">
        <v>119</v>
      </c>
      <c r="Q31" s="137" t="str">
        <f ca="1">"★"&amp;TEXT(VALUE(小羊的家备份!Z105),"?0")</f>
        <v>★10</v>
      </c>
      <c r="R31" s="137"/>
      <c r="S31" s="421" t="s">
        <v>120</v>
      </c>
      <c r="T31" s="507">
        <f ca="1">小羊的家备份!Z146</f>
        <v>5</v>
      </c>
      <c r="U31" s="137"/>
      <c r="V31" s="137"/>
      <c r="W31" s="137"/>
      <c r="X31" s="386"/>
      <c r="Y31" s="386"/>
      <c r="Z31" s="171"/>
      <c r="AA31" s="171"/>
      <c r="AB31" s="171"/>
      <c r="AC31" s="171"/>
      <c r="AD31" s="171"/>
    </row>
    <row r="32" spans="1:30" ht="14.25" customHeight="1">
      <c r="A32" s="386"/>
      <c r="B32" s="137"/>
      <c r="C32" s="137"/>
      <c r="D32" s="137"/>
      <c r="E32" s="137"/>
      <c r="F32" s="137"/>
      <c r="G32" s="257" t="s">
        <v>121</v>
      </c>
      <c r="H32" s="137" t="str">
        <f ca="1">"★"&amp;TEXT(VALUE(LEFT(小羊的家备份!Z33,2)),"?0")&amp;" ☀"&amp;TEXT(VALUE(RIGHT(小羊的家备份!Z33,3)),"?0")</f>
        <v>★ 8 ☀ 7</v>
      </c>
      <c r="I32" s="137"/>
      <c r="J32" s="137"/>
      <c r="K32" s="137"/>
      <c r="L32" s="137"/>
      <c r="M32" s="137"/>
      <c r="N32" s="137"/>
      <c r="O32" s="137"/>
      <c r="P32" s="137" t="s">
        <v>122</v>
      </c>
      <c r="Q32" s="137" t="str">
        <f ca="1">"★"&amp;TEXT(VALUE(小羊的家备份!Z106),"?0")</f>
        <v>★10</v>
      </c>
      <c r="R32" s="137"/>
      <c r="S32" s="421" t="s">
        <v>123</v>
      </c>
      <c r="T32" s="507">
        <f ca="1">小羊的家备份!Z147</f>
        <v>5</v>
      </c>
      <c r="U32" s="137"/>
      <c r="V32" s="137"/>
      <c r="W32" s="137"/>
      <c r="X32" s="386"/>
      <c r="Y32" s="386"/>
      <c r="Z32" s="171"/>
      <c r="AA32" s="171"/>
      <c r="AB32" s="171"/>
      <c r="AC32" s="171"/>
      <c r="AD32" s="171"/>
    </row>
    <row r="33" spans="1:30" ht="14.25" customHeight="1">
      <c r="A33" s="386"/>
      <c r="B33" s="137"/>
      <c r="C33" s="137"/>
      <c r="D33" s="137"/>
      <c r="E33" s="137"/>
      <c r="F33" s="137"/>
      <c r="G33" s="257" t="s">
        <v>124</v>
      </c>
      <c r="H33" s="137" t="str">
        <f ca="1">"★"&amp;TEXT(VALUE(LEFT(小羊的家备份!Z34,2)),"?0")&amp;" ☀"&amp;TEXT(VALUE(RIGHT(小羊的家备份!Z34,3)),"?0")</f>
        <v>★ 4 ☀ 4</v>
      </c>
      <c r="I33" s="137"/>
      <c r="J33" s="137"/>
      <c r="K33" s="137"/>
      <c r="L33" s="137"/>
      <c r="M33" s="137"/>
      <c r="N33" s="137"/>
      <c r="O33" s="137"/>
      <c r="P33" s="137" t="s">
        <v>125</v>
      </c>
      <c r="Q33" s="137" t="str">
        <f ca="1">"★"&amp;TEXT(VALUE(小羊的家备份!Z107),"?0")</f>
        <v>★10</v>
      </c>
      <c r="R33" s="137"/>
      <c r="S33" s="421" t="s">
        <v>126</v>
      </c>
      <c r="T33" s="507">
        <f ca="1">小羊的家备份!Z148</f>
        <v>5</v>
      </c>
      <c r="U33" s="137"/>
      <c r="V33" s="137"/>
      <c r="W33" s="137"/>
      <c r="X33" s="386"/>
      <c r="Y33" s="386"/>
      <c r="Z33" s="171"/>
      <c r="AA33" s="171"/>
      <c r="AB33" s="171"/>
      <c r="AC33" s="171"/>
      <c r="AD33" s="171"/>
    </row>
    <row r="34" spans="1:30" ht="14.25" customHeight="1">
      <c r="A34" s="386"/>
      <c r="B34" s="137"/>
      <c r="C34" s="137"/>
      <c r="D34" s="137"/>
      <c r="E34" s="137"/>
      <c r="F34" s="137"/>
      <c r="G34" s="257" t="s">
        <v>127</v>
      </c>
      <c r="H34" s="137" t="str">
        <f ca="1">"★"&amp;TEXT(VALUE(LEFT(小羊的家备份!Z35,2)),"?0")&amp;" ☀"&amp;TEXT(VALUE(RIGHT(小羊的家备份!Z35,3)),"?0")</f>
        <v>★ 3 ☀ 1</v>
      </c>
      <c r="I34" s="137"/>
      <c r="J34" s="137"/>
      <c r="K34" s="137"/>
      <c r="L34" s="137"/>
      <c r="M34" s="137"/>
      <c r="N34" s="137"/>
      <c r="O34" s="137"/>
      <c r="P34" s="137" t="s">
        <v>128</v>
      </c>
      <c r="Q34" s="137" t="str">
        <f ca="1">"★"&amp;TEXT(VALUE(小羊的家备份!Z108),"?0")</f>
        <v>★10</v>
      </c>
      <c r="R34" s="137"/>
      <c r="S34" s="137"/>
      <c r="T34" s="137"/>
      <c r="U34" s="137"/>
      <c r="V34" s="137"/>
      <c r="W34" s="137"/>
      <c r="X34" s="386"/>
      <c r="Y34" s="386"/>
      <c r="Z34" s="171"/>
      <c r="AA34" s="171"/>
      <c r="AB34" s="171"/>
      <c r="AC34" s="171"/>
      <c r="AD34" s="171"/>
    </row>
    <row r="35" spans="1:30" ht="14.25" customHeight="1">
      <c r="A35" s="386"/>
      <c r="B35" s="137"/>
      <c r="C35" s="137"/>
      <c r="D35" s="137"/>
      <c r="E35" s="137"/>
      <c r="F35" s="137"/>
      <c r="G35" s="137"/>
      <c r="H35" s="137"/>
      <c r="I35" s="137"/>
      <c r="J35" s="137"/>
      <c r="K35" s="137"/>
      <c r="L35" s="137"/>
      <c r="M35" s="137"/>
      <c r="N35" s="137"/>
      <c r="O35" s="137"/>
      <c r="P35" s="137" t="s">
        <v>129</v>
      </c>
      <c r="Q35" s="137" t="str">
        <f ca="1">"★"&amp;TEXT(VALUE(小羊的家备份!Z109),"?0")</f>
        <v>★10</v>
      </c>
      <c r="R35" s="137"/>
      <c r="S35" s="515" t="s">
        <v>130</v>
      </c>
      <c r="T35" s="516"/>
      <c r="U35" s="137"/>
      <c r="V35" s="386"/>
      <c r="W35" s="171"/>
      <c r="X35" s="171"/>
      <c r="Y35" s="171"/>
      <c r="Z35" s="171"/>
      <c r="AA35" s="171"/>
      <c r="AB35" s="171"/>
      <c r="AC35" s="171"/>
      <c r="AD35" s="171"/>
    </row>
    <row r="36" spans="1:30" ht="14.25" customHeight="1">
      <c r="A36" s="386"/>
      <c r="B36" s="137"/>
      <c r="C36" s="137"/>
      <c r="D36" s="137"/>
      <c r="E36" s="137"/>
      <c r="F36" s="137"/>
      <c r="G36" s="137"/>
      <c r="H36" s="137"/>
      <c r="I36" s="137"/>
      <c r="J36" s="137"/>
      <c r="K36" s="137"/>
      <c r="L36" s="137"/>
      <c r="M36" s="137"/>
      <c r="N36" s="137"/>
      <c r="O36" s="137"/>
      <c r="P36" s="137" t="s">
        <v>131</v>
      </c>
      <c r="Q36" s="137" t="str">
        <f ca="1">"★"&amp;TEXT(VALUE(小羊的家备份!Z110),"?0")</f>
        <v>★10</v>
      </c>
      <c r="R36" s="137"/>
      <c r="S36" s="508" t="s">
        <v>132</v>
      </c>
      <c r="T36" s="137">
        <f ca="1">小羊的家备份!Z136</f>
        <v>41040000</v>
      </c>
      <c r="U36" s="137"/>
      <c r="V36" s="386"/>
      <c r="W36" s="171"/>
      <c r="X36" s="171"/>
      <c r="Y36" s="171"/>
      <c r="Z36" s="171"/>
      <c r="AA36" s="171"/>
      <c r="AB36" s="171"/>
      <c r="AC36" s="171"/>
      <c r="AD36" s="171"/>
    </row>
    <row r="37" spans="1:30" ht="14.25" customHeight="1">
      <c r="A37" s="386"/>
      <c r="B37" s="137"/>
      <c r="C37" s="137"/>
      <c r="D37" s="137"/>
      <c r="E37" s="137"/>
      <c r="F37" s="137"/>
      <c r="G37" s="137"/>
      <c r="H37" s="137"/>
      <c r="I37" s="137"/>
      <c r="J37" s="137"/>
      <c r="K37" s="137"/>
      <c r="L37" s="137"/>
      <c r="M37" s="137"/>
      <c r="N37" s="137"/>
      <c r="O37" s="137"/>
      <c r="P37" s="137" t="s">
        <v>133</v>
      </c>
      <c r="Q37" s="137" t="str">
        <f ca="1">"★"&amp;TEXT(VALUE(小羊的家备份!Z111),"?0")</f>
        <v>★10</v>
      </c>
      <c r="R37" s="137"/>
      <c r="S37" s="508" t="s">
        <v>134</v>
      </c>
      <c r="T37" s="137">
        <f ca="1">小羊的家备份!Z137</f>
        <v>55000000</v>
      </c>
      <c r="U37" s="137"/>
      <c r="V37" s="386"/>
      <c r="W37" s="171"/>
      <c r="X37" s="171"/>
      <c r="Y37" s="171"/>
      <c r="Z37" s="171"/>
      <c r="AA37" s="171"/>
      <c r="AB37" s="171"/>
      <c r="AC37" s="171"/>
      <c r="AD37" s="171"/>
    </row>
    <row r="38" spans="1:30" ht="14.25" customHeight="1">
      <c r="A38" s="386"/>
      <c r="B38" s="137"/>
      <c r="C38" s="137"/>
      <c r="D38" s="137"/>
      <c r="E38" s="137"/>
      <c r="F38" s="137"/>
      <c r="G38" s="137"/>
      <c r="H38" s="137"/>
      <c r="I38" s="137"/>
      <c r="J38" s="137"/>
      <c r="K38" s="137"/>
      <c r="L38" s="137"/>
      <c r="M38" s="137"/>
      <c r="N38" s="137"/>
      <c r="O38" s="137"/>
      <c r="P38" s="137" t="s">
        <v>135</v>
      </c>
      <c r="Q38" s="137" t="str">
        <f ca="1">"★"&amp;TEXT(VALUE(小羊的家备份!Z112),"?0")</f>
        <v>★10</v>
      </c>
      <c r="R38" s="137"/>
      <c r="S38" s="508" t="s">
        <v>136</v>
      </c>
      <c r="T38" s="137">
        <f ca="1">小羊的家备份!Z138</f>
        <v>20520000</v>
      </c>
      <c r="U38" s="137"/>
      <c r="V38" s="386"/>
      <c r="W38" s="171"/>
      <c r="X38" s="171"/>
      <c r="Y38" s="171"/>
      <c r="Z38" s="171"/>
      <c r="AA38" s="171"/>
      <c r="AB38" s="171"/>
      <c r="AC38" s="171"/>
      <c r="AD38" s="171"/>
    </row>
    <row r="39" spans="1:30" ht="14.25" customHeight="1">
      <c r="A39" s="386"/>
      <c r="B39" s="137"/>
      <c r="C39" s="137"/>
      <c r="D39" s="137"/>
      <c r="E39" s="137"/>
      <c r="F39" s="137"/>
      <c r="G39" s="137"/>
      <c r="H39" s="137"/>
      <c r="I39" s="137"/>
      <c r="J39" s="137"/>
      <c r="K39" s="137"/>
      <c r="L39" s="137"/>
      <c r="M39" s="137"/>
      <c r="N39" s="137"/>
      <c r="O39" s="137"/>
      <c r="P39" s="137"/>
      <c r="Q39" s="137"/>
      <c r="R39" s="137"/>
      <c r="S39" s="508" t="s">
        <v>137</v>
      </c>
      <c r="T39" s="137">
        <f ca="1">小羊的家备份!Z139</f>
        <v>41040000</v>
      </c>
      <c r="U39" s="137"/>
      <c r="V39" s="386"/>
      <c r="W39" s="171"/>
      <c r="X39" s="171"/>
      <c r="Y39" s="171"/>
      <c r="Z39" s="171"/>
      <c r="AA39" s="171"/>
      <c r="AB39" s="171"/>
      <c r="AC39" s="171"/>
      <c r="AD39" s="171"/>
    </row>
    <row r="40" spans="1:30" ht="14.25" customHeight="1">
      <c r="A40" s="386"/>
      <c r="B40" s="137"/>
      <c r="C40" s="137"/>
      <c r="D40" s="137"/>
      <c r="E40" s="137"/>
      <c r="F40" s="137"/>
      <c r="G40" s="137"/>
      <c r="H40" s="137"/>
      <c r="I40" s="137"/>
      <c r="J40" s="137"/>
      <c r="K40" s="137"/>
      <c r="L40" s="137"/>
      <c r="M40" s="137"/>
      <c r="N40" s="137"/>
      <c r="O40" s="137"/>
      <c r="P40" s="137"/>
      <c r="Q40" s="137"/>
      <c r="R40" s="137"/>
      <c r="S40" s="421" t="s">
        <v>115</v>
      </c>
      <c r="T40" s="507">
        <f ca="1">小羊的家备份!Z140</f>
        <v>5</v>
      </c>
      <c r="U40" s="137"/>
      <c r="V40" s="386"/>
      <c r="W40" s="171"/>
      <c r="X40" s="171"/>
      <c r="Y40" s="171"/>
      <c r="Z40" s="171"/>
      <c r="AA40" s="171"/>
      <c r="AB40" s="171"/>
      <c r="AC40" s="171"/>
      <c r="AD40" s="171"/>
    </row>
    <row r="41" spans="1:30" ht="14.25" customHeight="1">
      <c r="A41" s="386"/>
      <c r="B41" s="137"/>
      <c r="C41" s="137"/>
      <c r="D41" s="137"/>
      <c r="E41" s="137"/>
      <c r="F41" s="137"/>
      <c r="G41" s="137"/>
      <c r="H41" s="137"/>
      <c r="I41" s="137"/>
      <c r="J41" s="137"/>
      <c r="K41" s="137"/>
      <c r="L41" s="137"/>
      <c r="M41" s="137"/>
      <c r="N41" s="137"/>
      <c r="O41" s="137"/>
      <c r="P41" s="137"/>
      <c r="Q41" s="137"/>
      <c r="R41" s="137"/>
      <c r="S41" s="421" t="s">
        <v>120</v>
      </c>
      <c r="T41" s="507">
        <f ca="1">小羊的家备份!Z141</f>
        <v>5</v>
      </c>
      <c r="U41" s="137"/>
      <c r="V41" s="386"/>
      <c r="W41" s="171"/>
      <c r="X41" s="171"/>
      <c r="Y41" s="171"/>
      <c r="Z41" s="171"/>
      <c r="AA41" s="171"/>
      <c r="AB41" s="171"/>
      <c r="AC41" s="171"/>
      <c r="AD41" s="171"/>
    </row>
    <row r="42" spans="1:30" ht="14.25" customHeight="1">
      <c r="A42" s="386"/>
      <c r="B42" s="137"/>
      <c r="C42" s="137"/>
      <c r="D42" s="137"/>
      <c r="E42" s="137"/>
      <c r="F42" s="137"/>
      <c r="G42" s="137"/>
      <c r="H42" s="137"/>
      <c r="I42" s="137"/>
      <c r="J42" s="137"/>
      <c r="K42" s="137"/>
      <c r="L42" s="137"/>
      <c r="M42" s="137"/>
      <c r="N42" s="137"/>
      <c r="O42" s="137"/>
      <c r="P42" s="137"/>
      <c r="Q42" s="137"/>
      <c r="R42" s="137"/>
      <c r="S42" s="421" t="s">
        <v>123</v>
      </c>
      <c r="T42" s="507">
        <f ca="1">小羊的家备份!Z142</f>
        <v>5</v>
      </c>
      <c r="U42" s="137"/>
      <c r="V42" s="386"/>
      <c r="W42" s="171"/>
      <c r="X42" s="171"/>
      <c r="Y42" s="171"/>
      <c r="Z42" s="171"/>
      <c r="AA42" s="171"/>
      <c r="AB42" s="171"/>
      <c r="AC42" s="171"/>
      <c r="AD42" s="171"/>
    </row>
    <row r="43" spans="1:30" ht="14.25" customHeight="1">
      <c r="A43" s="386"/>
      <c r="B43" s="386"/>
      <c r="C43" s="386"/>
      <c r="D43" s="386"/>
      <c r="E43" s="386"/>
      <c r="F43" s="137"/>
      <c r="G43" s="137"/>
      <c r="H43" s="137"/>
      <c r="I43" s="137"/>
      <c r="J43" s="137"/>
      <c r="K43" s="137"/>
      <c r="L43" s="137"/>
      <c r="M43" s="137"/>
      <c r="N43" s="137"/>
      <c r="O43" s="137"/>
      <c r="P43" s="137"/>
      <c r="Q43" s="137"/>
      <c r="R43" s="137"/>
      <c r="S43" s="421" t="s">
        <v>126</v>
      </c>
      <c r="T43" s="507">
        <f ca="1">小羊的家备份!Z143</f>
        <v>5</v>
      </c>
      <c r="U43" s="386"/>
      <c r="V43" s="386"/>
      <c r="W43" s="171"/>
      <c r="X43" s="171"/>
      <c r="Y43" s="171"/>
      <c r="Z43" s="171"/>
      <c r="AA43" s="171"/>
      <c r="AB43" s="171"/>
      <c r="AC43" s="171"/>
      <c r="AD43" s="171"/>
    </row>
    <row r="44" spans="1:30" ht="14.25" customHeight="1">
      <c r="A44" s="137"/>
      <c r="B44" s="137"/>
      <c r="C44" s="137"/>
      <c r="D44" s="137"/>
      <c r="E44" s="137"/>
      <c r="F44" s="137"/>
      <c r="G44" s="137"/>
      <c r="H44" s="137"/>
      <c r="I44" s="137"/>
      <c r="J44" s="137"/>
      <c r="K44" s="137"/>
      <c r="L44" s="137"/>
      <c r="M44" s="137"/>
      <c r="N44" s="137"/>
      <c r="O44" s="137"/>
      <c r="P44" s="137"/>
      <c r="Q44" s="137"/>
      <c r="R44" s="137"/>
      <c r="S44" s="137"/>
      <c r="T44" s="137"/>
      <c r="U44" s="386"/>
      <c r="V44" s="386"/>
      <c r="W44" s="171"/>
      <c r="X44" s="171"/>
      <c r="Y44" s="171"/>
      <c r="Z44" s="171"/>
      <c r="AA44" s="171"/>
      <c r="AB44" s="171"/>
      <c r="AC44" s="171"/>
      <c r="AD44" s="171"/>
    </row>
    <row r="45" spans="1:30">
      <c r="A45" s="137"/>
      <c r="B45" s="137"/>
      <c r="C45" s="137"/>
      <c r="D45" s="137"/>
      <c r="E45" s="137"/>
      <c r="F45" s="137"/>
      <c r="G45" s="137"/>
      <c r="H45" s="137"/>
      <c r="I45" s="137"/>
      <c r="J45" s="137"/>
      <c r="K45" s="137"/>
      <c r="L45" s="137"/>
      <c r="M45" s="137"/>
      <c r="N45" s="137"/>
      <c r="O45" s="137"/>
      <c r="P45" s="137"/>
      <c r="Q45" s="137"/>
      <c r="R45" s="137"/>
      <c r="S45" s="137"/>
      <c r="T45" s="137"/>
      <c r="U45" s="137"/>
      <c r="V45" s="137"/>
      <c r="W45" s="171"/>
      <c r="X45" s="171"/>
      <c r="Y45" s="171"/>
      <c r="Z45" s="171"/>
      <c r="AA45" s="171"/>
      <c r="AB45" s="171"/>
      <c r="AC45" s="171"/>
      <c r="AD45" s="171"/>
    </row>
    <row r="46" spans="1:30">
      <c r="A46" s="137"/>
      <c r="B46" s="137"/>
      <c r="C46" s="137"/>
      <c r="D46" s="137"/>
      <c r="E46" s="137"/>
      <c r="F46" s="137"/>
      <c r="G46" s="512" t="s">
        <v>138</v>
      </c>
      <c r="H46" s="512"/>
      <c r="I46" s="512">
        <v>9</v>
      </c>
      <c r="J46" s="495"/>
      <c r="K46" s="495"/>
      <c r="L46" s="495"/>
      <c r="M46" s="495"/>
      <c r="N46" s="495"/>
      <c r="O46" s="495"/>
      <c r="P46" s="495"/>
      <c r="Q46" s="495"/>
      <c r="R46" s="495"/>
      <c r="S46" s="524" t="str">
        <f>IF(I46&gt;=5,IF(I46&gt;7,"Ⅳ 工业时代","Ⅲ 要塞时代"),IF(I46&gt;2,"Ⅱ 商业时代","Ⅰ 探索时代"))</f>
        <v>Ⅳ 工业时代</v>
      </c>
      <c r="T46" s="524"/>
      <c r="U46" s="137"/>
      <c r="V46" s="137"/>
      <c r="W46" s="171"/>
      <c r="X46" s="171"/>
      <c r="Y46" s="171"/>
      <c r="Z46" s="171"/>
      <c r="AA46" s="171"/>
      <c r="AB46" s="171"/>
      <c r="AC46" s="171"/>
      <c r="AD46" s="171"/>
    </row>
    <row r="47" spans="1:30">
      <c r="A47" s="137"/>
      <c r="B47" s="137"/>
      <c r="C47" s="137"/>
      <c r="D47" s="137"/>
      <c r="E47" s="137"/>
      <c r="F47" s="137"/>
      <c r="G47" s="512"/>
      <c r="H47" s="512"/>
      <c r="I47" s="512"/>
      <c r="J47" s="137"/>
      <c r="K47" s="137"/>
      <c r="L47" s="137"/>
      <c r="M47" s="137"/>
      <c r="N47" s="137"/>
      <c r="O47" s="137"/>
      <c r="P47" s="386"/>
      <c r="Q47" s="386"/>
      <c r="R47" s="386"/>
      <c r="S47" s="524"/>
      <c r="T47" s="524"/>
      <c r="U47" s="137"/>
      <c r="V47" s="137"/>
      <c r="W47" s="171"/>
      <c r="X47" s="171"/>
      <c r="Y47" s="171"/>
      <c r="Z47" s="171"/>
      <c r="AA47" s="171"/>
      <c r="AB47" s="171"/>
      <c r="AC47" s="171"/>
      <c r="AD47" s="171"/>
    </row>
    <row r="48" spans="1:30">
      <c r="A48" s="137"/>
      <c r="B48" s="137"/>
      <c r="C48" s="137"/>
      <c r="D48" s="137"/>
      <c r="E48" s="137"/>
      <c r="F48" s="137"/>
      <c r="G48" s="497"/>
      <c r="H48" s="497"/>
      <c r="I48" s="497"/>
      <c r="J48" s="497"/>
      <c r="K48" s="497"/>
      <c r="L48" s="497"/>
      <c r="M48" s="497"/>
      <c r="N48" s="497"/>
      <c r="O48" s="497"/>
      <c r="P48" s="497"/>
      <c r="Q48" s="497"/>
      <c r="R48" s="497"/>
      <c r="S48" s="497"/>
      <c r="T48" s="497"/>
      <c r="U48" s="137"/>
      <c r="V48" s="137"/>
      <c r="W48" s="171"/>
      <c r="X48" s="171"/>
      <c r="Y48" s="171"/>
      <c r="Z48" s="171"/>
      <c r="AA48" s="171"/>
      <c r="AB48" s="171"/>
      <c r="AC48" s="171"/>
      <c r="AD48" s="171"/>
    </row>
    <row r="49" spans="1:30">
      <c r="A49" s="137"/>
      <c r="B49" s="137"/>
      <c r="C49" s="137"/>
      <c r="D49" s="137"/>
      <c r="E49" s="137"/>
      <c r="F49" s="137"/>
      <c r="G49" s="257" t="s">
        <v>139</v>
      </c>
      <c r="H49" s="137" t="str">
        <f ca="1">"★"&amp;TEXT(VALUE(LEFT(小羊的家备份!Z186,2)),"?0")&amp;" ☽"&amp;TEXT(VALUE(RIGHT(小羊的家备份!Z186,3)),"?0")</f>
        <v>★ 9 ☽180</v>
      </c>
      <c r="I49" s="137"/>
      <c r="J49" s="257" t="s">
        <v>3</v>
      </c>
      <c r="K49" s="137" t="str">
        <f ca="1">"★"&amp;TEXT(VALUE(LEFT(小羊的家备份!Z169,2)),"?0")&amp;" ☽"&amp;TEXT(VALUE(RIGHT(小羊的家备份!Z169,3)),"?0")</f>
        <v>★ 9 ☽ 1</v>
      </c>
      <c r="L49" s="137"/>
      <c r="M49" s="257" t="s">
        <v>140</v>
      </c>
      <c r="N49" s="137" t="str">
        <f ca="1">"★"&amp;TEXT(VALUE(小羊的家备份!Z201),"?0")</f>
        <v>★18</v>
      </c>
      <c r="O49" s="137"/>
      <c r="P49" s="137"/>
      <c r="Q49" s="137"/>
      <c r="R49" s="137"/>
      <c r="S49" s="137"/>
      <c r="T49" s="137"/>
      <c r="U49" s="137"/>
      <c r="V49" s="137"/>
      <c r="W49" s="171"/>
      <c r="X49" s="171"/>
      <c r="Y49" s="171"/>
      <c r="Z49" s="171"/>
      <c r="AA49" s="171"/>
      <c r="AB49" s="171"/>
      <c r="AC49" s="171"/>
      <c r="AD49" s="171"/>
    </row>
    <row r="50" spans="1:30">
      <c r="A50" s="137"/>
      <c r="B50" s="137"/>
      <c r="C50" s="137"/>
      <c r="D50" s="137"/>
      <c r="E50" s="137"/>
      <c r="F50" s="137"/>
      <c r="G50" s="257" t="s">
        <v>2</v>
      </c>
      <c r="H50" s="137" t="str">
        <f ca="1">"★"&amp;TEXT(VALUE(LEFT(小羊的家备份!Z187,2)),"?0")&amp;" ☽"&amp;TEXT(VALUE(RIGHT(小羊的家备份!Z187,3)),"?0")</f>
        <v>★ 9 ☽ 3</v>
      </c>
      <c r="I50" s="137"/>
      <c r="J50" s="257" t="s">
        <v>21</v>
      </c>
      <c r="K50" s="137" t="str">
        <f ca="1">"★"&amp;TEXT(VALUE(LEFT(小羊的家备份!Z170,2)),"?0")&amp;" ☽"&amp;TEXT(VALUE(RIGHT(小羊的家备份!Z170,3)),"?0")</f>
        <v>★11 ☽ 1</v>
      </c>
      <c r="L50" s="137"/>
      <c r="M50" s="257" t="s">
        <v>141</v>
      </c>
      <c r="N50" s="137" t="str">
        <f ca="1">"★"&amp;TEXT(VALUE(小羊的家备份!Z202),"?0")</f>
        <v>★18</v>
      </c>
      <c r="O50" s="137"/>
      <c r="P50" s="137"/>
      <c r="Q50" s="137"/>
      <c r="R50" s="137"/>
      <c r="S50" s="137"/>
      <c r="T50" s="137"/>
      <c r="U50" s="137"/>
      <c r="V50" s="137"/>
      <c r="W50" s="171"/>
      <c r="X50" s="171"/>
      <c r="Y50" s="171"/>
      <c r="Z50" s="171"/>
      <c r="AA50" s="171"/>
      <c r="AB50" s="171"/>
      <c r="AC50" s="171"/>
      <c r="AD50" s="171"/>
    </row>
    <row r="51" spans="1:30">
      <c r="A51" s="137"/>
      <c r="B51" s="137"/>
      <c r="C51" s="137"/>
      <c r="D51" s="137"/>
      <c r="E51" s="137"/>
      <c r="F51" s="137"/>
      <c r="G51" s="257" t="s">
        <v>142</v>
      </c>
      <c r="H51" s="137" t="str">
        <f ca="1">"★"&amp;TEXT(VALUE(LEFT(小羊的家备份!Z188,2)),"?0")&amp;" ☽"&amp;TEXT(VALUE(RIGHT(小羊的家备份!Z188,3)),"?0")</f>
        <v>★ 9 ☽ 3</v>
      </c>
      <c r="I51" s="137"/>
      <c r="J51" s="257" t="s">
        <v>143</v>
      </c>
      <c r="K51" s="137" t="str">
        <f ca="1">"★"&amp;TEXT(VALUE(LEFT(小羊的家备份!Z171,2)),"?0")&amp;" ☽"&amp;TEXT(VALUE(RIGHT(小羊的家备份!Z171,3)),"?0")</f>
        <v>★ 1 ☽ 6</v>
      </c>
      <c r="L51" s="137"/>
      <c r="M51" s="257" t="s">
        <v>144</v>
      </c>
      <c r="N51" s="137" t="str">
        <f ca="1">"★"&amp;TEXT(VALUE(小羊的家备份!Z203),"?0")</f>
        <v>★18</v>
      </c>
      <c r="O51" s="137"/>
      <c r="P51" s="137"/>
      <c r="Q51" s="137"/>
      <c r="R51" s="137"/>
      <c r="S51" s="137"/>
      <c r="T51" s="137"/>
      <c r="U51" s="137"/>
      <c r="V51" s="137"/>
      <c r="W51" s="171"/>
      <c r="X51" s="171"/>
      <c r="Y51" s="171"/>
      <c r="Z51" s="171"/>
      <c r="AA51" s="171"/>
      <c r="AB51" s="171"/>
      <c r="AC51" s="171"/>
      <c r="AD51" s="171"/>
    </row>
    <row r="52" spans="1:30">
      <c r="A52" s="137"/>
      <c r="B52" s="137"/>
      <c r="C52" s="137"/>
      <c r="D52" s="137"/>
      <c r="E52" s="137"/>
      <c r="F52" s="137"/>
      <c r="G52" s="257" t="s">
        <v>145</v>
      </c>
      <c r="H52" s="137" t="str">
        <f ca="1">"★"&amp;TEXT(VALUE(LEFT(小羊的家备份!Z189,2)),"?0")&amp;" ☽"&amp;TEXT(VALUE(RIGHT(小羊的家备份!Z189,3)),"?0")</f>
        <v>★ 9 ☽ 3</v>
      </c>
      <c r="I52" s="137"/>
      <c r="J52" s="257" t="s">
        <v>15</v>
      </c>
      <c r="K52" s="137" t="str">
        <f ca="1">"★"&amp;TEXT(VALUE(LEFT(小羊的家备份!Z172,2)),"?0")&amp;" ☽"&amp;TEXT(VALUE(RIGHT(小羊的家备份!Z172,3)),"?0")</f>
        <v>★ 9 ☽ 1</v>
      </c>
      <c r="L52" s="137"/>
      <c r="M52" s="257" t="s">
        <v>146</v>
      </c>
      <c r="N52" s="137" t="str">
        <f ca="1">"★"&amp;TEXT(VALUE(小羊的家备份!Z204),"?0")</f>
        <v>★18</v>
      </c>
      <c r="O52" s="137"/>
      <c r="P52" s="137"/>
      <c r="Q52" s="137"/>
      <c r="R52" s="137"/>
      <c r="S52" s="137"/>
      <c r="T52" s="137"/>
      <c r="U52" s="137"/>
      <c r="V52" s="137"/>
      <c r="W52" s="171"/>
      <c r="X52" s="171"/>
      <c r="Y52" s="171"/>
      <c r="Z52" s="171"/>
      <c r="AA52" s="171"/>
      <c r="AB52" s="171"/>
      <c r="AC52" s="171"/>
      <c r="AD52" s="171"/>
    </row>
    <row r="53" spans="1:30">
      <c r="A53" s="137"/>
      <c r="B53" s="137"/>
      <c r="C53" s="137"/>
      <c r="D53" s="137"/>
      <c r="E53" s="137"/>
      <c r="F53" s="137"/>
      <c r="G53" s="257" t="s">
        <v>43</v>
      </c>
      <c r="H53" s="137" t="str">
        <f ca="1">"★"&amp;TEXT(VALUE(LEFT(小羊的家备份!Z190,2)),"?0")&amp;" ☽"&amp;TEXT(VALUE(RIGHT(小羊的家备份!Z190,3)),"?0")</f>
        <v>★ 9 ☽ 3</v>
      </c>
      <c r="I53" s="137"/>
      <c r="J53" s="257" t="s">
        <v>60</v>
      </c>
      <c r="K53" s="137" t="str">
        <f ca="1">"★"&amp;TEXT(VALUE(LEFT(小羊的家备份!Z173,2)),"?0")&amp;" ☽"&amp;TEXT(VALUE(RIGHT(小羊的家备份!Z173,3)),"?0")</f>
        <v>★ 9 ☽ 2</v>
      </c>
      <c r="L53" s="137"/>
      <c r="M53" s="257" t="s">
        <v>147</v>
      </c>
      <c r="N53" s="137" t="str">
        <f ca="1">"★"&amp;TEXT(VALUE(小羊的家备份!Z205),"?0")</f>
        <v>★18</v>
      </c>
      <c r="O53" s="137"/>
      <c r="P53" s="386"/>
      <c r="Q53" s="386"/>
      <c r="R53" s="386"/>
      <c r="S53" s="386"/>
      <c r="T53" s="137"/>
      <c r="U53" s="137"/>
      <c r="V53" s="137"/>
      <c r="W53" s="171"/>
      <c r="X53" s="171"/>
      <c r="Y53" s="171"/>
      <c r="Z53" s="171"/>
      <c r="AA53" s="171"/>
      <c r="AB53" s="171"/>
      <c r="AC53" s="171"/>
      <c r="AD53" s="171"/>
    </row>
    <row r="54" spans="1:30">
      <c r="A54" s="137"/>
      <c r="B54" s="137"/>
      <c r="C54" s="137"/>
      <c r="D54" s="137"/>
      <c r="E54" s="137"/>
      <c r="F54" s="137"/>
      <c r="G54" s="257" t="s">
        <v>148</v>
      </c>
      <c r="H54" s="137" t="str">
        <f ca="1">"★"&amp;TEXT(VALUE(LEFT(小羊的家备份!Z191,2)),"?0")&amp;" ☽"&amp;TEXT(VALUE(RIGHT(小羊的家备份!Z191,3)),"?0")</f>
        <v>★ 9 ☽ 5</v>
      </c>
      <c r="I54" s="137"/>
      <c r="J54" s="257" t="s">
        <v>55</v>
      </c>
      <c r="K54" s="137" t="str">
        <f ca="1">"★"&amp;TEXT(VALUE(LEFT(小羊的家备份!Z174,2)),"?0")&amp;" ☽"&amp;TEXT(VALUE(RIGHT(小羊的家备份!Z174,3)),"?0")</f>
        <v>★ 9 ☽ 3</v>
      </c>
      <c r="L54" s="137"/>
      <c r="M54" s="257" t="s">
        <v>61</v>
      </c>
      <c r="N54" s="137" t="str">
        <f ca="1">"★"&amp;TEXT(VALUE(小羊的家备份!Z206),"?0")</f>
        <v>★18</v>
      </c>
      <c r="O54" s="137"/>
      <c r="P54" s="386"/>
      <c r="Q54" s="386"/>
      <c r="R54" s="386"/>
      <c r="S54" s="386"/>
      <c r="T54" s="137"/>
      <c r="U54" s="137"/>
      <c r="V54" s="137"/>
      <c r="W54" s="171"/>
      <c r="X54" s="171"/>
      <c r="Y54" s="171"/>
      <c r="Z54" s="171"/>
      <c r="AA54" s="171"/>
      <c r="AB54" s="171"/>
      <c r="AC54" s="171"/>
      <c r="AD54" s="171"/>
    </row>
    <row r="55" spans="1:30">
      <c r="A55" s="137"/>
      <c r="B55" s="137"/>
      <c r="C55" s="137"/>
      <c r="D55" s="137"/>
      <c r="E55" s="137"/>
      <c r="F55" s="137"/>
      <c r="G55" s="257" t="s">
        <v>149</v>
      </c>
      <c r="H55" s="137" t="str">
        <f ca="1">"★"&amp;TEXT(VALUE(LEFT(小羊的家备份!Z192,2)),"?0")&amp;" ☽"&amp;TEXT(VALUE(RIGHT(小羊的家备份!Z192,3)),"?0")</f>
        <v>★ 9 ☽ 2</v>
      </c>
      <c r="I55" s="137"/>
      <c r="J55" s="257" t="s">
        <v>68</v>
      </c>
      <c r="K55" s="137" t="str">
        <f ca="1">"★"&amp;TEXT(VALUE(LEFT(小羊的家备份!Z175,2)),"?0")&amp;" ☽"&amp;TEXT(VALUE(RIGHT(小羊的家备份!Z175,3)),"?0")</f>
        <v>★ 9 ☽ 2</v>
      </c>
      <c r="L55" s="137"/>
      <c r="M55" s="257" t="s">
        <v>150</v>
      </c>
      <c r="N55" s="137" t="str">
        <f ca="1">"★"&amp;TEXT(VALUE(小羊的家备份!Z207),"?0")</f>
        <v>★18</v>
      </c>
      <c r="O55" s="137"/>
      <c r="P55" s="137"/>
      <c r="Q55" s="137"/>
      <c r="R55" s="137"/>
      <c r="S55" s="137"/>
      <c r="T55" s="137"/>
      <c r="U55" s="137"/>
      <c r="V55" s="137"/>
      <c r="W55" s="171"/>
      <c r="X55" s="171"/>
      <c r="Y55" s="171"/>
      <c r="Z55" s="171"/>
      <c r="AA55" s="171"/>
      <c r="AB55" s="171"/>
      <c r="AC55" s="171"/>
      <c r="AD55" s="171"/>
    </row>
    <row r="56" spans="1:30">
      <c r="A56" s="137"/>
      <c r="B56" s="137"/>
      <c r="C56" s="137"/>
      <c r="D56" s="137"/>
      <c r="E56" s="137"/>
      <c r="F56" s="137"/>
      <c r="G56" s="257" t="s">
        <v>151</v>
      </c>
      <c r="H56" s="137" t="str">
        <f ca="1">"★"&amp;TEXT(VALUE(LEFT(小羊的家备份!Z193,2)),"?0")&amp;" ☽"&amp;TEXT(VALUE(RIGHT(小羊的家备份!Z193,3)),"?0")</f>
        <v>★ 9 ☽ 1</v>
      </c>
      <c r="I56" s="137"/>
      <c r="J56" s="257" t="s">
        <v>64</v>
      </c>
      <c r="K56" s="137" t="str">
        <f ca="1">"★"&amp;TEXT(VALUE(LEFT(小羊的家备份!Z176,2)),"?0")&amp;" ☽"&amp;TEXT(VALUE(RIGHT(小羊的家备份!Z176,3)),"?0")</f>
        <v>★ 9 ☽ 3</v>
      </c>
      <c r="L56" s="137"/>
      <c r="M56" s="257" t="s">
        <v>152</v>
      </c>
      <c r="N56" s="137" t="str">
        <f ca="1">"★"&amp;TEXT(VALUE(小羊的家备份!Z208),"?0")</f>
        <v>★18</v>
      </c>
      <c r="O56" s="137"/>
      <c r="P56" s="137"/>
      <c r="Q56" s="137"/>
      <c r="R56" s="137"/>
      <c r="S56" s="137"/>
      <c r="T56" s="137"/>
      <c r="U56" s="137"/>
      <c r="V56" s="137"/>
      <c r="W56" s="171"/>
      <c r="X56" s="171"/>
      <c r="Y56" s="171"/>
      <c r="Z56" s="171"/>
      <c r="AA56" s="171"/>
      <c r="AB56" s="171"/>
      <c r="AC56" s="171"/>
      <c r="AD56" s="171"/>
    </row>
    <row r="57" spans="1:30">
      <c r="A57" s="137"/>
      <c r="B57" s="137"/>
      <c r="C57" s="137"/>
      <c r="D57" s="137"/>
      <c r="E57" s="137"/>
      <c r="F57" s="137"/>
      <c r="G57" s="257" t="s">
        <v>153</v>
      </c>
      <c r="H57" s="137" t="str">
        <f ca="1">"★"&amp;TEXT(VALUE(LEFT(小羊的家备份!Z194,2)),"?0")&amp;" ☽"&amp;TEXT(VALUE(RIGHT(小羊的家备份!Z194,3)),"?0")</f>
        <v>★ 9 ☽ 1</v>
      </c>
      <c r="I57" s="137"/>
      <c r="J57" s="257" t="s">
        <v>154</v>
      </c>
      <c r="K57" s="137" t="str">
        <f ca="1">"★"&amp;TEXT(VALUE(LEFT(小羊的家备份!Z177,2)),"?0")&amp;" ☽"&amp;TEXT(VALUE(RIGHT(小羊的家备份!Z177,3)),"?0")</f>
        <v>★ 9 ☽ 1</v>
      </c>
      <c r="L57" s="137"/>
      <c r="M57" s="257" t="s">
        <v>155</v>
      </c>
      <c r="N57" s="137" t="str">
        <f ca="1">"★"&amp;TEXT(VALUE(小羊的家备份!Z209),"?0")</f>
        <v>★18</v>
      </c>
      <c r="O57" s="137"/>
      <c r="P57" s="137"/>
      <c r="Q57" s="137"/>
      <c r="R57" s="137"/>
      <c r="S57" s="137"/>
      <c r="T57" s="137"/>
      <c r="U57" s="137"/>
      <c r="V57" s="137"/>
      <c r="W57" s="171"/>
      <c r="X57" s="171"/>
      <c r="Y57" s="171"/>
      <c r="Z57" s="171"/>
      <c r="AA57" s="171"/>
      <c r="AB57" s="171"/>
      <c r="AC57" s="171"/>
      <c r="AD57" s="171"/>
    </row>
    <row r="58" spans="1:30">
      <c r="A58" s="137"/>
      <c r="B58" s="137"/>
      <c r="C58" s="137"/>
      <c r="D58" s="137"/>
      <c r="E58" s="137"/>
      <c r="F58" s="137"/>
      <c r="G58" s="257" t="s">
        <v>156</v>
      </c>
      <c r="H58" s="137" t="str">
        <f ca="1">"★"&amp;TEXT(VALUE(LEFT(小羊的家备份!Z195,2)),"?0")&amp;" ☽"&amp;TEXT(VALUE(RIGHT(小羊的家备份!Z195,3)),"?0")</f>
        <v>★ 9 ☽ 1</v>
      </c>
      <c r="I58" s="137"/>
      <c r="J58" s="257" t="s">
        <v>157</v>
      </c>
      <c r="K58" s="137" t="str">
        <f ca="1">"★"&amp;TEXT(VALUE(LEFT(小羊的家备份!Z178,2)),"?0")&amp;" ☽"&amp;TEXT(VALUE(RIGHT(小羊的家备份!Z178,3)),"?0")</f>
        <v>★ 9 ☽ 1</v>
      </c>
      <c r="L58" s="137"/>
      <c r="M58" s="257" t="s">
        <v>158</v>
      </c>
      <c r="N58" s="137" t="str">
        <f ca="1">"★"&amp;TEXT(VALUE(小羊的家备份!Z210),"?0")</f>
        <v>★18</v>
      </c>
      <c r="O58" s="137"/>
      <c r="P58" s="137"/>
      <c r="Q58" s="137"/>
      <c r="R58" s="137"/>
      <c r="S58" s="137"/>
      <c r="T58" s="137"/>
      <c r="U58" s="137"/>
      <c r="V58" s="137"/>
      <c r="W58" s="171"/>
      <c r="X58" s="171"/>
      <c r="Y58" s="171"/>
      <c r="Z58" s="171"/>
      <c r="AA58" s="171"/>
      <c r="AB58" s="171"/>
      <c r="AC58" s="171"/>
      <c r="AD58" s="171"/>
    </row>
    <row r="59" spans="1:30">
      <c r="A59" s="137"/>
      <c r="B59" s="137"/>
      <c r="C59" s="137"/>
      <c r="D59" s="137"/>
      <c r="E59" s="137"/>
      <c r="F59" s="137"/>
      <c r="G59" s="257" t="s">
        <v>159</v>
      </c>
      <c r="H59" s="137" t="str">
        <f ca="1">"★"&amp;TEXT(VALUE(LEFT(小羊的家备份!Z196,2)),"?0")&amp;" ☽"&amp;TEXT(VALUE(RIGHT(小羊的家备份!Z196,3)),"?0")</f>
        <v>★ 9 ☽ 1</v>
      </c>
      <c r="I59" s="137"/>
      <c r="J59" s="257"/>
      <c r="K59" s="137"/>
      <c r="L59" s="137"/>
      <c r="M59" s="257" t="s">
        <v>160</v>
      </c>
      <c r="N59" s="137" t="str">
        <f ca="1">"★"&amp;TEXT(VALUE(小羊的家备份!Z211),"?0")</f>
        <v>★18</v>
      </c>
      <c r="O59" s="137"/>
      <c r="P59" s="137"/>
      <c r="Q59" s="137"/>
      <c r="R59" s="137"/>
      <c r="S59" s="137"/>
      <c r="T59" s="137"/>
      <c r="U59" s="137"/>
      <c r="V59" s="137"/>
      <c r="W59" s="171"/>
      <c r="X59" s="171"/>
      <c r="Y59" s="171"/>
      <c r="Z59" s="171"/>
      <c r="AA59" s="171"/>
      <c r="AB59" s="171"/>
      <c r="AC59" s="171"/>
      <c r="AD59" s="171"/>
    </row>
    <row r="60" spans="1:30">
      <c r="A60" s="137"/>
      <c r="B60" s="137"/>
      <c r="C60" s="137"/>
      <c r="D60" s="137"/>
      <c r="E60" s="137"/>
      <c r="F60" s="137"/>
      <c r="G60" s="257" t="s">
        <v>161</v>
      </c>
      <c r="H60" s="137" t="str">
        <f ca="1">"★"&amp;TEXT(VALUE(LEFT(小羊的家备份!Z197,2)),"?0")&amp;" ☽"&amp;TEXT(VALUE(RIGHT(小羊的家备份!Z197,3)),"?0")</f>
        <v>★ 9 ☽ 1</v>
      </c>
      <c r="I60" s="137"/>
      <c r="J60" s="257" t="s">
        <v>162</v>
      </c>
      <c r="K60" s="137" t="str">
        <f ca="1">"★"&amp;TEXT(VALUE(LEFT(小羊的家备份!Z179,2)),"?0")&amp;" ☽"&amp;TEXT(VALUE(RIGHT(小羊的家备份!Z179,3)),"?0")</f>
        <v>★ 9 ☽ 5</v>
      </c>
      <c r="L60" s="137"/>
      <c r="M60" s="257" t="s">
        <v>163</v>
      </c>
      <c r="N60" s="137"/>
      <c r="O60" s="137"/>
      <c r="P60" s="137"/>
      <c r="Q60" s="137"/>
      <c r="R60" s="137"/>
      <c r="S60" s="137"/>
      <c r="T60" s="137"/>
      <c r="U60" s="137"/>
      <c r="V60" s="137"/>
      <c r="W60" s="171"/>
      <c r="X60" s="171"/>
      <c r="Y60" s="171"/>
      <c r="Z60" s="171"/>
      <c r="AA60" s="171"/>
      <c r="AB60" s="171"/>
      <c r="AC60" s="171"/>
      <c r="AD60" s="171"/>
    </row>
    <row r="61" spans="1:30">
      <c r="A61" s="137"/>
      <c r="B61" s="137"/>
      <c r="C61" s="137"/>
      <c r="D61" s="137"/>
      <c r="E61" s="137"/>
      <c r="F61" s="137"/>
      <c r="G61" s="257" t="s">
        <v>164</v>
      </c>
      <c r="H61" s="137" t="str">
        <f ca="1">"★"&amp;TEXT(VALUE(LEFT(小羊的家备份!Z198,2)),"?0")&amp;" ☽"&amp;TEXT(VALUE(RIGHT(小羊的家备份!Z198,3)),"?0")</f>
        <v>★ 9 ☽ 1</v>
      </c>
      <c r="I61" s="137"/>
      <c r="J61" s="257" t="s">
        <v>116</v>
      </c>
      <c r="K61" s="137" t="str">
        <f ca="1">"★"&amp;TEXT(VALUE(LEFT(小羊的家备份!Z180,2)),"?0")&amp;" ☽"&amp;TEXT(VALUE(RIGHT(小羊的家备份!Z180,3)),"?0")</f>
        <v>★ 4 ☽ 6</v>
      </c>
      <c r="L61" s="137"/>
      <c r="M61" s="257" t="s">
        <v>165</v>
      </c>
      <c r="N61" s="137" t="str">
        <f ca="1">"★"&amp;TEXT(VALUE(小羊的家备份!Z213),"?0")</f>
        <v>★30</v>
      </c>
      <c r="O61" s="137"/>
      <c r="P61" s="137"/>
      <c r="Q61" s="137"/>
      <c r="R61" s="137"/>
      <c r="S61" s="137"/>
      <c r="T61" s="137"/>
      <c r="U61" s="137"/>
      <c r="V61" s="137"/>
      <c r="W61" s="171"/>
      <c r="X61" s="171"/>
      <c r="Y61" s="171"/>
      <c r="Z61" s="171"/>
      <c r="AA61" s="171"/>
      <c r="AB61" s="171"/>
      <c r="AC61" s="171"/>
      <c r="AD61" s="171"/>
    </row>
    <row r="62" spans="1:30">
      <c r="A62" s="137"/>
      <c r="B62" s="137"/>
      <c r="C62" s="137"/>
      <c r="D62" s="137"/>
      <c r="E62" s="137"/>
      <c r="F62" s="137"/>
      <c r="G62" s="257" t="s">
        <v>159</v>
      </c>
      <c r="H62" s="137" t="str">
        <f ca="1">"★"&amp;TEXT(VALUE(LEFT(小羊的家备份!Z199,2)),"?0")&amp;" ☽"&amp;TEXT(VALUE(RIGHT(小羊的家备份!Z199,3)),"?0")</f>
        <v>★ 9 ☽ 1</v>
      </c>
      <c r="I62" s="137"/>
      <c r="J62" s="257" t="s">
        <v>166</v>
      </c>
      <c r="K62" s="137" t="str">
        <f ca="1">"★"&amp;TEXT(VALUE(LEFT(小羊的家备份!Z181,2)),"?0")&amp;" ☽"&amp;TEXT(VALUE(RIGHT(小羊的家备份!Z181,3)),"?0")</f>
        <v>★ 9 ☽ 5</v>
      </c>
      <c r="L62" s="137"/>
      <c r="M62" s="137"/>
      <c r="N62" s="137"/>
      <c r="O62" s="137"/>
      <c r="P62" s="137"/>
      <c r="Q62" s="137"/>
      <c r="R62" s="137"/>
      <c r="S62" s="137"/>
      <c r="T62" s="137"/>
      <c r="U62" s="137"/>
      <c r="V62" s="137"/>
      <c r="W62" s="171"/>
      <c r="X62" s="171"/>
      <c r="Y62" s="171"/>
      <c r="Z62" s="171"/>
      <c r="AA62" s="171"/>
      <c r="AB62" s="171"/>
      <c r="AC62" s="171"/>
      <c r="AD62" s="171"/>
    </row>
    <row r="63" spans="1:30">
      <c r="A63" s="137"/>
      <c r="B63" s="137"/>
      <c r="C63" s="137"/>
      <c r="D63" s="137"/>
      <c r="E63" s="137"/>
      <c r="F63" s="137"/>
      <c r="G63" s="95"/>
      <c r="H63" s="137"/>
      <c r="I63" s="137"/>
      <c r="J63" s="257" t="s">
        <v>167</v>
      </c>
      <c r="K63" s="137" t="str">
        <f ca="1">"★"&amp;TEXT(VALUE(LEFT(小羊的家备份!Z182,2)),"?0")&amp;" ☽"&amp;TEXT(VALUE(RIGHT(小羊的家备份!Z182,3)),"?0")</f>
        <v>★ 9 ☽ 4</v>
      </c>
      <c r="L63" s="137"/>
      <c r="M63" s="137"/>
      <c r="N63" s="137"/>
      <c r="O63" s="137"/>
      <c r="P63" s="137"/>
      <c r="Q63" s="137"/>
      <c r="R63" s="137"/>
      <c r="S63" s="137"/>
      <c r="T63" s="137"/>
      <c r="U63" s="137"/>
      <c r="V63" s="137"/>
      <c r="W63" s="171"/>
      <c r="X63" s="171"/>
      <c r="Y63" s="171"/>
      <c r="Z63" s="171"/>
      <c r="AA63" s="171"/>
      <c r="AB63" s="171"/>
      <c r="AC63" s="171"/>
      <c r="AD63" s="171"/>
    </row>
    <row r="64" spans="1:30">
      <c r="A64" s="137"/>
      <c r="B64" s="137"/>
      <c r="C64" s="137"/>
      <c r="D64" s="137"/>
      <c r="E64" s="137"/>
      <c r="F64" s="137"/>
      <c r="G64" s="137"/>
      <c r="H64" s="137"/>
      <c r="I64" s="137"/>
      <c r="J64" s="137"/>
      <c r="K64" s="137"/>
      <c r="L64" s="137"/>
      <c r="M64" s="137"/>
      <c r="N64" s="137"/>
      <c r="O64" s="137"/>
      <c r="P64" s="137"/>
      <c r="Q64" s="137"/>
      <c r="R64" s="137"/>
      <c r="S64" s="137"/>
      <c r="T64" s="137"/>
      <c r="U64" s="137"/>
      <c r="V64" s="137"/>
      <c r="W64" s="171"/>
      <c r="X64" s="171"/>
      <c r="Y64" s="171"/>
      <c r="Z64" s="171"/>
      <c r="AA64" s="171"/>
      <c r="AB64" s="171"/>
      <c r="AC64" s="171"/>
      <c r="AD64" s="171"/>
    </row>
    <row r="65" spans="1:30">
      <c r="A65" s="137"/>
      <c r="B65" s="137"/>
      <c r="C65" s="137"/>
      <c r="D65" s="137"/>
      <c r="E65" s="137"/>
      <c r="F65" s="137"/>
      <c r="G65" s="137"/>
      <c r="H65" s="137"/>
      <c r="I65" s="137"/>
      <c r="J65" s="137"/>
      <c r="K65" s="137"/>
      <c r="L65" s="137"/>
      <c r="M65" s="137"/>
      <c r="N65" s="137"/>
      <c r="O65" s="137"/>
      <c r="P65" s="137"/>
      <c r="Q65" s="137"/>
      <c r="R65" s="137"/>
      <c r="S65" s="137"/>
      <c r="T65" s="137"/>
      <c r="U65" s="137"/>
      <c r="V65" s="137"/>
      <c r="W65" s="171"/>
      <c r="X65" s="171"/>
      <c r="Y65" s="171"/>
      <c r="Z65" s="171"/>
      <c r="AA65" s="171"/>
      <c r="AB65" s="171"/>
      <c r="AC65" s="171"/>
      <c r="AD65" s="171"/>
    </row>
    <row r="66" spans="1:30" ht="14.25" customHeight="1">
      <c r="A66" s="137"/>
      <c r="B66" s="137"/>
      <c r="C66" s="137"/>
      <c r="D66" s="137"/>
      <c r="E66" s="137"/>
      <c r="F66" s="137"/>
      <c r="G66" s="137"/>
      <c r="H66" s="137"/>
      <c r="I66" s="137"/>
      <c r="J66" s="137"/>
      <c r="K66" s="137"/>
      <c r="L66" s="137"/>
      <c r="M66" s="137"/>
      <c r="N66" s="137"/>
      <c r="O66" s="137"/>
      <c r="P66" s="137"/>
      <c r="Q66" s="137"/>
      <c r="R66" s="137"/>
      <c r="S66" s="137"/>
      <c r="T66" s="137"/>
      <c r="U66" s="137"/>
      <c r="V66" s="137"/>
      <c r="W66" s="171"/>
      <c r="X66" s="171"/>
      <c r="Y66" s="171"/>
      <c r="Z66" s="171"/>
      <c r="AA66" s="171"/>
      <c r="AB66" s="171"/>
      <c r="AC66" s="171"/>
      <c r="AD66" s="171"/>
    </row>
    <row r="67" spans="1:30" ht="14.25" customHeight="1">
      <c r="A67" s="137"/>
      <c r="B67" s="137"/>
      <c r="C67" s="137"/>
      <c r="D67" s="137"/>
      <c r="E67" s="137"/>
      <c r="F67" s="137"/>
      <c r="G67" s="512" t="s">
        <v>168</v>
      </c>
      <c r="H67" s="512"/>
      <c r="I67" s="512">
        <v>10</v>
      </c>
      <c r="J67" s="171"/>
      <c r="K67" s="171"/>
      <c r="L67" s="171"/>
      <c r="M67" s="171"/>
      <c r="N67" s="171"/>
      <c r="O67" s="171"/>
      <c r="P67" s="171"/>
      <c r="Q67" s="171"/>
      <c r="R67" s="171"/>
      <c r="S67" s="524" t="str">
        <f>IF(I67&gt;=5,IF(I67&gt;8,"Ⅳ 神话时代","Ⅲ 英雄时代"),IF(I67&gt;1,"Ⅱ 古典时代","Ⅰ 远古时代"))</f>
        <v>Ⅳ 神话时代</v>
      </c>
      <c r="T67" s="524"/>
      <c r="U67" s="171"/>
      <c r="V67" s="171"/>
      <c r="W67" s="171"/>
      <c r="X67" s="171"/>
      <c r="Y67" s="171"/>
      <c r="Z67" s="171"/>
      <c r="AA67" s="171"/>
      <c r="AB67" s="171"/>
      <c r="AC67" s="171"/>
      <c r="AD67" s="171"/>
    </row>
    <row r="68" spans="1:30" ht="14.25" customHeight="1">
      <c r="A68" s="171"/>
      <c r="B68" s="171"/>
      <c r="C68" s="171"/>
      <c r="D68" s="171"/>
      <c r="E68" s="171"/>
      <c r="F68" s="171"/>
      <c r="G68" s="512"/>
      <c r="H68" s="512"/>
      <c r="I68" s="512"/>
      <c r="J68" s="171"/>
      <c r="K68" s="171"/>
      <c r="L68" s="171"/>
      <c r="M68" s="171"/>
      <c r="N68" s="171"/>
      <c r="O68" s="171"/>
      <c r="P68" s="171"/>
      <c r="Q68" s="171"/>
      <c r="R68" s="171"/>
      <c r="S68" s="524"/>
      <c r="T68" s="524"/>
      <c r="U68" s="171"/>
      <c r="V68" s="171"/>
      <c r="W68" s="171"/>
      <c r="X68" s="171"/>
      <c r="Y68" s="171"/>
      <c r="Z68" s="171"/>
      <c r="AA68" s="171"/>
      <c r="AB68" s="171"/>
      <c r="AC68" s="171"/>
      <c r="AD68" s="171"/>
    </row>
    <row r="69" spans="1:30">
      <c r="A69" s="171"/>
      <c r="B69" s="171"/>
      <c r="C69" s="171"/>
      <c r="D69" s="171"/>
      <c r="E69" s="171"/>
      <c r="F69" s="171"/>
      <c r="G69" s="497"/>
      <c r="H69" s="497"/>
      <c r="I69" s="497"/>
      <c r="J69" s="497"/>
      <c r="K69" s="497"/>
      <c r="L69" s="497"/>
      <c r="M69" s="497"/>
      <c r="N69" s="497"/>
      <c r="O69" s="497"/>
      <c r="P69" s="497"/>
      <c r="Q69" s="497"/>
      <c r="R69" s="497"/>
      <c r="S69" s="497"/>
      <c r="T69" s="497"/>
      <c r="U69" s="497"/>
      <c r="V69" s="497"/>
      <c r="W69" s="497"/>
      <c r="X69" s="497"/>
      <c r="Y69" s="497"/>
      <c r="Z69" s="497"/>
      <c r="AA69" s="497"/>
      <c r="AB69" s="497"/>
      <c r="AC69" s="497"/>
      <c r="AD69" s="171"/>
    </row>
    <row r="70" spans="1:30">
      <c r="A70" s="171"/>
      <c r="B70" s="171"/>
      <c r="C70" s="171"/>
      <c r="D70" s="171"/>
      <c r="E70" s="171"/>
      <c r="F70" s="171"/>
      <c r="G70" s="509" t="s">
        <v>169</v>
      </c>
      <c r="H70" s="273" t="str">
        <f>"★"&amp;I67</f>
        <v>★10</v>
      </c>
      <c r="I70" s="509"/>
      <c r="J70" s="509" t="s">
        <v>170</v>
      </c>
      <c r="K70" s="273" t="str">
        <f ca="1">"★"&amp;小羊的家备份!DC6</f>
        <v>★5</v>
      </c>
      <c r="L70" s="509"/>
      <c r="M70" s="509" t="s">
        <v>171</v>
      </c>
      <c r="N70" s="273" t="str">
        <f ca="1">"★"&amp;小羊的家备份!DC7</f>
        <v>★5</v>
      </c>
      <c r="O70" s="509"/>
      <c r="P70" s="509" t="s">
        <v>172</v>
      </c>
      <c r="Q70" s="273" t="str">
        <f ca="1">"★"&amp;小羊的家备份!DC8</f>
        <v>★5</v>
      </c>
      <c r="R70" s="509"/>
      <c r="S70" s="509" t="s">
        <v>173</v>
      </c>
      <c r="T70" s="273" t="str">
        <f ca="1">"★"&amp;小羊的家备份!DC9</f>
        <v>★5</v>
      </c>
      <c r="U70" s="509"/>
      <c r="V70" s="509" t="s">
        <v>174</v>
      </c>
      <c r="W70" s="273" t="str">
        <f ca="1">"★"&amp;小羊的家备份!DC10</f>
        <v>★5</v>
      </c>
      <c r="X70" s="509"/>
      <c r="Y70" s="509" t="s">
        <v>175</v>
      </c>
      <c r="Z70" s="273" t="str">
        <f ca="1">"★"&amp;小羊的家备份!DC11</f>
        <v>★5</v>
      </c>
      <c r="AA70" s="509"/>
      <c r="AB70" s="273" t="s">
        <v>176</v>
      </c>
      <c r="AC70" s="273" t="str">
        <f ca="1">"★"&amp;小羊的家备份!DC12</f>
        <v>★4</v>
      </c>
      <c r="AD70" s="171"/>
    </row>
    <row r="71" spans="1:30">
      <c r="A71" s="171"/>
      <c r="B71" s="171"/>
      <c r="C71" s="171"/>
      <c r="D71" s="171"/>
      <c r="E71" s="171"/>
      <c r="F71" s="171"/>
      <c r="G71" s="257"/>
      <c r="H71" s="250"/>
      <c r="I71" s="257"/>
      <c r="J71" s="257"/>
      <c r="K71" s="257"/>
      <c r="L71" s="257"/>
      <c r="M71" s="257"/>
      <c r="N71" s="257"/>
      <c r="O71" s="257"/>
      <c r="P71" s="257"/>
      <c r="Q71" s="257"/>
      <c r="R71" s="257"/>
      <c r="S71" s="257"/>
      <c r="T71" s="257"/>
      <c r="U71" s="257"/>
      <c r="V71" s="257"/>
      <c r="W71" s="257"/>
      <c r="X71" s="257"/>
      <c r="Y71" s="257"/>
      <c r="Z71" s="257"/>
      <c r="AA71" s="257"/>
      <c r="AB71" s="257"/>
      <c r="AC71" s="257"/>
      <c r="AD71" s="171"/>
    </row>
    <row r="72" spans="1:30">
      <c r="A72" s="171"/>
      <c r="B72" s="171"/>
      <c r="C72" s="171"/>
      <c r="D72" s="171"/>
      <c r="E72" s="171"/>
      <c r="F72" s="171"/>
      <c r="G72" s="257" t="s">
        <v>14</v>
      </c>
      <c r="H72" s="137" t="str">
        <f ca="1">"★"&amp;TEXT(VALUE(LEFT(小羊的家备份!DC14,2)),"?0")&amp;" ☪"&amp;TEXT(VALUE(RIGHT(小羊的家备份!DC14,3)),"?0")</f>
        <v>★ 5 ☪280</v>
      </c>
      <c r="I72" s="257"/>
      <c r="J72" s="257" t="s">
        <v>14</v>
      </c>
      <c r="K72" s="137" t="str">
        <f ca="1">"★"&amp;TEXT(VALUE(LEFT(小羊的家备份!DC44,2)),"?0")&amp;" ☪"&amp;TEXT(VALUE(RIGHT(小羊的家备份!DC44,3)),"?0")</f>
        <v>★ 5 ☪200</v>
      </c>
      <c r="L72" s="257"/>
      <c r="M72" s="257" t="s">
        <v>14</v>
      </c>
      <c r="N72" s="137" t="str">
        <f ca="1">"★"&amp;TEXT(VALUE(LEFT(小羊的家备份!DC76,2)),"?0")&amp;" ☪"&amp;TEXT(VALUE(RIGHT(小羊的家备份!DC76,3)),"?0")</f>
        <v>★ 5 ☪180</v>
      </c>
      <c r="O72" s="257"/>
      <c r="P72" s="257" t="s">
        <v>14</v>
      </c>
      <c r="Q72" s="137" t="str">
        <f ca="1">"★"&amp;TEXT(VALUE(LEFT(小羊的家备份!DC108,2)),"?0")&amp;" ☪"&amp;TEXT(VALUE(RIGHT(小羊的家备份!DC108,3)),"?0")</f>
        <v>★ 5 ☪120</v>
      </c>
      <c r="R72" s="257"/>
      <c r="S72" s="257" t="s">
        <v>14</v>
      </c>
      <c r="T72" s="137" t="str">
        <f ca="1">"★"&amp;TEXT(VALUE(LEFT(小羊的家备份!DC140,2)),"?0")&amp;" ☪"&amp;TEXT(VALUE(RIGHT(小羊的家备份!DC140,3)),"?0")</f>
        <v>★ 5 ☪180</v>
      </c>
      <c r="U72" s="257"/>
      <c r="V72" s="257" t="s">
        <v>14</v>
      </c>
      <c r="W72" s="137" t="str">
        <f ca="1">"★"&amp;TEXT(VALUE(LEFT(小羊的家备份!DC172,2)),"?0")&amp;" ☪"&amp;TEXT(VALUE(RIGHT(小羊的家备份!DC172,3)),"?0")</f>
        <v>★ 5 ☪140</v>
      </c>
      <c r="X72" s="257"/>
      <c r="Y72" s="257" t="s">
        <v>14</v>
      </c>
      <c r="Z72" s="120" t="str">
        <f ca="1">"★"&amp;TEXT(VALUE(LEFT(小羊的家备份!DC205,2)),"?0")&amp;" ☪"&amp;TEXT(VALUE(RIGHT(小羊的家备份!DC205,3)),"?0")</f>
        <v>★ 5 ☪160</v>
      </c>
      <c r="AA72" s="257"/>
      <c r="AB72" s="257" t="s">
        <v>14</v>
      </c>
      <c r="AC72" s="508" t="str">
        <f ca="1">"★"&amp;TEXT(VALUE(LEFT(小羊的家备份!DC238,2)),"?0")&amp;" ☪"&amp;TEXT(VALUE(RIGHT(小羊的家备份!DC238,3)),"?0")</f>
        <v>★ 4 ☪100</v>
      </c>
      <c r="AD72" s="171"/>
    </row>
    <row r="73" spans="1:30">
      <c r="A73" s="171"/>
      <c r="B73" s="171"/>
      <c r="C73" s="171"/>
      <c r="D73" s="171"/>
      <c r="E73" s="171"/>
      <c r="F73" s="171"/>
      <c r="G73" s="257" t="s">
        <v>2</v>
      </c>
      <c r="H73" s="137" t="str">
        <f ca="1">"★"&amp;TEXT(VALUE(LEFT(小羊的家备份!DC15,2)),"?0")&amp;" ☪"&amp;TEXT(VALUE(RIGHT(小羊的家备份!DC15,3)),"?0")</f>
        <v>★ 5 ☪ 6</v>
      </c>
      <c r="I73" s="257"/>
      <c r="J73" s="257" t="s">
        <v>2</v>
      </c>
      <c r="K73" s="137" t="str">
        <f ca="1">"★"&amp;TEXT(VALUE(LEFT(小羊的家备份!DC45,2)),"?0")&amp;" ☪"&amp;TEXT(VALUE(RIGHT(小羊的家备份!DC45,3)),"?0")</f>
        <v>★ 5 ☪ 9</v>
      </c>
      <c r="L73" s="257"/>
      <c r="M73" s="257" t="s">
        <v>2</v>
      </c>
      <c r="N73" s="137" t="str">
        <f ca="1">"★"&amp;TEXT(VALUE(LEFT(小羊的家备份!DC77,2)),"?0")&amp;" ☪"&amp;TEXT(VALUE(RIGHT(小羊的家备份!DC77,3)),"?0")</f>
        <v>★ 5 ☪ 7</v>
      </c>
      <c r="O73" s="257"/>
      <c r="P73" s="257" t="s">
        <v>2</v>
      </c>
      <c r="Q73" s="137" t="str">
        <f ca="1">"★"&amp;TEXT(VALUE(LEFT(小羊的家备份!DC109,2)),"?0")&amp;" ☪"&amp;TEXT(VALUE(RIGHT(小羊的家备份!DC109,3)),"?0")</f>
        <v>★ 5 ☪16</v>
      </c>
      <c r="R73" s="257"/>
      <c r="S73" s="257" t="s">
        <v>2</v>
      </c>
      <c r="T73" s="137" t="str">
        <f ca="1">"★"&amp;TEXT(VALUE(LEFT(小羊的家备份!DC141,2)),"?0")&amp;" ☪"&amp;TEXT(VALUE(RIGHT(小羊的家备份!DC141,3)),"?0")</f>
        <v>★ 5 ☪ 8</v>
      </c>
      <c r="U73" s="257"/>
      <c r="V73" s="257" t="s">
        <v>2</v>
      </c>
      <c r="W73" s="137" t="str">
        <f ca="1">"★"&amp;TEXT(VALUE(LEFT(小羊的家备份!DC173,2)),"?0")&amp;" ☪"&amp;TEXT(VALUE(RIGHT(小羊的家备份!DC173,3)),"?0")</f>
        <v>★ 5 ☪ 8</v>
      </c>
      <c r="X73" s="257"/>
      <c r="Y73" s="257" t="s">
        <v>2</v>
      </c>
      <c r="Z73" s="120" t="str">
        <f ca="1">"★"&amp;TEXT(VALUE(LEFT(小羊的家备份!DC206,2)),"?0")&amp;" ☪"&amp;TEXT(VALUE(RIGHT(小羊的家备份!DC206,3)),"?0")</f>
        <v>★ 5 ☪15</v>
      </c>
      <c r="AA73" s="257"/>
      <c r="AB73" s="257" t="s">
        <v>2</v>
      </c>
      <c r="AC73" s="257" t="str">
        <f ca="1">"★"&amp;TEXT(VALUE(LEFT(小羊的家备份!DC239,2)),"?0")&amp;" ☪"&amp;TEXT(VALUE(RIGHT(小羊的家备份!DC239,3)),"?0")</f>
        <v>★ 4 ☪ 6</v>
      </c>
      <c r="AD73" s="171"/>
    </row>
    <row r="74" spans="1:30">
      <c r="A74" s="171"/>
      <c r="B74" s="171"/>
      <c r="C74" s="171"/>
      <c r="D74" s="171"/>
      <c r="E74" s="171"/>
      <c r="F74" s="171"/>
      <c r="G74" s="257" t="s">
        <v>177</v>
      </c>
      <c r="H74" s="137" t="str">
        <f ca="1">"★"&amp;TEXT(VALUE(LEFT(小羊的家备份!DC16,2)),"?0")&amp;" ☪"&amp;TEXT(VALUE(RIGHT(小羊的家备份!DC16,3)),"?0")</f>
        <v>★ 5 ☪ 6</v>
      </c>
      <c r="I74" s="257"/>
      <c r="J74" s="257" t="s">
        <v>177</v>
      </c>
      <c r="K74" s="137" t="str">
        <f ca="1">"★"&amp;TEXT(VALUE(LEFT(小羊的家备份!DC46,2)),"?0")&amp;" ☪"&amp;TEXT(VALUE(RIGHT(小羊的家备份!DC46,3)),"?0")</f>
        <v>★ 5 ☪ 9</v>
      </c>
      <c r="L74" s="257"/>
      <c r="M74" s="257" t="s">
        <v>177</v>
      </c>
      <c r="N74" s="137" t="str">
        <f ca="1">"★"&amp;TEXT(VALUE(LEFT(小羊的家备份!DC78,2)),"?0")&amp;" ☪"&amp;TEXT(VALUE(RIGHT(小羊的家备份!DC78,3)),"?0")</f>
        <v>★ 5 ☪14</v>
      </c>
      <c r="O74" s="257"/>
      <c r="P74" s="257" t="s">
        <v>177</v>
      </c>
      <c r="Q74" s="137" t="str">
        <f ca="1">"★"&amp;TEXT(VALUE(LEFT(小羊的家备份!DC110,2)),"?0")&amp;" ☪"&amp;TEXT(VALUE(RIGHT(小羊的家备份!DC110,3)),"?0")</f>
        <v>★ 5 ☪14</v>
      </c>
      <c r="R74" s="257"/>
      <c r="S74" s="257" t="s">
        <v>177</v>
      </c>
      <c r="T74" s="137" t="str">
        <f ca="1">"★"&amp;TEXT(VALUE(LEFT(小羊的家备份!DC142,2)),"?0")&amp;" ☪"&amp;TEXT(VALUE(RIGHT(小羊的家备份!DC142,3)),"?0")</f>
        <v>★ 5 ☪13</v>
      </c>
      <c r="U74" s="257"/>
      <c r="V74" s="257" t="s">
        <v>177</v>
      </c>
      <c r="W74" s="137" t="str">
        <f ca="1">"★"&amp;TEXT(VALUE(LEFT(小羊的家备份!DC174,2)),"?0")&amp;" ☪"&amp;TEXT(VALUE(RIGHT(小羊的家备份!DC174,3)),"?0")</f>
        <v>★ 5 ☪13</v>
      </c>
      <c r="X74" s="257"/>
      <c r="Y74" s="257" t="s">
        <v>177</v>
      </c>
      <c r="Z74" s="120" t="str">
        <f ca="1">"★"&amp;TEXT(VALUE(LEFT(小羊的家备份!DC207,2)),"?0")&amp;" ☪"&amp;TEXT(VALUE(RIGHT(小羊的家备份!DC207,3)),"?0")</f>
        <v>★ 5 ☪12</v>
      </c>
      <c r="AA74" s="257"/>
      <c r="AB74" s="257" t="s">
        <v>177</v>
      </c>
      <c r="AC74" s="257" t="str">
        <f ca="1">"★"&amp;TEXT(VALUE(LEFT(小羊的家备份!DC240,2)),"?0")&amp;" ☪"&amp;TEXT(VALUE(RIGHT(小羊的家备份!DC240,3)),"?0")</f>
        <v>★ 4 ☪ 8</v>
      </c>
      <c r="AD74" s="171"/>
    </row>
    <row r="75" spans="1:30">
      <c r="A75" s="171"/>
      <c r="B75" s="171"/>
      <c r="C75" s="171"/>
      <c r="D75" s="171"/>
      <c r="E75" s="171"/>
      <c r="F75" s="171"/>
      <c r="G75" s="257" t="s">
        <v>26</v>
      </c>
      <c r="H75" s="137" t="str">
        <f ca="1">"★"&amp;TEXT(VALUE(LEFT(小羊的家备份!DC17,2)),"?0")&amp;" ☪"&amp;TEXT(VALUE(RIGHT(小羊的家备份!DC17,3)),"?0")</f>
        <v>★ 5 ☪ 4</v>
      </c>
      <c r="I75" s="257"/>
      <c r="J75" s="257" t="s">
        <v>26</v>
      </c>
      <c r="K75" s="137" t="str">
        <f ca="1">"★"&amp;TEXT(VALUE(LEFT(小羊的家备份!DC47,2)),"?0")&amp;" ☪"&amp;TEXT(VALUE(RIGHT(小羊的家备份!DC47,3)),"?0")</f>
        <v>★ 5 ☪ 7</v>
      </c>
      <c r="L75" s="257"/>
      <c r="M75" s="257" t="s">
        <v>26</v>
      </c>
      <c r="N75" s="137" t="str">
        <f ca="1">"★"&amp;TEXT(VALUE(LEFT(小羊的家备份!DC79,2)),"?0")&amp;" ☪"&amp;TEXT(VALUE(RIGHT(小羊的家备份!DC79,3)),"?0")</f>
        <v>★ 5 ☪ 6</v>
      </c>
      <c r="O75" s="257"/>
      <c r="P75" s="257" t="s">
        <v>26</v>
      </c>
      <c r="Q75" s="137" t="str">
        <f ca="1">"★"&amp;TEXT(VALUE(LEFT(小羊的家备份!DC111,2)),"?0")&amp;" ☪"&amp;TEXT(VALUE(RIGHT(小羊的家备份!DC111,3)),"?0")</f>
        <v>★ 5 ☪ 3</v>
      </c>
      <c r="R75" s="257"/>
      <c r="S75" s="257" t="s">
        <v>26</v>
      </c>
      <c r="T75" s="137" t="str">
        <f ca="1">"★"&amp;TEXT(VALUE(LEFT(小羊的家备份!DC143,2)),"?0")&amp;" ☪"&amp;TEXT(VALUE(RIGHT(小羊的家备份!DC143,3)),"?0")</f>
        <v>★ 5 ☪ 8</v>
      </c>
      <c r="U75" s="257"/>
      <c r="V75" s="257" t="s">
        <v>26</v>
      </c>
      <c r="W75" s="137" t="str">
        <f ca="1">"★"&amp;TEXT(VALUE(LEFT(小羊的家备份!DC175,2)),"?0")&amp;" ☪"&amp;TEXT(VALUE(RIGHT(小羊的家备份!DC175,3)),"?0")</f>
        <v>★ 5 ☪ 7</v>
      </c>
      <c r="X75" s="257"/>
      <c r="Y75" s="257" t="s">
        <v>26</v>
      </c>
      <c r="Z75" s="120" t="str">
        <f ca="1">"★"&amp;TEXT(VALUE(LEFT(小羊的家备份!DC208,2)),"?0")&amp;" ☪"&amp;TEXT(VALUE(RIGHT(小羊的家备份!DC208,3)),"?0")</f>
        <v>★ 5 ☪ 9</v>
      </c>
      <c r="AA75" s="257"/>
      <c r="AB75" s="257" t="s">
        <v>26</v>
      </c>
      <c r="AC75" s="257" t="str">
        <f ca="1">"★"&amp;TEXT(VALUE(LEFT(小羊的家备份!DC241,2)),"?0")&amp;" ☪"&amp;TEXT(VALUE(RIGHT(小羊的家备份!DC241,3)),"?0")</f>
        <v>★ 4 ☪ 5</v>
      </c>
      <c r="AD75" s="171"/>
    </row>
    <row r="76" spans="1:30">
      <c r="A76" s="171"/>
      <c r="B76" s="171"/>
      <c r="C76" s="171"/>
      <c r="D76" s="171"/>
      <c r="E76" s="171"/>
      <c r="F76" s="171"/>
      <c r="G76" s="257" t="s">
        <v>178</v>
      </c>
      <c r="H76" s="137" t="str">
        <f ca="1">"★"&amp;TEXT(VALUE(LEFT(小羊的家备份!DC18,2)),"?0")&amp;" ☪"&amp;TEXT(VALUE(RIGHT(小羊的家备份!DC18,3)),"?0")</f>
        <v>★ 5 ☪ 2</v>
      </c>
      <c r="I76" s="257"/>
      <c r="J76" s="257" t="s">
        <v>178</v>
      </c>
      <c r="K76" s="137" t="str">
        <f ca="1">"★"&amp;TEXT(VALUE(LEFT(小羊的家备份!DC48,2)),"?0")&amp;" ☪"&amp;TEXT(VALUE(RIGHT(小羊的家备份!DC48,3)),"?0")</f>
        <v>★ 5 ☪ 6</v>
      </c>
      <c r="L76" s="257"/>
      <c r="M76" s="257" t="s">
        <v>178</v>
      </c>
      <c r="N76" s="137" t="str">
        <f ca="1">"★"&amp;TEXT(VALUE(LEFT(小羊的家备份!DC80,2)),"?0")&amp;" ☪"&amp;TEXT(VALUE(RIGHT(小羊的家备份!DC80,3)),"?0")</f>
        <v>★ 5 ☪ 2</v>
      </c>
      <c r="O76" s="257"/>
      <c r="P76" s="257" t="s">
        <v>178</v>
      </c>
      <c r="Q76" s="137" t="str">
        <f ca="1">"★"&amp;TEXT(VALUE(LEFT(小羊的家备份!DC112,2)),"?0")&amp;" ☪"&amp;TEXT(VALUE(RIGHT(小羊的家备份!DC112,3)),"?0")</f>
        <v>★ 5 ☪ 2</v>
      </c>
      <c r="R76" s="257"/>
      <c r="S76" s="257" t="s">
        <v>178</v>
      </c>
      <c r="T76" s="137" t="str">
        <f ca="1">"★"&amp;TEXT(VALUE(LEFT(小羊的家备份!DC144,2)),"?0")&amp;" ☪"&amp;TEXT(VALUE(RIGHT(小羊的家备份!DC144,3)),"?0")</f>
        <v>★ 5 ☪ 4</v>
      </c>
      <c r="U76" s="257"/>
      <c r="V76" s="257" t="s">
        <v>49</v>
      </c>
      <c r="W76" s="137" t="str">
        <f ca="1">"★"&amp;TEXT(VALUE(LEFT(小羊的家备份!DC177,2)),"?0")&amp;" ☪"&amp;TEXT(VALUE(RIGHT(小羊的家备份!DC177,3)),"?0")</f>
        <v>★ 5 ☪ 3</v>
      </c>
      <c r="X76" s="257"/>
      <c r="Y76" s="257" t="s">
        <v>178</v>
      </c>
      <c r="Z76" s="120" t="str">
        <f ca="1">"★"&amp;TEXT(VALUE(LEFT(小羊的家备份!DC209,2)),"?0")&amp;" ☪"&amp;TEXT(VALUE(RIGHT(小羊的家备份!DC209,3)),"?0")</f>
        <v>★ 5 ☪ 3</v>
      </c>
      <c r="AA76" s="257"/>
      <c r="AB76" s="257" t="s">
        <v>178</v>
      </c>
      <c r="AC76" s="257" t="str">
        <f ca="1">"★"&amp;TEXT(VALUE(LEFT(小羊的家备份!DC242,2)),"?0")&amp;" ☪"&amp;TEXT(VALUE(RIGHT(小羊的家备份!DC242,3)),"?0")</f>
        <v>★ 4 ☪ 4</v>
      </c>
      <c r="AD76" s="171"/>
    </row>
    <row r="77" spans="1:30">
      <c r="A77" s="171"/>
      <c r="B77" s="171"/>
      <c r="C77" s="171"/>
      <c r="D77" s="171"/>
      <c r="E77" s="171"/>
      <c r="F77" s="171"/>
      <c r="G77" s="257" t="s">
        <v>49</v>
      </c>
      <c r="H77" s="137" t="str">
        <f ca="1">"★"&amp;TEXT(VALUE(LEFT(小羊的家备份!DC19,2)),"?0")&amp;" ☪"&amp;TEXT(VALUE(RIGHT(小羊的家备份!DC19,3)),"?0")</f>
        <v>★ 5 ☪ 2</v>
      </c>
      <c r="I77" s="257"/>
      <c r="J77" s="257" t="s">
        <v>49</v>
      </c>
      <c r="K77" s="137" t="str">
        <f ca="1">"★"&amp;TEXT(VALUE(LEFT(小羊的家备份!DC49,2)),"?0")&amp;" ☪"&amp;TEXT(VALUE(RIGHT(小羊的家备份!DC49,3)),"?0")</f>
        <v>★ 5 ☪ 4</v>
      </c>
      <c r="L77" s="257"/>
      <c r="M77" s="257" t="s">
        <v>179</v>
      </c>
      <c r="N77" s="137" t="str">
        <f ca="1">"★"&amp;TEXT(VALUE(LEFT(小羊的家备份!DC81,2)),"?0")&amp;" ☪"&amp;TEXT(VALUE(RIGHT(小羊的家备份!DC81,3)),"?0")</f>
        <v>★ 5 ☪ 6</v>
      </c>
      <c r="O77" s="257"/>
      <c r="P77" s="257" t="s">
        <v>49</v>
      </c>
      <c r="Q77" s="137" t="str">
        <f ca="1">"★"&amp;TEXT(VALUE(LEFT(小羊的家备份!DC113,2)),"?0")&amp;" ☪"&amp;TEXT(VALUE(RIGHT(小羊的家备份!DC113,3)),"?0")</f>
        <v>★ 5 ☪ 2</v>
      </c>
      <c r="R77" s="257"/>
      <c r="S77" s="257" t="s">
        <v>156</v>
      </c>
      <c r="T77" s="137" t="str">
        <f ca="1">"★"&amp;TEXT(VALUE(LEFT(小羊的家备份!DC145,2)),"?0")&amp;" ☪"&amp;TEXT(VALUE(RIGHT(小羊的家备份!DC145,3)),"?0")</f>
        <v>★ 5 ☪ 2</v>
      </c>
      <c r="U77" s="257"/>
      <c r="V77" s="257" t="s">
        <v>179</v>
      </c>
      <c r="W77" s="137" t="str">
        <f ca="1">"★"&amp;TEXT(VALUE(LEFT(小羊的家备份!DC178,2)),"?0")&amp;" ☪"&amp;TEXT(VALUE(RIGHT(小羊的家备份!DC178,3)),"?0")</f>
        <v>★ 5 ☪ 4</v>
      </c>
      <c r="X77" s="257"/>
      <c r="Y77" s="257" t="s">
        <v>156</v>
      </c>
      <c r="Z77" s="120" t="str">
        <f ca="1">"★"&amp;TEXT(VALUE(LEFT(小羊的家备份!DC210,2)),"?0")&amp;" ☪"&amp;TEXT(VALUE(RIGHT(小羊的家备份!DC210,3)),"?0")</f>
        <v>★ 5 ☪ 4</v>
      </c>
      <c r="AA77" s="257"/>
      <c r="AB77" s="257" t="s">
        <v>49</v>
      </c>
      <c r="AC77" s="257" t="str">
        <f ca="1">"★"&amp;TEXT(VALUE(LEFT(小羊的家备份!DC243,2)),"?0")&amp;" ☪"&amp;TEXT(VALUE(RIGHT(小羊的家备份!DC243,3)),"?0")</f>
        <v>★ 4 ☪ 4</v>
      </c>
      <c r="AD77" s="171"/>
    </row>
    <row r="78" spans="1:30" ht="15">
      <c r="A78" s="171"/>
      <c r="B78" s="171"/>
      <c r="C78" s="171"/>
      <c r="D78" s="171"/>
      <c r="E78" s="171"/>
      <c r="F78" s="171"/>
      <c r="G78" s="257" t="s">
        <v>156</v>
      </c>
      <c r="H78" s="137" t="str">
        <f ca="1">"★"&amp;TEXT(VALUE(LEFT(小羊的家备份!DC20,2)),"?0")&amp;" ☪"&amp;TEXT(VALUE(RIGHT(小羊的家备份!DC20,3)),"?0")</f>
        <v>★ 5 ☪ 2</v>
      </c>
      <c r="I78" s="257"/>
      <c r="J78" s="257" t="s">
        <v>156</v>
      </c>
      <c r="K78" s="137" t="str">
        <f ca="1">"★"&amp;TEXT(VALUE(LEFT(小羊的家备份!DC50,2)),"?0")&amp;" ☪"&amp;TEXT(VALUE(RIGHT(小羊的家备份!DC50,3)),"?0")</f>
        <v>★ 5 ☪ 4</v>
      </c>
      <c r="L78" s="257"/>
      <c r="M78" s="510" t="s">
        <v>153</v>
      </c>
      <c r="N78" s="137" t="str">
        <f ca="1">"★"&amp;TEXT(VALUE(LEFT(小羊的家备份!DC82,2)),"?0")&amp;" ☪"&amp;TEXT(VALUE(RIGHT(小羊的家备份!DC82,3)),"?0")</f>
        <v>★ 5 ☪ 3</v>
      </c>
      <c r="O78" s="257"/>
      <c r="P78" s="257" t="s">
        <v>153</v>
      </c>
      <c r="Q78" s="137" t="str">
        <f ca="1">"★"&amp;TEXT(VALUE(LEFT(小羊的家备份!DC114,2)),"?0")&amp;" ☪"&amp;TEXT(VALUE(RIGHT(小羊的家备份!DC114,3)),"?0")</f>
        <v>★ 5 ☪ 4</v>
      </c>
      <c r="R78" s="257"/>
      <c r="S78" s="257" t="s">
        <v>179</v>
      </c>
      <c r="T78" s="137" t="str">
        <f ca="1">"★"&amp;TEXT(VALUE(LEFT(小羊的家备份!DC146,2)),"?0")&amp;" ☪"&amp;TEXT(VALUE(RIGHT(小羊的家备份!DC146,3)),"?0")</f>
        <v>★ 5 ☪ 2</v>
      </c>
      <c r="U78" s="257"/>
      <c r="V78" s="257" t="s">
        <v>153</v>
      </c>
      <c r="W78" s="137" t="str">
        <f ca="1">"★"&amp;TEXT(VALUE(LEFT(小羊的家备份!DC179,2)),"?0")&amp;" ☪"&amp;TEXT(VALUE(RIGHT(小羊的家备份!DC179,3)),"?0")</f>
        <v>★ 5 ☪ 2</v>
      </c>
      <c r="X78" s="257"/>
      <c r="Y78" s="257" t="s">
        <v>153</v>
      </c>
      <c r="Z78" s="120" t="str">
        <f ca="1">"★"&amp;TEXT(VALUE(LEFT(小羊的家备份!DC211,2)),"?0")&amp;" ☪"&amp;TEXT(VALUE(RIGHT(小羊的家备份!DC211,3)),"?0")</f>
        <v>★ 5 ☪ 2</v>
      </c>
      <c r="AA78" s="257"/>
      <c r="AB78" s="257" t="s">
        <v>156</v>
      </c>
      <c r="AC78" s="257" t="str">
        <f ca="1">"★"&amp;TEXT(VALUE(LEFT(小羊的家备份!DC244,2)),"?0")&amp;" ☪"&amp;TEXT(VALUE(RIGHT(小羊的家备份!DC244,3)),"?0")</f>
        <v>★ 4 ☪ 3</v>
      </c>
      <c r="AD78" s="171"/>
    </row>
    <row r="79" spans="1:30" ht="15">
      <c r="A79" s="171"/>
      <c r="B79" s="171"/>
      <c r="C79" s="171"/>
      <c r="D79" s="171"/>
      <c r="E79" s="171"/>
      <c r="F79" s="171"/>
      <c r="G79" s="257" t="s">
        <v>179</v>
      </c>
      <c r="H79" s="137" t="str">
        <f ca="1">"★"&amp;TEXT(VALUE(LEFT(小羊的家备份!DC21,2)),"?0")&amp;" ☪"&amp;TEXT(VALUE(RIGHT(小羊的家备份!DC21,3)),"?0")</f>
        <v>★ 5 ☪ 2</v>
      </c>
      <c r="I79" s="257"/>
      <c r="J79" s="257" t="s">
        <v>153</v>
      </c>
      <c r="K79" s="137" t="str">
        <f ca="1">"★"&amp;TEXT(VALUE(LEFT(小羊的家备份!DC51,2)),"?0")&amp;" ☪"&amp;TEXT(VALUE(RIGHT(小羊的家备份!DC51,3)),"?0")</f>
        <v>★ 5 ☪ 3</v>
      </c>
      <c r="L79" s="257"/>
      <c r="M79" s="510" t="s">
        <v>180</v>
      </c>
      <c r="N79" s="137" t="str">
        <f ca="1">"★"&amp;TEXT(VALUE(LEFT(小羊的家备份!DC83,2)),"?0")&amp;" ☪"&amp;TEXT(VALUE(RIGHT(小羊的家备份!DC83,3)),"?0")</f>
        <v>★ 5 ☪ 2</v>
      </c>
      <c r="O79" s="257"/>
      <c r="P79" s="257" t="s">
        <v>181</v>
      </c>
      <c r="Q79" s="137" t="str">
        <f ca="1">"★"&amp;TEXT(VALUE(LEFT(小羊的家备份!DC115,2)),"?0")&amp;" ☪"&amp;TEXT(VALUE(RIGHT(小羊的家备份!DC115,3)),"?0")</f>
        <v>★ 5 ☪ 4</v>
      </c>
      <c r="R79" s="257"/>
      <c r="S79" s="257" t="s">
        <v>153</v>
      </c>
      <c r="T79" s="137" t="str">
        <f ca="1">"★"&amp;TEXT(VALUE(LEFT(小羊的家备份!DC147,2)),"?0")&amp;" ☪"&amp;TEXT(VALUE(RIGHT(小羊的家备份!DC147,3)),"?0")</f>
        <v>★ 5 ☪ 3</v>
      </c>
      <c r="U79" s="257"/>
      <c r="V79" s="257" t="s">
        <v>59</v>
      </c>
      <c r="W79" s="137" t="str">
        <f ca="1">"★"&amp;TEXT(VALUE(LEFT(小羊的家备份!DC180,2)),"?0")&amp;" ☪"&amp;TEXT(VALUE(RIGHT(小羊的家备份!DC180,3)),"?0")</f>
        <v>★ 5 ☪ 2</v>
      </c>
      <c r="X79" s="257"/>
      <c r="Y79" s="257" t="s">
        <v>181</v>
      </c>
      <c r="Z79" s="120" t="str">
        <f ca="1">"★"&amp;TEXT(VALUE(LEFT(小羊的家备份!DC212,2)),"?0")&amp;" ☪"&amp;TEXT(VALUE(RIGHT(小羊的家备份!DC212,3)),"?0")</f>
        <v>★ 5 ☪ 3</v>
      </c>
      <c r="AA79" s="257"/>
      <c r="AB79" s="257" t="s">
        <v>32</v>
      </c>
      <c r="AC79" s="257" t="str">
        <f ca="1">"★"&amp;TEXT(VALUE(LEFT(小羊的家备份!DC245,2)),"?0")&amp;" ☪"&amp;TEXT(VALUE(RIGHT(小羊的家备份!DC245,3)),"?0")</f>
        <v>★ 4 ☪ 4</v>
      </c>
      <c r="AD79" s="171"/>
    </row>
    <row r="80" spans="1:30">
      <c r="A80" s="171"/>
      <c r="B80" s="171"/>
      <c r="C80" s="171"/>
      <c r="D80" s="171"/>
      <c r="E80" s="171"/>
      <c r="F80" s="171"/>
      <c r="G80" s="257" t="s">
        <v>153</v>
      </c>
      <c r="H80" s="137" t="str">
        <f ca="1">"★"&amp;TEXT(VALUE(LEFT(小羊的家备份!DC22,2)),"?0")&amp;" ☪"&amp;TEXT(VALUE(RIGHT(小羊的家备份!DC22,3)),"?0")</f>
        <v>★ 5 ☪ 2</v>
      </c>
      <c r="I80" s="257"/>
      <c r="J80" s="257" t="s">
        <v>181</v>
      </c>
      <c r="K80" s="137" t="str">
        <f ca="1">"★"&amp;TEXT(VALUE(LEFT(小羊的家备份!DC52,2)),"?0")&amp;" ☪"&amp;TEXT(VALUE(RIGHT(小羊的家备份!DC52,3)),"?0")</f>
        <v>★ 5 ☪ 4</v>
      </c>
      <c r="L80" s="257"/>
      <c r="M80" s="257" t="s">
        <v>182</v>
      </c>
      <c r="N80" s="137" t="str">
        <f ca="1">"★"&amp;TEXT(VALUE(LEFT(小羊的家备份!DC84,2)),"?0")&amp;" ☪"&amp;TEXT(VALUE(RIGHT(小羊的家备份!DC84,3)),"?0")</f>
        <v>★ 5 ☪ 2</v>
      </c>
      <c r="O80" s="257"/>
      <c r="P80" s="257" t="s">
        <v>149</v>
      </c>
      <c r="Q80" s="137" t="str">
        <f ca="1">"★"&amp;TEXT(VALUE(LEFT(小羊的家备份!DC116,2)),"?0")&amp;" ☪"&amp;TEXT(VALUE(RIGHT(小羊的家备份!DC116,3)),"?0")</f>
        <v>★ 5 ☪ 2</v>
      </c>
      <c r="R80" s="257"/>
      <c r="S80" s="257" t="s">
        <v>181</v>
      </c>
      <c r="T80" s="137" t="str">
        <f ca="1">"★"&amp;TEXT(VALUE(LEFT(小羊的家备份!DC148,2)),"?0")&amp;" ☪"&amp;TEXT(VALUE(RIGHT(小羊的家备份!DC148,3)),"?0")</f>
        <v>★ 5 ☪ 4</v>
      </c>
      <c r="U80" s="257"/>
      <c r="V80" s="257" t="s">
        <v>183</v>
      </c>
      <c r="W80" s="137" t="str">
        <f ca="1">"★"&amp;TEXT(VALUE(LEFT(小羊的家备份!DC181,2)),"?0")&amp;" ☪"&amp;TEXT(VALUE(RIGHT(小羊的家备份!DC181,3)),"?0")</f>
        <v>★ 5 ☪ 1</v>
      </c>
      <c r="X80" s="257"/>
      <c r="Y80" s="257" t="s">
        <v>149</v>
      </c>
      <c r="Z80" s="120" t="str">
        <f ca="1">"★"&amp;TEXT(VALUE(LEFT(小羊的家备份!DC213,2)),"?0")&amp;" ☪"&amp;TEXT(VALUE(RIGHT(小羊的家备份!DC213,3)),"?0")</f>
        <v>★ 5 ☪ 2</v>
      </c>
      <c r="AA80" s="257"/>
      <c r="AB80" s="257" t="s">
        <v>153</v>
      </c>
      <c r="AC80" s="257" t="str">
        <f ca="1">"★"&amp;TEXT(VALUE(LEFT(小羊的家备份!DC246,2)),"?0")&amp;" ☪"&amp;TEXT(VALUE(RIGHT(小羊的家备份!DC246,3)),"?0")</f>
        <v>★ 4 ☪ 3</v>
      </c>
      <c r="AD80" s="171"/>
    </row>
    <row r="81" spans="1:30">
      <c r="A81" s="171"/>
      <c r="B81" s="171"/>
      <c r="C81" s="171"/>
      <c r="D81" s="171"/>
      <c r="E81" s="171"/>
      <c r="F81" s="171"/>
      <c r="G81" s="257" t="s">
        <v>181</v>
      </c>
      <c r="H81" s="137" t="str">
        <f ca="1">"★"&amp;TEXT(VALUE(LEFT(小羊的家备份!DC23,2)),"?0")&amp;" ☪"&amp;TEXT(VALUE(RIGHT(小羊的家备份!DC23,3)),"?0")</f>
        <v>★ 5 ☪ 8</v>
      </c>
      <c r="I81" s="257"/>
      <c r="J81" s="257" t="s">
        <v>180</v>
      </c>
      <c r="K81" s="137" t="str">
        <f ca="1">"★"&amp;TEXT(VALUE(LEFT(小羊的家备份!DC53,2)),"?0")&amp;" ☪"&amp;TEXT(VALUE(RIGHT(小羊的家备份!DC53,3)),"?0")</f>
        <v>★ 5 ☪ 4</v>
      </c>
      <c r="L81" s="257"/>
      <c r="M81" s="257" t="s">
        <v>59</v>
      </c>
      <c r="N81" s="137" t="str">
        <f ca="1">"★"&amp;TEXT(VALUE(LEFT(小羊的家备份!DC85,2)),"?0")&amp;" ☪"&amp;TEXT(VALUE(RIGHT(小羊的家备份!DC85,3)),"?0")</f>
        <v>★ 5 ☪ 3</v>
      </c>
      <c r="O81" s="257"/>
      <c r="P81" s="257" t="s">
        <v>180</v>
      </c>
      <c r="Q81" s="137" t="str">
        <f ca="1">"★"&amp;TEXT(VALUE(LEFT(小羊的家备份!DC117,2)),"?0")&amp;" ☪"&amp;TEXT(VALUE(RIGHT(小羊的家备份!DC117,3)),"?0")</f>
        <v>★ 5 ☪ 2</v>
      </c>
      <c r="R81" s="257"/>
      <c r="S81" s="257" t="s">
        <v>149</v>
      </c>
      <c r="T81" s="137" t="str">
        <f ca="1">"★"&amp;TEXT(VALUE(LEFT(小羊的家备份!DC149,2)),"?0")&amp;" ☪"&amp;TEXT(VALUE(RIGHT(小羊的家备份!DC149,3)),"?0")</f>
        <v>★ 5 ☪ 2</v>
      </c>
      <c r="U81" s="257"/>
      <c r="V81" s="257" t="s">
        <v>184</v>
      </c>
      <c r="W81" s="137" t="str">
        <f ca="1">"★"&amp;TEXT(VALUE(LEFT(小羊的家备份!DC182,2)),"?0")&amp;" ☪"&amp;TEXT(VALUE(RIGHT(小羊的家备份!DC182,3)),"?0")</f>
        <v>★ 5 ☪ 6</v>
      </c>
      <c r="X81" s="257"/>
      <c r="Y81" s="257" t="s">
        <v>180</v>
      </c>
      <c r="Z81" s="120" t="str">
        <f ca="1">"★"&amp;TEXT(VALUE(LEFT(小羊的家备份!DC214,2)),"?0")&amp;" ☪"&amp;TEXT(VALUE(RIGHT(小羊的家备份!DC214,3)),"?0")</f>
        <v>★ 5 ☪ 1</v>
      </c>
      <c r="AA81" s="257"/>
      <c r="AB81" s="257" t="s">
        <v>181</v>
      </c>
      <c r="AC81" s="257" t="str">
        <f ca="1">"★"&amp;TEXT(VALUE(LEFT(小羊的家备份!DC247,2)),"?0")&amp;" ☪"&amp;TEXT(VALUE(RIGHT(小羊的家备份!DC247,3)),"?0")</f>
        <v>★ 4 ☪ 5</v>
      </c>
      <c r="AD81" s="171"/>
    </row>
    <row r="82" spans="1:30">
      <c r="A82" s="171"/>
      <c r="B82" s="171"/>
      <c r="C82" s="171"/>
      <c r="D82" s="171"/>
      <c r="E82" s="171"/>
      <c r="F82" s="171"/>
      <c r="G82" s="257" t="s">
        <v>149</v>
      </c>
      <c r="H82" s="137" t="str">
        <f ca="1">"★"&amp;TEXT(VALUE(LEFT(小羊的家备份!DC24,2)),"?0")&amp;" ☪"&amp;TEXT(VALUE(RIGHT(小羊的家备份!DC24,3)),"?0")</f>
        <v>★ 5 ☪ 2</v>
      </c>
      <c r="I82" s="257"/>
      <c r="J82" s="257" t="s">
        <v>182</v>
      </c>
      <c r="K82" s="137" t="str">
        <f ca="1">"★"&amp;TEXT(VALUE(LEFT(小羊的家备份!DC54,2)),"?0")&amp;" ☪"&amp;TEXT(VALUE(RIGHT(小羊的家备份!DC54,3)),"?0")</f>
        <v>★ 5 ☪ 2</v>
      </c>
      <c r="L82" s="257"/>
      <c r="M82" s="257" t="s">
        <v>185</v>
      </c>
      <c r="N82" s="137" t="str">
        <f ca="1">"★"&amp;TEXT(VALUE(LEFT(小羊的家备份!DC86,2)),"?0")&amp;" ☪"&amp;TEXT(VALUE(RIGHT(小羊的家备份!DC86,3)),"?0")</f>
        <v>★ 5 ☪ 3</v>
      </c>
      <c r="O82" s="257"/>
      <c r="P82" s="257" t="s">
        <v>186</v>
      </c>
      <c r="Q82" s="137" t="str">
        <f ca="1">"★"&amp;TEXT(VALUE(LEFT(小羊的家备份!DC118,2)),"?0")&amp;" ☪"&amp;TEXT(VALUE(RIGHT(小羊的家备份!DC118,3)),"?0")</f>
        <v>★ 5 ☪ 4</v>
      </c>
      <c r="R82" s="257"/>
      <c r="S82" s="257" t="s">
        <v>180</v>
      </c>
      <c r="T82" s="137" t="str">
        <f ca="1">"★"&amp;TEXT(VALUE(LEFT(小羊的家备份!DC150,2)),"?0")&amp;" ☪"&amp;TEXT(VALUE(RIGHT(小羊的家备份!DC150,3)),"?0")</f>
        <v>★ 5 ☪ 5</v>
      </c>
      <c r="U82" s="257"/>
      <c r="V82" s="257"/>
      <c r="W82" s="257"/>
      <c r="X82" s="257"/>
      <c r="Y82" s="257" t="s">
        <v>186</v>
      </c>
      <c r="Z82" s="120" t="str">
        <f ca="1">"★"&amp;TEXT(VALUE(LEFT(小羊的家备份!DC215,2)),"?0")&amp;" ☪"&amp;TEXT(VALUE(RIGHT(小羊的家备份!DC215,3)),"?0")</f>
        <v>★ 5 ☪ 3</v>
      </c>
      <c r="AA82" s="257"/>
      <c r="AB82" s="257" t="s">
        <v>187</v>
      </c>
      <c r="AC82" s="257" t="str">
        <f ca="1">"★"&amp;TEXT(VALUE(LEFT(小羊的家备份!DC248,2)),"?0")&amp;" ☪"&amp;TEXT(VALUE(RIGHT(小羊的家备份!DC248,3)),"?0")</f>
        <v>★ 4 ☪ 5</v>
      </c>
      <c r="AD82" s="171"/>
    </row>
    <row r="83" spans="1:30">
      <c r="A83" s="171"/>
      <c r="B83" s="171"/>
      <c r="C83" s="171"/>
      <c r="D83" s="171"/>
      <c r="E83" s="171"/>
      <c r="F83" s="171"/>
      <c r="G83" s="257" t="s">
        <v>180</v>
      </c>
      <c r="H83" s="137" t="str">
        <f ca="1">"★"&amp;TEXT(VALUE(LEFT(小羊的家备份!DC25,2)),"?0")&amp;" ☪"&amp;TEXT(VALUE(RIGHT(小羊的家备份!DC25,3)),"?0")</f>
        <v>★ 5 ☪ 2</v>
      </c>
      <c r="I83" s="257"/>
      <c r="J83" s="257" t="s">
        <v>186</v>
      </c>
      <c r="K83" s="137" t="str">
        <f ca="1">"★"&amp;TEXT(VALUE(LEFT(小羊的家备份!DC55,2)),"?0")&amp;" ☪"&amp;TEXT(VALUE(RIGHT(小羊的家备份!DC55,3)),"?0")</f>
        <v>★ 5 ☪ 2</v>
      </c>
      <c r="L83" s="257"/>
      <c r="M83" s="257"/>
      <c r="N83" s="137"/>
      <c r="O83" s="257"/>
      <c r="P83" s="257" t="s">
        <v>59</v>
      </c>
      <c r="Q83" s="137" t="str">
        <f ca="1">"★"&amp;TEXT(VALUE(LEFT(小羊的家备份!DC119,2)),"?0")&amp;" ☪"&amp;TEXT(VALUE(RIGHT(小羊的家备份!DC119,3)),"?0")</f>
        <v>★ 5 ☪ 2</v>
      </c>
      <c r="R83" s="257"/>
      <c r="S83" s="257" t="s">
        <v>182</v>
      </c>
      <c r="T83" s="137" t="str">
        <f ca="1">"★"&amp;TEXT(VALUE(LEFT(小羊的家备份!DC151,2)),"?0")&amp;" ☪"&amp;TEXT(VALUE(RIGHT(小羊的家备份!DC151,3)),"?0")</f>
        <v>★ 5 ☪ 4</v>
      </c>
      <c r="U83" s="257"/>
      <c r="V83" s="257"/>
      <c r="W83" s="137"/>
      <c r="X83" s="257"/>
      <c r="Y83" s="257" t="s">
        <v>183</v>
      </c>
      <c r="Z83" s="120" t="str">
        <f ca="1">"★"&amp;TEXT(VALUE(LEFT(小羊的家备份!DC216,2)),"?0")&amp;" ☪"&amp;TEXT(VALUE(RIGHT(小羊的家备份!DC216,3)),"?0")</f>
        <v>★ 5 ☪ 3</v>
      </c>
      <c r="AA83" s="257"/>
      <c r="AB83" s="257" t="s">
        <v>182</v>
      </c>
      <c r="AC83" s="257" t="str">
        <f ca="1">"★"&amp;TEXT(VALUE(LEFT(小羊的家备份!DC249,2)),"?0")&amp;" ☪"&amp;TEXT(VALUE(RIGHT(小羊的家备份!DC249,3)),"?0")</f>
        <v>★ 4 ☪ 1</v>
      </c>
      <c r="AD83" s="171"/>
    </row>
    <row r="84" spans="1:30">
      <c r="A84" s="171"/>
      <c r="B84" s="171"/>
      <c r="C84" s="171"/>
      <c r="D84" s="171"/>
      <c r="E84" s="171"/>
      <c r="F84" s="171"/>
      <c r="G84" s="257" t="s">
        <v>182</v>
      </c>
      <c r="H84" s="137" t="str">
        <f ca="1">"★"&amp;TEXT(VALUE(LEFT(小羊的家备份!DC26,2)),"?0")&amp;" ☪"&amp;TEXT(VALUE(RIGHT(小羊的家备份!DC26,3)),"?0")</f>
        <v>★ 5 ☪ 2</v>
      </c>
      <c r="I84" s="257"/>
      <c r="J84" s="257" t="s">
        <v>188</v>
      </c>
      <c r="K84" s="137" t="str">
        <f ca="1">"★"&amp;TEXT(VALUE(LEFT(小羊的家备份!DC56,2)),"?0")&amp;" ☪"&amp;TEXT(VALUE(RIGHT(小羊的家备份!DC56,3)),"?0")</f>
        <v>★ 5 ☪ 3</v>
      </c>
      <c r="L84" s="257"/>
      <c r="M84" s="257"/>
      <c r="N84" s="137"/>
      <c r="O84" s="257"/>
      <c r="P84" s="257"/>
      <c r="Q84" s="137"/>
      <c r="R84" s="257"/>
      <c r="S84" s="257" t="s">
        <v>183</v>
      </c>
      <c r="T84" s="137" t="str">
        <f ca="1">"★"&amp;TEXT(VALUE(LEFT(小羊的家备份!DC152,2)),"?0")&amp;" ☪"&amp;TEXT(VALUE(RIGHT(小羊的家备份!DC152,3)),"?0")</f>
        <v>★ 5 ☪ 2</v>
      </c>
      <c r="U84" s="257"/>
      <c r="V84" s="257"/>
      <c r="W84" s="137"/>
      <c r="X84" s="257"/>
      <c r="Y84" s="257"/>
      <c r="Z84" s="120"/>
      <c r="AA84" s="257"/>
      <c r="AB84" s="257" t="s">
        <v>186</v>
      </c>
      <c r="AC84" s="257" t="str">
        <f ca="1">"★"&amp;TEXT(VALUE(LEFT(小羊的家备份!DC250,2)),"?0")&amp;" ☪"&amp;TEXT(VALUE(RIGHT(小羊的家备份!DC250,3)),"?0")</f>
        <v>★ 4 ☪ 2</v>
      </c>
      <c r="AD84" s="171"/>
    </row>
    <row r="85" spans="1:30">
      <c r="A85" s="171"/>
      <c r="B85" s="171"/>
      <c r="C85" s="171"/>
      <c r="D85" s="171"/>
      <c r="E85" s="171"/>
      <c r="F85" s="171"/>
      <c r="G85" s="257" t="s">
        <v>186</v>
      </c>
      <c r="H85" s="137" t="str">
        <f ca="1">"★"&amp;TEXT(VALUE(LEFT(小羊的家备份!DC27,2)),"?0")&amp;" ☪"&amp;TEXT(VALUE(RIGHT(小羊的家备份!DC27,3)),"?0")</f>
        <v>★ 5 ☪ 2</v>
      </c>
      <c r="I85" s="257"/>
      <c r="J85" s="257"/>
      <c r="K85" s="137"/>
      <c r="L85" s="257"/>
      <c r="M85" s="257"/>
      <c r="N85" s="137"/>
      <c r="O85" s="257"/>
      <c r="P85" s="257"/>
      <c r="Q85" s="137"/>
      <c r="R85" s="257"/>
      <c r="S85" s="257"/>
      <c r="T85" s="137"/>
      <c r="U85" s="257"/>
      <c r="V85" s="257"/>
      <c r="W85" s="137"/>
      <c r="X85" s="257"/>
      <c r="Y85" s="257"/>
      <c r="Z85" s="120"/>
      <c r="AA85" s="257"/>
      <c r="AB85" s="257" t="s">
        <v>189</v>
      </c>
      <c r="AC85" s="257" t="str">
        <f ca="1">"★"&amp;TEXT(VALUE(LEFT(小羊的家备份!DC251,2)),"?0")&amp;" ☪"&amp;TEXT(VALUE(RIGHT(小羊的家备份!DC251,3)),"?0")</f>
        <v>★ 4 ☪ 2</v>
      </c>
      <c r="AD85" s="171"/>
    </row>
    <row r="86" spans="1:30">
      <c r="A86" s="171"/>
      <c r="B86" s="171"/>
      <c r="C86" s="171"/>
      <c r="D86" s="171"/>
      <c r="E86" s="171"/>
      <c r="F86" s="171"/>
      <c r="G86" s="257" t="s">
        <v>59</v>
      </c>
      <c r="H86" s="137" t="str">
        <f ca="1">"★"&amp;TEXT(VALUE(LEFT(小羊的家备份!DC28,2)),"?0")&amp;" ☪"&amp;TEXT(VALUE(RIGHT(小羊的家备份!DC28,3)),"?0")</f>
        <v>★ 5 ☪ 2</v>
      </c>
      <c r="I86" s="257"/>
      <c r="J86" s="257" t="s">
        <v>33</v>
      </c>
      <c r="K86" s="137" t="str">
        <f ca="1">"★"&amp;TEXT(VALUE(LEFT(小羊的家备份!DC58,2)),"?0")&amp;" ☪"&amp;TEXT(VALUE(RIGHT(小羊的家备份!DC58,3)),"?0")</f>
        <v>★ 5 ☪ 3</v>
      </c>
      <c r="L86" s="257"/>
      <c r="M86" s="257" t="s">
        <v>33</v>
      </c>
      <c r="N86" s="137" t="str">
        <f ca="1">"★"&amp;TEXT(VALUE(LEFT(小羊的家备份!DC90,2)),"?0")&amp;" ☪"&amp;TEXT(VALUE(RIGHT(小羊的家备份!DC90,3)),"?0")</f>
        <v>★ 5 ☪ 1</v>
      </c>
      <c r="O86" s="257"/>
      <c r="P86" s="257" t="s">
        <v>190</v>
      </c>
      <c r="Q86" s="137" t="str">
        <f ca="1">"★"&amp;TEXT(VALUE(LEFT(小羊的家备份!DC122,2)),"?0")&amp;" ☪"&amp;TEXT(VALUE(RIGHT(小羊的家备份!DC122,3)),"?0")</f>
        <v>★ 5 ☪ 1</v>
      </c>
      <c r="R86" s="257"/>
      <c r="S86" s="257" t="s">
        <v>191</v>
      </c>
      <c r="T86" s="137" t="str">
        <f ca="1">"★"&amp;TEXT(VALUE(LEFT(小羊的家备份!DC154,2)),"?0")&amp;" ☪"&amp;TEXT(VALUE(RIGHT(小羊的家备份!DC154,3)),"?0")</f>
        <v>★ 5 ☪ 1</v>
      </c>
      <c r="U86" s="257"/>
      <c r="V86" s="257" t="s">
        <v>33</v>
      </c>
      <c r="W86" s="137" t="str">
        <f ca="1">"★"&amp;TEXT(VALUE(LEFT(小羊的家备份!DC186,2)),"?0")&amp;" ☪"&amp;TEXT(VALUE(RIGHT(小羊的家备份!DC186,3)),"?0")</f>
        <v>★ 5 ☪ 1</v>
      </c>
      <c r="X86" s="257"/>
      <c r="Y86" s="257" t="s">
        <v>192</v>
      </c>
      <c r="Z86" s="120" t="str">
        <f ca="1">"★"&amp;TEXT(VALUE(LEFT(小羊的家备份!DC219,2)),"?0")&amp;" ☪"&amp;TEXT(VALUE(RIGHT(小羊的家备份!DC219,3)),"?0")</f>
        <v>★ 5 ☪ 1</v>
      </c>
      <c r="AA86" s="257"/>
      <c r="AB86" s="257" t="s">
        <v>193</v>
      </c>
      <c r="AC86" s="257" t="str">
        <f ca="1">"★"&amp;TEXT(VALUE(LEFT(小羊的家备份!DC252,2)),"?0")&amp;" ☪"&amp;TEXT(VALUE(RIGHT(小羊的家备份!DC252,3)),"?0")</f>
        <v>★ 4 ☪ 6</v>
      </c>
      <c r="AD86" s="171"/>
    </row>
    <row r="87" spans="1:30">
      <c r="A87" s="171"/>
      <c r="B87" s="171"/>
      <c r="C87" s="171"/>
      <c r="D87" s="171"/>
      <c r="E87" s="171"/>
      <c r="F87" s="171"/>
      <c r="G87" s="257" t="s">
        <v>183</v>
      </c>
      <c r="H87" s="137" t="str">
        <f ca="1">"★"&amp;TEXT(VALUE(LEFT(小羊的家备份!DC29,2)),"?0")&amp;" ☪"&amp;TEXT(VALUE(RIGHT(小羊的家备份!DC29,3)),"?0")</f>
        <v>★ 5 ☪ 2</v>
      </c>
      <c r="I87" s="257"/>
      <c r="J87" s="257" t="s">
        <v>194</v>
      </c>
      <c r="K87" s="137" t="str">
        <f ca="1">"★"&amp;TEXT(VALUE(LEFT(小羊的家备份!DC59,2)),"?0")&amp;" ☪"&amp;TEXT(VALUE(RIGHT(小羊的家备份!DC59,3)),"?0")</f>
        <v>★ 5 ☪ 1</v>
      </c>
      <c r="L87" s="257"/>
      <c r="M87" s="257" t="s">
        <v>195</v>
      </c>
      <c r="N87" s="137" t="str">
        <f ca="1">"★"&amp;TEXT(VALUE(LEFT(小羊的家备份!DC91,2)),"?0")&amp;" ☪"&amp;TEXT(VALUE(RIGHT(小羊的家备份!DC91,3)),"?0")</f>
        <v>★ 5 ☪ 1</v>
      </c>
      <c r="O87" s="257"/>
      <c r="P87" s="257" t="s">
        <v>196</v>
      </c>
      <c r="Q87" s="137" t="str">
        <f ca="1">"★"&amp;TEXT(VALUE(LEFT(小羊的家备份!DC123,2)),"?0")&amp;" ☪"&amp;TEXT(VALUE(RIGHT(小羊的家备份!DC123,3)),"?0")</f>
        <v>★ 5 ☪ 1</v>
      </c>
      <c r="R87" s="257"/>
      <c r="S87" s="257" t="s">
        <v>197</v>
      </c>
      <c r="T87" s="137" t="str">
        <f ca="1">"★"&amp;TEXT(VALUE(LEFT(小羊的家备份!DC155,2)),"?0")&amp;" ☪"&amp;TEXT(VALUE(RIGHT(小羊的家备份!DC155,3)),"?0")</f>
        <v>★ 5 ☪ 1</v>
      </c>
      <c r="U87" s="257"/>
      <c r="V87" s="257" t="s">
        <v>198</v>
      </c>
      <c r="W87" s="137" t="str">
        <f ca="1">"★"&amp;TEXT(VALUE(LEFT(小羊的家备份!DC187,2)),"?0")&amp;" ☪"&amp;TEXT(VALUE(RIGHT(小羊的家备份!DC187,3)),"?0")</f>
        <v>★ 5 ☪ 1</v>
      </c>
      <c r="X87" s="257"/>
      <c r="Y87" s="257"/>
      <c r="Z87" s="120"/>
      <c r="AA87" s="257"/>
      <c r="AB87" s="120"/>
      <c r="AC87" s="257"/>
      <c r="AD87" s="171"/>
    </row>
    <row r="88" spans="1:30">
      <c r="A88" s="171"/>
      <c r="B88" s="171"/>
      <c r="C88" s="171"/>
      <c r="D88" s="171"/>
      <c r="E88" s="171"/>
      <c r="F88" s="171"/>
      <c r="G88" s="257" t="s">
        <v>188</v>
      </c>
      <c r="H88" s="137" t="str">
        <f ca="1">"★"&amp;TEXT(VALUE(LEFT(小羊的家备份!DC30,2)),"?0")&amp;" ☪"&amp;TEXT(VALUE(RIGHT(小羊的家备份!DC30,3)),"?0")</f>
        <v>★ 5 ☪ 1</v>
      </c>
      <c r="I88" s="257"/>
      <c r="J88" s="257" t="s">
        <v>199</v>
      </c>
      <c r="K88" s="137" t="str">
        <f ca="1">"★"&amp;TEXT(VALUE(LEFT(小羊的家备份!DC60,2)),"?0")&amp;" ☪"&amp;TEXT(VALUE(RIGHT(小羊的家备份!DC60,3)),"?0")</f>
        <v>★ 5 ☪ 1</v>
      </c>
      <c r="L88" s="257"/>
      <c r="M88" s="257" t="s">
        <v>200</v>
      </c>
      <c r="N88" s="137" t="str">
        <f ca="1">"★"&amp;TEXT(VALUE(LEFT(小羊的家备份!DC92,2)),"?0")&amp;" ☪"&amp;TEXT(VALUE(RIGHT(小羊的家备份!DC92,3)),"?0")</f>
        <v>★ 5 ☪ 1</v>
      </c>
      <c r="O88" s="257"/>
      <c r="P88" s="257" t="s">
        <v>201</v>
      </c>
      <c r="Q88" s="137" t="str">
        <f ca="1">"★"&amp;TEXT(VALUE(LEFT(小羊的家备份!DC124,2)),"?0")&amp;" ☪"&amp;TEXT(VALUE(RIGHT(小羊的家备份!DC124,3)),"?0")</f>
        <v>★ 5 ☪ 1</v>
      </c>
      <c r="R88" s="257"/>
      <c r="S88" s="257" t="s">
        <v>202</v>
      </c>
      <c r="T88" s="137" t="str">
        <f ca="1">"★"&amp;TEXT(VALUE(LEFT(小羊的家备份!DC156,2)),"?0")&amp;" ☪"&amp;TEXT(VALUE(RIGHT(小羊的家备份!DC156,3)),"?0")</f>
        <v>★ 5 ☪ 1</v>
      </c>
      <c r="U88" s="257"/>
      <c r="V88" s="257" t="s">
        <v>203</v>
      </c>
      <c r="W88" s="137" t="str">
        <f ca="1">"★"&amp;TEXT(VALUE(LEFT(小羊的家备份!DC188,2)),"?0")&amp;" ☪"&amp;TEXT(VALUE(RIGHT(小羊的家备份!DC188,3)),"?0")</f>
        <v>★ 5 ☪ 1</v>
      </c>
      <c r="X88" s="257"/>
      <c r="Y88" s="257"/>
      <c r="Z88" s="120"/>
      <c r="AA88" s="257"/>
      <c r="AB88" s="257" t="s">
        <v>204</v>
      </c>
      <c r="AC88" s="257" t="str">
        <f ca="1">"★"&amp;TEXT(VALUE(LEFT(小羊的家备份!DC254,2)),"?0")&amp;" ☪"&amp;TEXT(VALUE(RIGHT(小羊的家备份!DC254,3)),"?0")</f>
        <v>★ 4 ☪ 1</v>
      </c>
      <c r="AD88" s="171"/>
    </row>
    <row r="89" spans="1:30">
      <c r="A89" s="171"/>
      <c r="B89" s="171"/>
      <c r="C89" s="171"/>
      <c r="D89" s="171"/>
      <c r="E89" s="171"/>
      <c r="F89" s="171"/>
      <c r="G89" s="257" t="s">
        <v>185</v>
      </c>
      <c r="H89" s="137" t="str">
        <f ca="1">"★"&amp;TEXT(VALUE(LEFT(小羊的家备份!DC31,2)),"?0")&amp;" ☪"&amp;TEXT(VALUE(RIGHT(小羊的家备份!DC31,3)),"?0")</f>
        <v>★ 5 ☪ 1</v>
      </c>
      <c r="I89" s="257"/>
      <c r="J89" s="257" t="s">
        <v>205</v>
      </c>
      <c r="K89" s="137" t="str">
        <f ca="1">"★"&amp;TEXT(VALUE(LEFT(小羊的家备份!DC61,2)),"?0")&amp;" ☪"&amp;TEXT(VALUE(RIGHT(小羊的家备份!DC61,3)),"?0")</f>
        <v>★ 5 ☪ 1</v>
      </c>
      <c r="L89" s="257"/>
      <c r="M89" s="257" t="s">
        <v>206</v>
      </c>
      <c r="N89" s="137" t="str">
        <f ca="1">"★"&amp;TEXT(VALUE(LEFT(小羊的家备份!DC93,2)),"?0")&amp;" ☪"&amp;TEXT(VALUE(RIGHT(小羊的家备份!DC93,3)),"?0")</f>
        <v>★ 5 ☪ 1</v>
      </c>
      <c r="O89" s="257"/>
      <c r="P89" s="257" t="s">
        <v>207</v>
      </c>
      <c r="Q89" s="137" t="str">
        <f ca="1">"★"&amp;TEXT(VALUE(LEFT(小羊的家备份!DC125,2)),"?0")&amp;" ☪"&amp;TEXT(VALUE(RIGHT(小羊的家备份!DC125,3)),"?0")</f>
        <v>★ 5 ☪ 1</v>
      </c>
      <c r="R89" s="257"/>
      <c r="S89" s="257"/>
      <c r="T89" s="137"/>
      <c r="U89" s="257"/>
      <c r="V89" s="257" t="s">
        <v>208</v>
      </c>
      <c r="W89" s="137" t="str">
        <f ca="1">"★"&amp;TEXT(VALUE(LEFT(小羊的家备份!DC189,2)),"?0")&amp;" ☪"&amp;TEXT(VALUE(RIGHT(小羊的家备份!DC189,3)),"?0")</f>
        <v>★ 5 ☪ 1</v>
      </c>
      <c r="X89" s="257"/>
      <c r="Y89" s="257"/>
      <c r="Z89" s="120"/>
      <c r="AA89" s="257"/>
      <c r="AB89" s="257" t="s">
        <v>209</v>
      </c>
      <c r="AC89" s="257" t="str">
        <f ca="1">"★"&amp;TEXT(VALUE(LEFT(小羊的家备份!DC255,2)),"?0")&amp;" ☪"&amp;TEXT(VALUE(RIGHT(小羊的家备份!DC255,3)),"?0")</f>
        <v>★ 4 ☪ 1</v>
      </c>
      <c r="AD89" s="171"/>
    </row>
    <row r="90" spans="1:30">
      <c r="A90" s="171"/>
      <c r="B90" s="171"/>
      <c r="C90" s="171"/>
      <c r="D90" s="171"/>
      <c r="E90" s="171"/>
      <c r="F90" s="171"/>
      <c r="G90" s="257" t="s">
        <v>184</v>
      </c>
      <c r="H90" s="137" t="str">
        <f ca="1">"★"&amp;TEXT(VALUE(LEFT(小羊的家备份!DC32,2)),"?0")&amp;" ☪"&amp;TEXT(VALUE(RIGHT(小羊的家备份!DC32,3)),"?0")</f>
        <v>★ 5 ☪ 1</v>
      </c>
      <c r="I90" s="257"/>
      <c r="J90" s="257" t="s">
        <v>210</v>
      </c>
      <c r="K90" s="137" t="str">
        <f ca="1">"★"&amp;TEXT(VALUE(LEFT(小羊的家备份!DC62,2)),"?0")&amp;" ☪"&amp;TEXT(VALUE(RIGHT(小羊的家备份!DC62,3)),"?0")</f>
        <v>★ 5 ☪ 1</v>
      </c>
      <c r="L90" s="257"/>
      <c r="M90" s="257" t="s">
        <v>211</v>
      </c>
      <c r="N90" s="137" t="str">
        <f ca="1">"★"&amp;TEXT(VALUE(LEFT(小羊的家备份!DC94,2)),"?0")&amp;" ☪"&amp;TEXT(VALUE(RIGHT(小羊的家备份!DC94,3)),"?0")</f>
        <v>★ 5 ☪ 1</v>
      </c>
      <c r="O90" s="257"/>
      <c r="P90" s="257"/>
      <c r="Q90" s="137"/>
      <c r="R90" s="257"/>
      <c r="S90" s="257"/>
      <c r="T90" s="137"/>
      <c r="U90" s="257"/>
      <c r="V90" s="257"/>
      <c r="W90" s="137"/>
      <c r="X90" s="257"/>
      <c r="Y90" s="257"/>
      <c r="Z90" s="120"/>
      <c r="AA90" s="257"/>
      <c r="AB90" s="257"/>
      <c r="AC90" s="257"/>
      <c r="AD90" s="171"/>
    </row>
    <row r="91" spans="1:30">
      <c r="A91" s="171"/>
      <c r="B91" s="171"/>
      <c r="C91" s="171"/>
      <c r="D91" s="171"/>
      <c r="E91" s="171"/>
      <c r="F91" s="171"/>
      <c r="G91" s="257"/>
      <c r="H91" s="137"/>
      <c r="I91" s="257"/>
      <c r="J91" s="257" t="s">
        <v>212</v>
      </c>
      <c r="K91" s="137" t="str">
        <f ca="1">"★"&amp;TEXT(VALUE(LEFT(小羊的家备份!DC63,2)),"?0")&amp;" ☪"&amp;TEXT(VALUE(RIGHT(小羊的家备份!DC63,3)),"?0")</f>
        <v>★ 5 ☪ 1</v>
      </c>
      <c r="L91" s="257"/>
      <c r="M91" s="257"/>
      <c r="N91" s="137"/>
      <c r="O91" s="257"/>
      <c r="P91" s="257"/>
      <c r="Q91" s="137"/>
      <c r="R91" s="257"/>
      <c r="S91" s="257"/>
      <c r="T91" s="137"/>
      <c r="U91" s="257"/>
      <c r="V91" s="257"/>
      <c r="W91" s="137"/>
      <c r="X91" s="257"/>
      <c r="Y91" s="257"/>
      <c r="Z91" s="120"/>
      <c r="AA91" s="257"/>
      <c r="AB91" s="257" t="s">
        <v>213</v>
      </c>
      <c r="AC91" s="257" t="str">
        <f ca="1">"★"&amp;TEXT(VALUE(LEFT(小羊的家备份!DC257,2)),"?0")&amp;" ☪"&amp;TEXT(VALUE(RIGHT(小羊的家备份!DC257,3)),"?0")</f>
        <v>★ 4 ☪ 5</v>
      </c>
      <c r="AD91" s="171"/>
    </row>
    <row r="92" spans="1:30">
      <c r="A92" s="171"/>
      <c r="B92" s="171"/>
      <c r="C92" s="171"/>
      <c r="D92" s="171"/>
      <c r="E92" s="171"/>
      <c r="F92" s="171"/>
      <c r="G92" s="257"/>
      <c r="H92" s="137"/>
      <c r="I92" s="257"/>
      <c r="J92" s="257"/>
      <c r="K92" s="137"/>
      <c r="L92" s="257"/>
      <c r="M92" s="257"/>
      <c r="N92" s="137"/>
      <c r="O92" s="257"/>
      <c r="P92" s="257"/>
      <c r="Q92" s="137"/>
      <c r="R92" s="257"/>
      <c r="S92" s="257"/>
      <c r="T92" s="137"/>
      <c r="U92" s="257"/>
      <c r="V92" s="257"/>
      <c r="W92" s="137"/>
      <c r="X92" s="257"/>
      <c r="Y92" s="257"/>
      <c r="Z92" s="120"/>
      <c r="AA92" s="257"/>
      <c r="AB92" s="257" t="s">
        <v>214</v>
      </c>
      <c r="AC92" s="257" t="str">
        <f ca="1">"★"&amp;TEXT(VALUE(LEFT(小羊的家备份!DC258,2)),"?0")&amp;" ☪"&amp;TEXT(VALUE(RIGHT(小羊的家备份!DC258,3)),"?0")</f>
        <v>★ 4 ☪ 2</v>
      </c>
      <c r="AD92" s="171"/>
    </row>
    <row r="93" spans="1:30">
      <c r="A93" s="171"/>
      <c r="B93" s="171"/>
      <c r="C93" s="171"/>
      <c r="D93" s="171"/>
      <c r="E93" s="171"/>
      <c r="F93" s="171"/>
      <c r="G93" s="257" t="s">
        <v>213</v>
      </c>
      <c r="H93" s="137" t="str">
        <f ca="1">"★"&amp;TEXT(VALUE(LEFT(小羊的家备份!DC35,2)),"?0")&amp;" ☪"&amp;TEXT(VALUE(RIGHT(小羊的家备份!DC35,3)),"?0")</f>
        <v>★ 5 ☪ 8</v>
      </c>
      <c r="I93" s="257"/>
      <c r="J93" s="257" t="s">
        <v>213</v>
      </c>
      <c r="K93" s="137" t="str">
        <f ca="1">"★"&amp;TEXT(VALUE(LEFT(小羊的家备份!DC65,2)),"?0")&amp;" ☪"&amp;TEXT(VALUE(RIGHT(小羊的家备份!DC65,3)),"?0")</f>
        <v>★ 5 ☪ 8</v>
      </c>
      <c r="L93" s="257"/>
      <c r="M93" s="257" t="s">
        <v>213</v>
      </c>
      <c r="N93" s="137" t="str">
        <f ca="1">"★"&amp;TEXT(VALUE(LEFT(小羊的家备份!DC97,2)),"?0")&amp;" ☪"&amp;TEXT(VALUE(RIGHT(小羊的家备份!DC97,3)),"?0")</f>
        <v>★ 5 ☪ 6</v>
      </c>
      <c r="O93" s="257"/>
      <c r="P93" s="257" t="s">
        <v>213</v>
      </c>
      <c r="Q93" s="137" t="str">
        <f ca="1">"★"&amp;TEXT(VALUE(LEFT(小羊的家备份!DC129,2)),"?0")&amp;" ☪"&amp;TEXT(VALUE(RIGHT(小羊的家备份!DC129,3)),"?0")</f>
        <v>★ 5 ☪10</v>
      </c>
      <c r="R93" s="257"/>
      <c r="S93" s="257" t="s">
        <v>213</v>
      </c>
      <c r="T93" s="137" t="str">
        <f ca="1">"★"&amp;TEXT(VALUE(LEFT(小羊的家备份!DC161,2)),"?0")&amp;" ☪"&amp;TEXT(VALUE(RIGHT(小羊的家备份!DC161,3)),"?0")</f>
        <v>★ 5 ☪ 7</v>
      </c>
      <c r="U93" s="257"/>
      <c r="V93" s="257" t="s">
        <v>213</v>
      </c>
      <c r="W93" s="137" t="str">
        <f ca="1">"★"&amp;TEXT(VALUE(LEFT(小羊的家备份!DC193,2)),"?0")&amp;" ☪"&amp;TEXT(VALUE(RIGHT(小羊的家备份!DC193,3)),"?0")</f>
        <v>★ 5 ☪ 7</v>
      </c>
      <c r="X93" s="257"/>
      <c r="Y93" s="257" t="s">
        <v>213</v>
      </c>
      <c r="Z93" s="120" t="str">
        <f ca="1">"★"&amp;TEXT(VALUE(LEFT(小羊的家备份!DC226,2)),"?0")&amp;" ☪"&amp;TEXT(VALUE(RIGHT(小羊的家备份!DC226,3)),"?0")</f>
        <v>★ 5 ☪ 5</v>
      </c>
      <c r="AA93" s="257"/>
      <c r="AB93" s="257" t="s">
        <v>215</v>
      </c>
      <c r="AC93" s="257" t="str">
        <f ca="1">"★"&amp;TEXT(VALUE(LEFT(小羊的家备份!DC259,2)),"?0")&amp;" ☪"&amp;TEXT(VALUE(RIGHT(小羊的家备份!DC259,3)),"?0")</f>
        <v>★ 4 ☪ 5</v>
      </c>
      <c r="AD93" s="171"/>
    </row>
    <row r="94" spans="1:30">
      <c r="A94" s="171"/>
      <c r="B94" s="171"/>
      <c r="C94" s="171"/>
      <c r="D94" s="171"/>
      <c r="E94" s="171"/>
      <c r="F94" s="171"/>
      <c r="G94" s="257" t="s">
        <v>214</v>
      </c>
      <c r="H94" s="137" t="str">
        <f ca="1">"★"&amp;TEXT(VALUE(LEFT(小羊的家备份!DC36,2)),"?0")&amp;" ☪"&amp;TEXT(VALUE(RIGHT(小羊的家备份!DC36,3)),"?0")</f>
        <v>★ 5 ☪12</v>
      </c>
      <c r="I94" s="257"/>
      <c r="J94" s="257" t="s">
        <v>214</v>
      </c>
      <c r="K94" s="137" t="str">
        <f ca="1">"★"&amp;TEXT(VALUE(LEFT(小羊的家备份!DC66,2)),"?0")&amp;" ☪"&amp;TEXT(VALUE(RIGHT(小羊的家备份!DC66,3)),"?0")</f>
        <v>★ 5 ☪ 4</v>
      </c>
      <c r="L94" s="257"/>
      <c r="M94" s="257" t="s">
        <v>214</v>
      </c>
      <c r="N94" s="137" t="str">
        <f ca="1">"★"&amp;TEXT(VALUE(LEFT(小羊的家备份!DC98,2)),"?0")&amp;" ☪"&amp;TEXT(VALUE(RIGHT(小羊的家备份!DC98,3)),"?0")</f>
        <v>★ 5 ☪ 6</v>
      </c>
      <c r="O94" s="257"/>
      <c r="P94" s="257" t="s">
        <v>214</v>
      </c>
      <c r="Q94" s="137" t="str">
        <f ca="1">"★"&amp;TEXT(VALUE(LEFT(小羊的家备份!DC130,2)),"?0")&amp;" ☪"&amp;TEXT(VALUE(RIGHT(小羊的家备份!DC130,3)),"?0")</f>
        <v>★ 5 ☪ 3</v>
      </c>
      <c r="R94" s="257"/>
      <c r="S94" s="257" t="s">
        <v>214</v>
      </c>
      <c r="T94" s="137" t="str">
        <f ca="1">"★"&amp;TEXT(VALUE(LEFT(小羊的家备份!DC162,2)),"?0")&amp;" ☪"&amp;TEXT(VALUE(RIGHT(小羊的家备份!DC162,3)),"?0")</f>
        <v>★ 5 ☪ 3</v>
      </c>
      <c r="U94" s="257"/>
      <c r="V94" s="257" t="s">
        <v>215</v>
      </c>
      <c r="W94" s="137" t="str">
        <f ca="1">"★"&amp;TEXT(VALUE(LEFT(小羊的家备份!DC194,2)),"?0")&amp;" ☪"&amp;TEXT(VALUE(RIGHT(小羊的家备份!DC194,3)),"?0")</f>
        <v>★ 5 ☪ 2</v>
      </c>
      <c r="X94" s="257"/>
      <c r="Y94" s="257" t="s">
        <v>215</v>
      </c>
      <c r="Z94" s="120" t="str">
        <f ca="1">"★"&amp;TEXT(VALUE(LEFT(小羊的家备份!DC227,2)),"?0")&amp;" ☪"&amp;TEXT(VALUE(RIGHT(小羊的家备份!DC227,3)),"?0")</f>
        <v>★ 5 ☪ 6</v>
      </c>
      <c r="AA94" s="257"/>
      <c r="AB94" s="257" t="s">
        <v>216</v>
      </c>
      <c r="AC94" s="257" t="str">
        <f ca="1">"★"&amp;TEXT(VALUE(LEFT(小羊的家备份!DC260,2)),"?0")&amp;" ☪"&amp;TEXT(VALUE(RIGHT(小羊的家备份!DC260,3)),"?0")</f>
        <v>★ 4 ☪ 3</v>
      </c>
      <c r="AD94" s="171"/>
    </row>
    <row r="95" spans="1:30">
      <c r="A95" s="171"/>
      <c r="B95" s="171"/>
      <c r="C95" s="171"/>
      <c r="D95" s="171"/>
      <c r="E95" s="171"/>
      <c r="F95" s="171"/>
      <c r="G95" s="257" t="s">
        <v>215</v>
      </c>
      <c r="H95" s="137" t="str">
        <f ca="1">"★"&amp;TEXT(VALUE(LEFT(小羊的家备份!DC37,2)),"?0")&amp;" ☪"&amp;TEXT(VALUE(RIGHT(小羊的家备份!DC37,3)),"?0")</f>
        <v>★ 5 ☪ 4</v>
      </c>
      <c r="I95" s="257"/>
      <c r="J95" s="257"/>
      <c r="K95" s="137"/>
      <c r="L95" s="257"/>
      <c r="M95" s="257" t="s">
        <v>215</v>
      </c>
      <c r="N95" s="137" t="str">
        <f ca="1">"★"&amp;TEXT(VALUE(LEFT(小羊的家备份!DC99,2)),"?0")&amp;" ☪"&amp;TEXT(VALUE(RIGHT(小羊的家备份!DC99,3)),"?0")</f>
        <v>★ 5 ☪ 1</v>
      </c>
      <c r="O95" s="257"/>
      <c r="P95" s="257" t="s">
        <v>215</v>
      </c>
      <c r="Q95" s="137" t="str">
        <f ca="1">"★"&amp;TEXT(VALUE(LEFT(小羊的家备份!DC131,2)),"?0")&amp;" ☪"&amp;TEXT(VALUE(RIGHT(小羊的家备份!DC131,3)),"?0")</f>
        <v>★ 5 ☪ 4</v>
      </c>
      <c r="R95" s="257"/>
      <c r="S95" s="257" t="s">
        <v>215</v>
      </c>
      <c r="T95" s="137" t="str">
        <f ca="1">"★"&amp;TEXT(VALUE(LEFT(小羊的家备份!DC163,2)),"?0")&amp;" ☪"&amp;TEXT(VALUE(RIGHT(小羊的家备份!DC163,3)),"?0")</f>
        <v>★ 5 ☪ 8</v>
      </c>
      <c r="U95" s="257"/>
      <c r="V95" s="257" t="s">
        <v>216</v>
      </c>
      <c r="W95" s="137" t="str">
        <f ca="1">"★"&amp;TEXT(VALUE(LEFT(小羊的家备份!DC195,2)),"?0")&amp;" ☪"&amp;TEXT(VALUE(RIGHT(小羊的家备份!DC195,3)),"?0")</f>
        <v>★ 5 ☪ 5</v>
      </c>
      <c r="X95" s="257"/>
      <c r="Y95" s="257" t="s">
        <v>216</v>
      </c>
      <c r="Z95" s="120" t="str">
        <f ca="1">"★"&amp;TEXT(VALUE(LEFT(小羊的家备份!DC228,2)),"?0")&amp;" ☪"&amp;TEXT(VALUE(RIGHT(小羊的家备份!DC228,3)),"?0")</f>
        <v>★ 5 ☪ 6</v>
      </c>
      <c r="AA95" s="257"/>
      <c r="AB95" s="257"/>
      <c r="AC95" s="257"/>
      <c r="AD95" s="171"/>
    </row>
    <row r="96" spans="1:30">
      <c r="A96" s="171"/>
      <c r="B96" s="171"/>
      <c r="C96" s="171"/>
      <c r="D96" s="171"/>
      <c r="E96" s="171"/>
      <c r="F96" s="171"/>
      <c r="G96" s="257" t="s">
        <v>216</v>
      </c>
      <c r="H96" s="137" t="str">
        <f ca="1">"★"&amp;TEXT(VALUE(LEFT(小羊的家备份!DC38,2)),"?0")&amp;" ☪"&amp;TEXT(VALUE(RIGHT(小羊的家备份!DC38,3)),"?0")</f>
        <v>★ 5 ☪ 5</v>
      </c>
      <c r="I96" s="257"/>
      <c r="J96" s="257"/>
      <c r="K96" s="137"/>
      <c r="L96" s="257"/>
      <c r="M96" s="257"/>
      <c r="N96" s="137"/>
      <c r="O96" s="257"/>
      <c r="P96" s="257"/>
      <c r="Q96" s="137"/>
      <c r="R96" s="257"/>
      <c r="S96" s="257" t="s">
        <v>216</v>
      </c>
      <c r="T96" s="137" t="str">
        <f ca="1">"★"&amp;TEXT(VALUE(LEFT(小羊的家备份!DC164,2)),"?0")&amp;" ☪"&amp;TEXT(VALUE(RIGHT(小羊的家备份!DC164,3)),"?0")</f>
        <v>★ 5 ☪ 6</v>
      </c>
      <c r="U96" s="257"/>
      <c r="V96" s="257"/>
      <c r="W96" s="137"/>
      <c r="X96" s="257"/>
      <c r="Y96" s="257"/>
      <c r="Z96" s="120"/>
      <c r="AA96" s="257"/>
      <c r="AB96" s="257"/>
      <c r="AC96" s="257"/>
      <c r="AD96" s="171"/>
    </row>
    <row r="97" spans="1:30">
      <c r="A97" s="171"/>
      <c r="B97" s="171"/>
      <c r="C97" s="171"/>
      <c r="D97" s="171"/>
      <c r="E97" s="171"/>
      <c r="F97" s="171"/>
      <c r="G97" s="257"/>
      <c r="H97" s="137"/>
      <c r="I97" s="257"/>
      <c r="J97" s="257"/>
      <c r="K97" s="137"/>
      <c r="L97" s="257"/>
      <c r="M97" s="257"/>
      <c r="N97" s="137"/>
      <c r="O97" s="257"/>
      <c r="P97" s="257"/>
      <c r="Q97" s="137"/>
      <c r="R97" s="257"/>
      <c r="S97" s="257"/>
      <c r="T97" s="137"/>
      <c r="U97" s="257"/>
      <c r="V97" s="257"/>
      <c r="W97" s="137"/>
      <c r="X97" s="257"/>
      <c r="Y97" s="257"/>
      <c r="Z97" s="120"/>
      <c r="AA97" s="257"/>
      <c r="AB97" s="257" t="s">
        <v>217</v>
      </c>
      <c r="AC97" s="250" t="str">
        <f ca="1">" ☪"&amp;小羊的家备份!DC262</f>
        <v xml:space="preserve"> ☪4</v>
      </c>
      <c r="AD97" s="171"/>
    </row>
    <row r="98" spans="1:30">
      <c r="A98" s="171"/>
      <c r="B98" s="171"/>
      <c r="C98" s="171"/>
      <c r="D98" s="171"/>
      <c r="E98" s="171"/>
      <c r="F98" s="171"/>
      <c r="G98" s="257" t="s">
        <v>218</v>
      </c>
      <c r="H98" s="120" t="str">
        <f ca="1">"☪"&amp;小羊的家备份!DC40</f>
        <v>☪50</v>
      </c>
      <c r="I98" s="257"/>
      <c r="J98" s="257" t="s">
        <v>217</v>
      </c>
      <c r="K98" s="120" t="str">
        <f ca="1">" ☪"&amp;小羊的家备份!DC70</f>
        <v xml:space="preserve"> ☪5</v>
      </c>
      <c r="L98" s="257"/>
      <c r="M98" s="257" t="s">
        <v>219</v>
      </c>
      <c r="N98" s="120" t="str">
        <f ca="1">" ☪"&amp;小羊的家备份!DC102</f>
        <v xml:space="preserve"> ☪10</v>
      </c>
      <c r="O98" s="257"/>
      <c r="P98" s="257" t="s">
        <v>217</v>
      </c>
      <c r="Q98" s="120" t="str">
        <f ca="1">" ☪"&amp;小羊的家备份!DC134</f>
        <v xml:space="preserve"> ☪10</v>
      </c>
      <c r="R98" s="257"/>
      <c r="S98" s="257" t="s">
        <v>219</v>
      </c>
      <c r="T98" s="120" t="str">
        <f ca="1">" ☪"&amp;小羊的家备份!DC166</f>
        <v xml:space="preserve"> ☪8</v>
      </c>
      <c r="U98" s="257"/>
      <c r="V98" s="257" t="s">
        <v>217</v>
      </c>
      <c r="W98" s="120" t="str">
        <f ca="1">" ☪"&amp;小羊的家备份!DC198</f>
        <v xml:space="preserve"> ☪4</v>
      </c>
      <c r="X98" s="257"/>
      <c r="Y98" s="257" t="s">
        <v>219</v>
      </c>
      <c r="Z98" s="120" t="str">
        <f ca="1">" ☪"&amp;小羊的家备份!DC231</f>
        <v xml:space="preserve"> ☪4</v>
      </c>
      <c r="AA98" s="257"/>
      <c r="AB98" s="257" t="s">
        <v>219</v>
      </c>
      <c r="AC98" s="250" t="str">
        <f ca="1">" ☪"&amp;小羊的家备份!DC263</f>
        <v xml:space="preserve"> ☪2</v>
      </c>
      <c r="AD98" s="171"/>
    </row>
    <row r="99" spans="1:30">
      <c r="A99" s="171"/>
      <c r="B99" s="171"/>
      <c r="C99" s="171"/>
      <c r="D99" s="171"/>
      <c r="E99" s="171"/>
      <c r="F99" s="171"/>
      <c r="G99" s="257"/>
      <c r="H99" s="257"/>
      <c r="I99" s="257"/>
      <c r="J99" s="257" t="s">
        <v>220</v>
      </c>
      <c r="K99" s="120" t="str">
        <f ca="1">" ☪"&amp;小羊的家备份!DC71</f>
        <v xml:space="preserve"> ☪9</v>
      </c>
      <c r="L99" s="257"/>
      <c r="M99" s="257" t="s">
        <v>221</v>
      </c>
      <c r="N99" s="120" t="str">
        <f ca="1">" ☪"&amp;小羊的家备份!DC103</f>
        <v xml:space="preserve"> ☪8</v>
      </c>
      <c r="O99" s="257"/>
      <c r="P99" s="257" t="s">
        <v>222</v>
      </c>
      <c r="Q99" s="120" t="str">
        <f ca="1">" ☪"&amp;小羊的家备份!DC135</f>
        <v xml:space="preserve"> ☪5</v>
      </c>
      <c r="R99" s="257"/>
      <c r="S99" s="257" t="s">
        <v>223</v>
      </c>
      <c r="T99" s="120" t="str">
        <f ca="1">" ☪"&amp;小羊的家备份!DC167</f>
        <v xml:space="preserve"> ☪8</v>
      </c>
      <c r="U99" s="257"/>
      <c r="V99" s="257" t="s">
        <v>220</v>
      </c>
      <c r="W99" s="120" t="str">
        <f ca="1">" ☪"&amp;小羊的家备份!DC199</f>
        <v xml:space="preserve"> ☪8</v>
      </c>
      <c r="X99" s="257"/>
      <c r="Y99" s="257" t="s">
        <v>221</v>
      </c>
      <c r="Z99" s="120" t="str">
        <f ca="1">" ☪"&amp;小羊的家备份!DC232</f>
        <v xml:space="preserve"> ☪8</v>
      </c>
      <c r="AA99" s="257"/>
      <c r="AB99" s="257" t="s">
        <v>221</v>
      </c>
      <c r="AC99" s="250" t="str">
        <f ca="1">" ☪"&amp;小羊的家备份!DC264</f>
        <v xml:space="preserve"> ☪6</v>
      </c>
      <c r="AD99" s="171"/>
    </row>
    <row r="100" spans="1:30">
      <c r="A100" s="171"/>
      <c r="B100" s="171"/>
      <c r="C100" s="171"/>
      <c r="D100" s="171"/>
      <c r="E100" s="171"/>
      <c r="F100" s="171"/>
      <c r="G100" s="257"/>
      <c r="H100" s="257"/>
      <c r="I100" s="257"/>
      <c r="J100" s="257"/>
      <c r="K100" s="257"/>
      <c r="L100" s="257"/>
      <c r="M100" s="257"/>
      <c r="N100" s="257"/>
      <c r="O100" s="257"/>
      <c r="P100" s="257"/>
      <c r="Q100" s="257"/>
      <c r="R100" s="257"/>
      <c r="S100" s="257"/>
      <c r="T100" s="257"/>
      <c r="U100" s="257"/>
      <c r="V100" s="257" t="s">
        <v>219</v>
      </c>
      <c r="W100" s="120" t="str">
        <f ca="1">" ☪"&amp;小羊的家备份!DC200</f>
        <v xml:space="preserve"> ☪8</v>
      </c>
      <c r="X100" s="257"/>
      <c r="Y100" s="257" t="s">
        <v>223</v>
      </c>
      <c r="Z100" s="120" t="str">
        <f ca="1">" ☪"&amp;小羊的家备份!DC233</f>
        <v xml:space="preserve"> ☪4</v>
      </c>
      <c r="AA100" s="257"/>
      <c r="AB100" s="257" t="s">
        <v>222</v>
      </c>
      <c r="AC100" s="250" t="str">
        <f ca="1">" ☪"&amp;小羊的家备份!DC265</f>
        <v xml:space="preserve"> ☪2</v>
      </c>
      <c r="AD100" s="171"/>
    </row>
    <row r="101" spans="1:30">
      <c r="A101" s="171"/>
      <c r="B101" s="171"/>
      <c r="C101" s="171"/>
      <c r="D101" s="171"/>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c r="AA101" s="171"/>
      <c r="AB101" s="171"/>
      <c r="AC101" s="171"/>
      <c r="AD101" s="171"/>
    </row>
    <row r="102" spans="1:30">
      <c r="A102" s="171"/>
      <c r="B102" s="171"/>
      <c r="C102" s="171"/>
      <c r="D102" s="171"/>
      <c r="E102" s="171"/>
      <c r="F102" s="171"/>
      <c r="G102" s="171"/>
      <c r="H102" s="171"/>
      <c r="I102" s="171"/>
      <c r="J102" s="171"/>
      <c r="K102" s="171"/>
      <c r="L102" s="171"/>
      <c r="M102" s="171"/>
      <c r="N102" s="171"/>
      <c r="O102" s="171"/>
      <c r="P102" s="171"/>
      <c r="Q102" s="171"/>
      <c r="R102" s="171"/>
      <c r="S102" s="171"/>
      <c r="T102" s="171"/>
      <c r="U102" s="171"/>
      <c r="V102" s="171"/>
      <c r="W102" s="171"/>
      <c r="X102" s="171"/>
      <c r="Y102" s="171"/>
      <c r="Z102" s="171"/>
      <c r="AA102" s="171"/>
      <c r="AB102" s="171"/>
      <c r="AC102" s="171"/>
      <c r="AD102" s="171"/>
    </row>
    <row r="103" spans="1:30">
      <c r="A103" s="137" t="s">
        <v>6291</v>
      </c>
      <c r="B103" s="137"/>
      <c r="C103" s="137"/>
      <c r="D103" s="137"/>
      <c r="E103" s="137"/>
      <c r="F103" s="137"/>
      <c r="G103" s="531" t="str">
        <f ca="1">IFERROR(INDEX('5.4纪念碑谷'!AK7:AK396,RANDBETWEEN(1,344-7)),"")</f>
        <v>确保雪怪受到足够的伤害投放小雪怪对于增加它所造成的伤害来说非常必要。</v>
      </c>
      <c r="H103" s="531"/>
      <c r="I103" s="531"/>
      <c r="J103" s="531"/>
      <c r="K103" s="531"/>
      <c r="L103" s="531"/>
      <c r="M103" s="531"/>
      <c r="N103" s="531"/>
      <c r="O103" s="531"/>
      <c r="P103" s="531"/>
      <c r="Q103" s="531"/>
      <c r="R103" s="531"/>
      <c r="S103" s="531"/>
      <c r="T103" s="531"/>
      <c r="U103" s="531"/>
      <c r="V103" s="531"/>
      <c r="W103" s="171"/>
      <c r="X103" s="171"/>
      <c r="Y103" s="171"/>
      <c r="Z103" s="171"/>
      <c r="AA103" s="171"/>
      <c r="AB103" s="171"/>
      <c r="AC103" s="171"/>
      <c r="AD103" s="171"/>
    </row>
    <row r="104" spans="1:30">
      <c r="A104" s="54" t="s">
        <v>224</v>
      </c>
      <c r="B104" s="137"/>
      <c r="C104" s="137"/>
      <c r="D104" s="137"/>
      <c r="E104" s="137"/>
      <c r="F104" s="137"/>
      <c r="G104" s="531"/>
      <c r="H104" s="531"/>
      <c r="I104" s="531"/>
      <c r="J104" s="531"/>
      <c r="K104" s="531"/>
      <c r="L104" s="531"/>
      <c r="M104" s="531"/>
      <c r="N104" s="531"/>
      <c r="O104" s="531"/>
      <c r="P104" s="531"/>
      <c r="Q104" s="531"/>
      <c r="R104" s="531"/>
      <c r="S104" s="531"/>
      <c r="T104" s="531"/>
      <c r="U104" s="531"/>
      <c r="V104" s="531"/>
      <c r="W104" s="171"/>
      <c r="X104" s="171"/>
      <c r="Y104" s="171"/>
      <c r="Z104" s="171"/>
      <c r="AA104" s="171"/>
      <c r="AB104" s="171"/>
      <c r="AC104" s="171"/>
      <c r="AD104" s="171"/>
    </row>
    <row r="105" spans="1:30">
      <c r="A105" s="142" t="s">
        <v>225</v>
      </c>
      <c r="B105" s="171"/>
      <c r="C105" s="171"/>
      <c r="D105" s="171"/>
      <c r="E105" s="171"/>
      <c r="F105" s="171"/>
      <c r="G105" s="171"/>
      <c r="H105" s="171"/>
      <c r="I105" s="171"/>
      <c r="J105" s="171"/>
      <c r="K105" s="171"/>
      <c r="L105" s="171"/>
      <c r="M105" s="171"/>
      <c r="N105" s="171"/>
      <c r="O105" s="171"/>
      <c r="P105" s="171"/>
      <c r="Q105" s="171"/>
      <c r="R105" s="171"/>
      <c r="S105" s="171"/>
      <c r="T105" s="171"/>
      <c r="U105" s="171"/>
      <c r="V105" s="171"/>
      <c r="W105" s="171"/>
      <c r="X105" s="171"/>
      <c r="Y105" s="171"/>
      <c r="Z105" s="171"/>
      <c r="AA105" s="171"/>
      <c r="AB105" s="171"/>
      <c r="AC105" s="171"/>
      <c r="AD105" s="171"/>
    </row>
    <row r="106" spans="1:30">
      <c r="A106" s="171"/>
      <c r="B106" s="171"/>
      <c r="C106" s="171"/>
      <c r="D106" s="171"/>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c r="AA106" s="171"/>
      <c r="AB106" s="171"/>
      <c r="AC106" s="171"/>
      <c r="AD106" s="171"/>
    </row>
  </sheetData>
  <mergeCells count="31">
    <mergeCell ref="G103:V104"/>
    <mergeCell ref="G46:H47"/>
    <mergeCell ref="S46:T47"/>
    <mergeCell ref="V3:W4"/>
    <mergeCell ref="V6:W7"/>
    <mergeCell ref="V18:W19"/>
    <mergeCell ref="G67:H68"/>
    <mergeCell ref="S67:T68"/>
    <mergeCell ref="I46:I47"/>
    <mergeCell ref="I67:I68"/>
    <mergeCell ref="B14:D15"/>
    <mergeCell ref="B17:D18"/>
    <mergeCell ref="B3:E4"/>
    <mergeCell ref="B7:E8"/>
    <mergeCell ref="B11:D12"/>
    <mergeCell ref="G3:H4"/>
    <mergeCell ref="B27:C28"/>
    <mergeCell ref="D27:E28"/>
    <mergeCell ref="S18:T18"/>
    <mergeCell ref="S22:T22"/>
    <mergeCell ref="S29:T29"/>
    <mergeCell ref="S35:T35"/>
    <mergeCell ref="E11:E12"/>
    <mergeCell ref="E14:E15"/>
    <mergeCell ref="E17:E18"/>
    <mergeCell ref="J1:O1"/>
    <mergeCell ref="N2:O2"/>
    <mergeCell ref="D5:E5"/>
    <mergeCell ref="S6:T6"/>
    <mergeCell ref="S13:T13"/>
    <mergeCell ref="I3:I4"/>
  </mergeCells>
  <conditionalFormatting sqref="A1:AA26 AB1:AD68 A27:B27 D27 F27:AA28 A28 A29:AA68">
    <cfRule type="expression" dxfId="90" priority="8">
      <formula>颜色主题="魔法"</formula>
    </cfRule>
  </conditionalFormatting>
  <conditionalFormatting sqref="A69:AD106">
    <cfRule type="expression" dxfId="89" priority="3">
      <formula>颜色主题="魔法"</formula>
    </cfRule>
  </conditionalFormatting>
  <conditionalFormatting sqref="B7:E8">
    <cfRule type="expression" dxfId="88" priority="7" stopIfTrue="1">
      <formula>颜色主题="魔法"</formula>
    </cfRule>
  </conditionalFormatting>
  <conditionalFormatting sqref="G10:H10 M11:N11 G31:H31">
    <cfRule type="expression" dxfId="87" priority="37">
      <formula>$I$3&lt;4</formula>
    </cfRule>
  </conditionalFormatting>
  <conditionalFormatting sqref="G21:H22 G25:H25 P29:Q29 P35:Q38">
    <cfRule type="expression" dxfId="86" priority="48">
      <formula>$I$3&lt;15</formula>
    </cfRule>
  </conditionalFormatting>
  <conditionalFormatting sqref="G89:H89 Y98:AA98">
    <cfRule type="expression" dxfId="85" priority="19">
      <formula>$I$67&lt;9</formula>
    </cfRule>
  </conditionalFormatting>
  <conditionalFormatting sqref="G90:H90">
    <cfRule type="expression" dxfId="84" priority="20">
      <formula>$I$67&lt;10</formula>
    </cfRule>
  </conditionalFormatting>
  <conditionalFormatting sqref="H72:H98">
    <cfRule type="expression" dxfId="83" priority="26">
      <formula>$I$46&lt;4</formula>
    </cfRule>
  </conditionalFormatting>
  <conditionalFormatting sqref="J7:K7 G7:H8 M8:N9">
    <cfRule type="expression" dxfId="82" priority="35">
      <formula>$I$3&lt;2</formula>
    </cfRule>
  </conditionalFormatting>
  <conditionalFormatting sqref="J8:K8 G9:H9 M10:N10 G28:H28">
    <cfRule type="expression" dxfId="81" priority="36">
      <formula>$I$3&lt;3</formula>
    </cfRule>
  </conditionalFormatting>
  <conditionalFormatting sqref="J13:K13 G14:H14 M15:N15 P15:Q16 M25:N26 G33:H33">
    <cfRule type="expression" dxfId="80" priority="41">
      <formula>$I$3&lt;8</formula>
    </cfRule>
  </conditionalFormatting>
  <conditionalFormatting sqref="J14:K14 G18:H18 M19:N19 P23:Q25 M31:N31">
    <cfRule type="expression" dxfId="79" priority="45">
      <formula>$I$3&lt;12</formula>
    </cfRule>
  </conditionalFormatting>
  <conditionalFormatting sqref="J21:K21 M21:N21 G24:H24 P28:Q28 P31:Q34">
    <cfRule type="expression" dxfId="78" priority="47">
      <formula>$I$3&lt;14</formula>
    </cfRule>
  </conditionalFormatting>
  <conditionalFormatting sqref="J70:K78 G76:H78 J86:K90 J93:K93 G94:H94 J98:K99">
    <cfRule type="expression" dxfId="77" priority="10">
      <formula>$I$67&lt;2</formula>
    </cfRule>
  </conditionalFormatting>
  <conditionalFormatting sqref="K72:K99">
    <cfRule type="expression" dxfId="76" priority="25">
      <formula>$I$46&lt;4</formula>
    </cfRule>
  </conditionalFormatting>
  <conditionalFormatting sqref="M50:N50 G51:H52 J60:K60">
    <cfRule type="expression" dxfId="75" priority="27">
      <formula>$I$46&lt;2</formula>
    </cfRule>
  </conditionalFormatting>
  <conditionalFormatting sqref="M51:N52 J53:K53 G53:H55 J55:K55 J57:K57 J61:K62">
    <cfRule type="expression" dxfId="74" priority="28">
      <formula>$I$46&lt;3</formula>
    </cfRule>
  </conditionalFormatting>
  <conditionalFormatting sqref="M53:N54 G56:H57 J58:K58 J63:K63 W72:W81 W83:W100">
    <cfRule type="expression" dxfId="73" priority="29">
      <formula>$I$46&lt;4</formula>
    </cfRule>
  </conditionalFormatting>
  <conditionalFormatting sqref="M55:N55 G58:H58 M61:N61">
    <cfRule type="expression" dxfId="72" priority="30">
      <formula>$I$46&lt;5</formula>
    </cfRule>
  </conditionalFormatting>
  <conditionalFormatting sqref="M56:N56 G59:H59">
    <cfRule type="expression" dxfId="71" priority="31">
      <formula>$I$46&lt;6</formula>
    </cfRule>
  </conditionalFormatting>
  <conditionalFormatting sqref="M57:N57 G60:H60">
    <cfRule type="expression" dxfId="70" priority="32">
      <formula>$I$46&lt;7</formula>
    </cfRule>
  </conditionalFormatting>
  <conditionalFormatting sqref="M58:N58 G61:H61">
    <cfRule type="expression" dxfId="69" priority="33">
      <formula>$I$46&lt;8</formula>
    </cfRule>
  </conditionalFormatting>
  <conditionalFormatting sqref="M59:N59 G62:H62">
    <cfRule type="expression" dxfId="68" priority="34">
      <formula>$I$46&lt;9</formula>
    </cfRule>
  </conditionalFormatting>
  <conditionalFormatting sqref="M70:N78 J79:K79 G79:H80 M82:N82 J84:K84 M87:N89 J91:K91 M93:N94 J94:K94 M98:N99">
    <cfRule type="expression" dxfId="67" priority="11">
      <formula>$I$67&lt;3</formula>
    </cfRule>
  </conditionalFormatting>
  <conditionalFormatting sqref="M80:N80 G88:H88">
    <cfRule type="expression" dxfId="66" priority="18">
      <formula>$I$67&lt;8</formula>
    </cfRule>
  </conditionalFormatting>
  <conditionalFormatting sqref="N72:N99">
    <cfRule type="expression" dxfId="65" priority="24">
      <formula>$I$46&lt;4</formula>
    </cfRule>
  </conditionalFormatting>
  <conditionalFormatting sqref="P6:Q6 G11:H11 J12:K12 M12:N12 G29:H29">
    <cfRule type="expression" dxfId="64" priority="38">
      <formula>$I$3&lt;5</formula>
    </cfRule>
  </conditionalFormatting>
  <conditionalFormatting sqref="P7:Q7 G12:H12 M13:N13 G32:H32">
    <cfRule type="expression" dxfId="63" priority="39">
      <formula>$I$3&lt;6</formula>
    </cfRule>
  </conditionalFormatting>
  <conditionalFormatting sqref="P8:Q8 J10:K10 G13:H13 M14:N14 J19:K20 M23:N24 J28:K28 G30:H30">
    <cfRule type="expression" dxfId="62" priority="40">
      <formula>$I$3&lt;7</formula>
    </cfRule>
  </conditionalFormatting>
  <conditionalFormatting sqref="P9:Q10 G15:H15 M16:N16 P17:Q18 M27:N28 J29:K29">
    <cfRule type="expression" dxfId="61" priority="42">
      <formula>$I$3&lt;9</formula>
    </cfRule>
  </conditionalFormatting>
  <conditionalFormatting sqref="P11:Q11 G16:H16 M17:N17 P19:Q19 M29:N29">
    <cfRule type="expression" dxfId="60" priority="43">
      <formula>$I$3&lt;10</formula>
    </cfRule>
  </conditionalFormatting>
  <conditionalFormatting sqref="P12:Q12 G17:H17 M18:N18 J30:K30 M30:N30 G34:H34">
    <cfRule type="expression" dxfId="59" priority="44">
      <formula>$I$3&lt;11</formula>
    </cfRule>
  </conditionalFormatting>
  <conditionalFormatting sqref="P13:Q13 G19:H19 M20:N20 G23:H23 P26:Q27 J31:K31">
    <cfRule type="expression" dxfId="58" priority="46">
      <formula>$I$3&lt;13</formula>
    </cfRule>
  </conditionalFormatting>
  <conditionalFormatting sqref="P70:Q81 M79:N79 G81:H83 M86:N86 P86:Q87 M90:N90 P93:Q93 G95:H95 M95:N95 P95:Q95 P98:Q99">
    <cfRule type="expression" dxfId="57" priority="12">
      <formula>$I$67&lt;4</formula>
    </cfRule>
  </conditionalFormatting>
  <conditionalFormatting sqref="Q72:Q99">
    <cfRule type="expression" dxfId="56" priority="23">
      <formula>$I$46&lt;4</formula>
    </cfRule>
  </conditionalFormatting>
  <conditionalFormatting sqref="S70:T83 J80:K83 P82:Q82 G84:H85 S86:T86 P88:Q89 S93:T93 S95:T96 G96:H96 S98:T99">
    <cfRule type="expression" dxfId="55" priority="13">
      <formula>$I$67&lt;5</formula>
    </cfRule>
  </conditionalFormatting>
  <conditionalFormatting sqref="T72:T99">
    <cfRule type="expression" dxfId="54" priority="22">
      <formula>$I$46&lt;4</formula>
    </cfRule>
  </conditionalFormatting>
  <conditionalFormatting sqref="V70:W81 M81:N81 S84:T84 G86:H87 V86:W87 S87:T87 V89:W89 V93:W95 V98:W99">
    <cfRule type="expression" dxfId="53" priority="14">
      <formula>$I$67&lt;6</formula>
    </cfRule>
  </conditionalFormatting>
  <conditionalFormatting sqref="Y86 AA86 AC86">
    <cfRule type="expression" dxfId="52" priority="9">
      <formula>$I$67&lt;6</formula>
    </cfRule>
  </conditionalFormatting>
  <conditionalFormatting sqref="Y70:AC83 AC73:AC96 P83:Q83 S88:T88 V88:W88 Y93:AC95 P94:Q94 S94:T94 S98:T98 V100:W100">
    <cfRule type="expression" dxfId="51" priority="17">
      <formula>$I$67&lt;7</formula>
    </cfRule>
  </conditionalFormatting>
  <conditionalFormatting sqref="Z72:Z100">
    <cfRule type="expression" dxfId="50" priority="16">
      <formula>$I$46&lt;4</formula>
    </cfRule>
  </conditionalFormatting>
  <conditionalFormatting sqref="AB72:AB86 Z86">
    <cfRule type="expression" dxfId="49" priority="15">
      <formula>$I$67&lt;7</formula>
    </cfRule>
  </conditionalFormatting>
  <conditionalFormatting sqref="AB72:AB97 AB99:AB100">
    <cfRule type="expression" dxfId="48" priority="6">
      <formula>$I$46&lt;4</formula>
    </cfRule>
  </conditionalFormatting>
  <conditionalFormatting sqref="AB88:AB97 Y99:AC100">
    <cfRule type="expression" dxfId="47" priority="5">
      <formula>$I$67&lt;7</formula>
    </cfRule>
  </conditionalFormatting>
  <conditionalFormatting sqref="AB70:AC100">
    <cfRule type="expression" dxfId="46" priority="1">
      <formula>$I$67&lt;8</formula>
    </cfRule>
  </conditionalFormatting>
  <conditionalFormatting sqref="AB84:AC84 AB94:AC94">
    <cfRule type="expression" dxfId="45" priority="2">
      <formula>$I$67&lt;9</formula>
    </cfRule>
  </conditionalFormatting>
  <conditionalFormatting sqref="AB98:AC98">
    <cfRule type="expression" dxfId="44" priority="4">
      <formula>$I$67&lt;7</formula>
    </cfRule>
  </conditionalFormatting>
  <dataValidations count="31">
    <dataValidation type="list" allowBlank="1" showInputMessage="1" showErrorMessage="1" sqref="D27:E28" xr:uid="{00000000-0002-0000-0000-000000000000}">
      <formula1>"经典,魔法"</formula1>
    </dataValidation>
    <dataValidation allowBlank="1" showInputMessage="1" showErrorMessage="1" promptTitle="========对战经验========" prompt="部落对战中战胜对应大本营的玩家能获得的部落经验的最大值。" sqref="S14" xr:uid="{00000000-0002-0000-0000-000001000000}"/>
    <dataValidation allowBlank="1" showInputMessage="1" showErrorMessage="1" promptTitle="========黑油上限==========" prompt="仓库中黑油最多被掠夺的数量。_x000a_用于保护拥有大量资源的玩家。" sqref="S11" xr:uid="{00000000-0002-0000-0000-000002000000}"/>
    <dataValidation allowBlank="1" showInputMessage="1" showErrorMessage="1" promptTitle="========搜索费用========" prompt="联机模式搜索敌军所需要的金币数量。" sqref="S7" xr:uid="{00000000-0002-0000-0000-000003000000}"/>
    <dataValidation allowBlank="1" showInputMessage="1" showErrorMessage="1" promptTitle="========掠夺比例========" prompt="你被敌人攻击时，仓库中金币/圣水失去的比例。_x000a_如果超过上限，则按照上限计算。" sqref="S8" xr:uid="{00000000-0002-0000-0000-000004000000}"/>
    <dataValidation allowBlank="1" showInputMessage="1" showErrorMessage="1" promptTitle="===========英雄+5===========" prompt="升级大本营后，英雄等级临时性+5级（不能超过当前大本营支持最高等级）" sqref="S30" xr:uid="{00000000-0002-0000-0000-000005000000}"/>
    <dataValidation allowBlank="1" showInputMessage="1" showErrorMessage="1" promptTitle="========黑油比例========" prompt="你被敌人攻击时，仓库中黑油失去的比例。_x000a_如果超过上限，则按照上限计算。" sqref="S9" xr:uid="{00000000-0002-0000-0000-000006000000}"/>
    <dataValidation allowBlank="1" showInputMessage="1" showErrorMessage="1" promptTitle="========黑油上限========" prompt="部落战中可从敌军村庄直接掠夺的黑油数量的最大值。_x000a_此项取决于敌军的大本营等级和发展水平。" sqref="S16" xr:uid="{00000000-0002-0000-0000-000007000000}"/>
    <dataValidation allowBlank="1" showInputMessage="1" showErrorMessage="1" promptTitle="========资源上限========" prompt="部落战中可从敌军村庄直接掠夺的金币/圣水数量的最大值。_x000a_此项取决于敌军的大本营等级和发展水平。" sqref="S15" xr:uid="{00000000-0002-0000-0000-000008000000}"/>
    <dataValidation allowBlank="1" showInputMessage="1" showErrorMessage="1" promptTitle="========掠夺上限==========" prompt="仓库中金币/圣水最多被掠夺的数量。_x000a_用于保护拥有大量资源的玩家。" sqref="S10" xr:uid="{00000000-0002-0000-0000-000009000000}"/>
    <dataValidation allowBlank="1" showInputMessage="1" showErrorMessage="1" promptTitle="===================" prompt="你想搜索什么呢？_x000a_限制12个字，匹配最相关内容。" sqref="B7:E8" xr:uid="{00000000-0002-0000-0000-00000A000000}"/>
    <dataValidation allowBlank="1" showInputMessage="1" showErrorMessage="1" promptTitle="========宝库资源========" prompt="部落城堡的金币/圣水基础容量" sqref="S19" xr:uid="{00000000-0002-0000-0000-00000B000000}"/>
    <dataValidation allowBlank="1" showInputMessage="1" showErrorMessage="1" promptTitle="========资源车上限========" prompt="资源车所能装载的金币/圣水上限" sqref="S23" xr:uid="{00000000-0002-0000-0000-00000C000000}"/>
    <dataValidation allowBlank="1" showInputMessage="1" showErrorMessage="1" promptTitle="========宝库黑油========" prompt="部落城堡的黑油基础容量" sqref="S20" xr:uid="{00000000-0002-0000-0000-00000D000000}"/>
    <dataValidation allowBlank="1" showInputMessage="1" showErrorMessage="1" promptTitle="========黑油上限========" prompt="资源车所能承载的黑油上限" sqref="S24" xr:uid="{00000000-0002-0000-0000-00000E000000}"/>
    <dataValidation allowBlank="1" showInputMessage="1" showErrorMessage="1" promptTitle="===========采集器*2===========" prompt="所有采集器的工作效率临时性*2。" sqref="S32" xr:uid="{00000000-0002-0000-0000-00000F000000}"/>
    <dataValidation allowBlank="1" showInputMessage="1" showErrorMessage="1" promptTitle="========金水填充========" prompt="当玩家离线3天之后，资源车会缓慢填充。_x000a_到90天达到上限。_x000a_" sqref="S25" xr:uid="{00000000-0002-0000-0000-000010000000}"/>
    <dataValidation allowBlank="1" showInputMessage="1" showErrorMessage="1" promptTitle="===========胜利之星*4===========" prompt="回归奖励：当玩家离线超过90天后回归触发，每365天才可以触发一次。_x000a_胜利之星奖励临时性地变为原来的4倍。" sqref="S43" xr:uid="{00000000-0002-0000-0000-000011000000}"/>
    <dataValidation allowBlank="1" showInputMessage="1" showErrorMessage="1" promptTitle="========黑油填充========" prompt="当玩家离线3天之后，资源车会缓慢填充。_x000a_到90天达到上限。_x000a_" sqref="S26" xr:uid="{00000000-0002-0000-0000-000012000000}"/>
    <dataValidation allowBlank="1" showInputMessage="1" showErrorMessage="1" promptTitle="===========科技至满===========" prompt="所有实验室科技（军队、法术、载具）临时性地提升至当前实验室所支持的最高等级。_x000a_建议立刻秒实验室以获得最佳效果。_x000a_" sqref="S31" xr:uid="{00000000-0002-0000-0000-000013000000}"/>
    <dataValidation allowBlank="1" showInputMessage="1" showErrorMessage="1" promptTitle="===========胜利之星*4===========" prompt="胜利之星奖励临时性地变为原来的4倍。" sqref="S33" xr:uid="{00000000-0002-0000-0000-000014000000}"/>
    <dataValidation allowBlank="1" showInputMessage="1" showErrorMessage="1" promptTitle="===========科技至满===========" prompt="回归奖励：当玩家离线超过90天后回归触发，每365天才可以触发一次。_x000a_所有实验室科技（军队、法术、载具）临时性地提升至当前实验室所支持的最高等级。_x000a_建议立刻秒实验室以获得最佳效果。_x000a_" sqref="S41" xr:uid="{00000000-0002-0000-0000-000015000000}"/>
    <dataValidation allowBlank="1" showInputMessage="1" showErrorMessage="1" promptTitle="===========建筑预算===========" prompt="回归奖励：当玩家离线超过90天后回归触发，每365天才可以触发一次。_x000a_回归后用于自动升级建筑的总预算金水。_x000a__x000a_" sqref="S36" xr:uid="{00000000-0002-0000-0000-000016000000}"/>
    <dataValidation allowBlank="1" showInputMessage="1" showErrorMessage="1" promptTitle="===========英雄预算===========" prompt="回归奖励：当玩家离线超过90天后回归触发，每365天才可以触发一次。_x000a_回归后用于自动升级英雄的总预算圣水/黑油。_x000a_1黑油=100圣水_x000a_" sqref="S37" xr:uid="{00000000-0002-0000-0000-000017000000}"/>
    <dataValidation allowBlank="1" showInputMessage="1" showErrorMessage="1" promptTitle="===========城墙预算===========" prompt="回归奖励：当玩家离线超过90天后回归触发，每365天才可以触发一次。_x000a_回归后用于自动升级城墙的总资源。_x000a_" sqref="S38" xr:uid="{00000000-0002-0000-0000-000018000000}"/>
    <dataValidation allowBlank="1" showInputMessage="1" showErrorMessage="1" promptTitle="===========科技预算===========" prompt="回归奖励：当玩家离线超过90天后回归触发，每365天才可以触发一次。_x000a_回归后用于自动升级建科技的总预算圣水/黑油。_x000a_1黑油=100圣水_x000a_" sqref="S39" xr:uid="{00000000-0002-0000-0000-000019000000}"/>
    <dataValidation allowBlank="1" showInputMessage="1" showErrorMessage="1" promptTitle="===========英雄+5===========" prompt="回归奖励：当玩家离线超过90天后回归触发，每365天才可以触发一次。_x000a_回归后，英雄等级临时性+5级（不能超过当前大本营支持最高等级）" sqref="S40" xr:uid="{00000000-0002-0000-0000-00001A000000}"/>
    <dataValidation allowBlank="1" showInputMessage="1" showErrorMessage="1" promptTitle="===========采集器*2===========" prompt="回归奖励：当玩家离线超过90天后回归触发，每365天才可以触发一次。_x000a_所有采集器的工作效率临时性*2。" sqref="S42" xr:uid="{00000000-0002-0000-0000-00001B000000}"/>
    <dataValidation type="list" allowBlank="1" showInputMessage="1" showErrorMessage="1" sqref="I3:I4" xr:uid="{00000000-0002-0000-0000-00001C000000}">
      <formula1>"1,2,3,4,5,6,7,8,9,10,11,12,13,14,15"</formula1>
    </dataValidation>
    <dataValidation type="list" allowBlank="1" showInputMessage="1" showErrorMessage="1" sqref="I46:I47" xr:uid="{00000000-0002-0000-0000-00001D000000}">
      <formula1>"1,2,3,4,5,6,7,8,9"</formula1>
    </dataValidation>
    <dataValidation type="list" allowBlank="1" showInputMessage="1" showErrorMessage="1" sqref="I67:I68" xr:uid="{00000000-0002-0000-0000-00001E000000}">
      <formula1>"1,2,3,4,5,6,7,8,9,10"</formula1>
    </dataValidation>
  </dataValidations>
  <hyperlinks>
    <hyperlink ref="A104" r:id="rId1" xr:uid="{00000000-0004-0000-0000-000000000000}"/>
  </hyperlinks>
  <pageMargins left="0.7" right="0.7" top="0.75" bottom="0.75" header="0.3" footer="0.3"/>
  <pageSetup paperSize="9" orientation="portrait"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T224"/>
  <sheetViews>
    <sheetView topLeftCell="N82" workbookViewId="0">
      <selection activeCell="Z56" sqref="Z56"/>
    </sheetView>
  </sheetViews>
  <sheetFormatPr defaultColWidth="9" defaultRowHeight="14.15"/>
  <cols>
    <col min="6" max="6" width="9.140625" customWidth="1"/>
    <col min="7" max="7" width="9.2109375" customWidth="1"/>
    <col min="8" max="10" width="9.35546875" customWidth="1"/>
    <col min="11" max="11" width="9.5" customWidth="1"/>
    <col min="12" max="13" width="10.7109375" customWidth="1"/>
    <col min="14" max="14" width="9.140625" customWidth="1"/>
    <col min="15" max="15" width="9.35546875"/>
    <col min="18" max="21" width="9.140625" customWidth="1"/>
    <col min="22" max="23" width="10.7109375" customWidth="1"/>
    <col min="24" max="26" width="9.140625" customWidth="1"/>
    <col min="27" max="27" width="9.2109375" customWidth="1"/>
    <col min="28" max="28" width="9.5" customWidth="1"/>
    <col min="29" max="29" width="9.85546875" customWidth="1"/>
    <col min="30" max="30" width="9.5" customWidth="1"/>
    <col min="31" max="31" width="9.7109375" customWidth="1"/>
    <col min="32" max="33" width="10.7109375" customWidth="1"/>
    <col min="34" max="34" width="9.2109375" customWidth="1"/>
    <col min="35" max="38" width="9.35546875"/>
    <col min="41" max="41" width="11.2109375" customWidth="1"/>
    <col min="42" max="42" width="10.2109375" customWidth="1"/>
    <col min="47" max="47" width="9.35546875"/>
    <col min="48" max="48" width="9.5" customWidth="1"/>
    <col min="49" max="49" width="9.35546875"/>
    <col min="56" max="56" width="10.640625" customWidth="1"/>
    <col min="63" max="64" width="9.35546875"/>
  </cols>
  <sheetData>
    <row r="1" spans="1:72" ht="14.25" customHeight="1">
      <c r="A1" s="534" t="s">
        <v>226</v>
      </c>
      <c r="B1" s="534"/>
      <c r="C1" s="534"/>
      <c r="D1" s="530" t="s">
        <v>227</v>
      </c>
      <c r="E1" s="530"/>
      <c r="F1" s="137"/>
      <c r="G1" s="137"/>
      <c r="H1" s="137"/>
      <c r="I1" s="137"/>
      <c r="J1" s="137"/>
      <c r="K1" s="137"/>
      <c r="L1" s="137"/>
      <c r="M1" s="137"/>
      <c r="N1" s="137"/>
      <c r="O1" s="137"/>
      <c r="P1" s="137"/>
      <c r="Q1" s="137"/>
      <c r="R1" s="137"/>
      <c r="S1" s="137"/>
      <c r="T1" s="137"/>
      <c r="U1" s="137"/>
      <c r="V1" s="137"/>
      <c r="W1" s="137"/>
      <c r="X1" s="137"/>
      <c r="Y1" s="137"/>
      <c r="Z1" s="137"/>
      <c r="AA1" s="137"/>
      <c r="AB1" s="133"/>
      <c r="AC1" s="133"/>
      <c r="AD1" s="133"/>
      <c r="AE1" s="133"/>
      <c r="AF1" s="133"/>
      <c r="AG1" s="133"/>
      <c r="AH1" s="133"/>
      <c r="AI1" s="133"/>
      <c r="AJ1" s="133"/>
      <c r="AK1" s="133"/>
      <c r="AL1" s="133"/>
      <c r="AM1" s="521" t="s">
        <v>228</v>
      </c>
      <c r="AN1" s="521"/>
      <c r="AO1" s="137"/>
      <c r="AP1" s="137"/>
      <c r="AQ1" s="137"/>
      <c r="AR1" s="137"/>
      <c r="AS1" s="137"/>
      <c r="AT1" s="137"/>
      <c r="AU1" s="137"/>
      <c r="AV1" s="137"/>
      <c r="AW1" s="137"/>
      <c r="AX1" s="137"/>
      <c r="AY1" s="137"/>
      <c r="AZ1" s="137"/>
      <c r="BA1" s="137"/>
      <c r="BB1" s="137"/>
      <c r="BC1" s="137"/>
      <c r="BD1" s="137"/>
      <c r="BE1" s="137"/>
      <c r="BF1" s="137"/>
      <c r="BG1" s="137"/>
      <c r="BH1" s="202"/>
      <c r="BI1" s="202"/>
      <c r="BJ1" s="202"/>
      <c r="BK1" s="202"/>
      <c r="BL1" s="202"/>
      <c r="BM1" s="202"/>
      <c r="BN1" s="202"/>
      <c r="BO1" s="202"/>
      <c r="BP1" s="202"/>
      <c r="BQ1" s="202"/>
      <c r="BR1" s="202"/>
      <c r="BS1" s="202"/>
      <c r="BT1" s="202"/>
    </row>
    <row r="2" spans="1:72" ht="15" customHeight="1">
      <c r="A2" s="534"/>
      <c r="B2" s="534"/>
      <c r="C2" s="534"/>
      <c r="D2" s="533"/>
      <c r="E2" s="533"/>
      <c r="F2" s="383"/>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383"/>
      <c r="AH2" s="383"/>
      <c r="AI2" s="137"/>
      <c r="AJ2" s="137"/>
      <c r="AK2" s="137"/>
      <c r="AL2" s="133"/>
      <c r="AM2" s="532"/>
      <c r="AN2" s="532"/>
      <c r="AO2" s="383" t="s">
        <v>229</v>
      </c>
      <c r="AP2" s="383"/>
      <c r="AQ2" s="383"/>
      <c r="AR2" s="383"/>
      <c r="AS2" s="383"/>
      <c r="AT2" s="383"/>
      <c r="AU2" s="383"/>
      <c r="AV2" s="383"/>
      <c r="AW2" s="383"/>
      <c r="AX2" s="383"/>
      <c r="AY2" s="383"/>
      <c r="AZ2" s="383"/>
      <c r="BA2" s="383"/>
      <c r="BB2" s="383"/>
      <c r="BC2" s="383"/>
      <c r="BD2" s="383"/>
      <c r="BE2" s="383"/>
      <c r="BF2" s="383"/>
      <c r="BG2" s="383"/>
      <c r="BH2" s="383"/>
      <c r="BI2" s="383"/>
      <c r="BJ2" s="383"/>
      <c r="BK2" s="383"/>
      <c r="BL2" s="383"/>
      <c r="BM2" s="383"/>
      <c r="BN2" s="383"/>
      <c r="BO2" s="383"/>
      <c r="BP2" s="383"/>
      <c r="BQ2" s="383"/>
      <c r="BR2" s="383"/>
      <c r="BS2" s="202"/>
      <c r="BT2" s="202"/>
    </row>
    <row r="3" spans="1:72">
      <c r="A3" s="535" t="s">
        <v>230</v>
      </c>
      <c r="B3" s="535"/>
      <c r="C3" s="535"/>
      <c r="D3" s="421" t="s">
        <v>231</v>
      </c>
      <c r="E3" s="137"/>
      <c r="F3" s="137"/>
      <c r="G3" s="137"/>
      <c r="H3" s="137"/>
      <c r="I3" s="137"/>
      <c r="J3" s="137"/>
      <c r="K3" s="137"/>
      <c r="L3" s="137"/>
      <c r="M3" s="137"/>
      <c r="N3" s="137"/>
      <c r="O3" s="137"/>
      <c r="P3" s="137"/>
      <c r="Q3" s="137"/>
      <c r="R3" s="137"/>
      <c r="S3" s="137"/>
      <c r="T3" s="137"/>
      <c r="U3" s="137"/>
      <c r="V3" s="137"/>
      <c r="W3" s="137"/>
      <c r="X3" s="137"/>
      <c r="Y3" s="137"/>
      <c r="Z3" s="137"/>
      <c r="AA3" s="137"/>
      <c r="AB3" s="133"/>
      <c r="AC3" s="133"/>
      <c r="AD3" s="133"/>
      <c r="AE3" s="133"/>
      <c r="AF3" s="133"/>
      <c r="AG3" s="133"/>
      <c r="AH3" s="133"/>
      <c r="AI3" s="133"/>
      <c r="AJ3" s="133"/>
      <c r="AK3" s="133"/>
      <c r="AL3" s="137"/>
      <c r="AM3" s="137" t="s">
        <v>231</v>
      </c>
      <c r="AN3" s="137"/>
      <c r="AO3" s="137"/>
      <c r="AP3" s="137"/>
      <c r="AQ3" s="137"/>
      <c r="AR3" s="137"/>
      <c r="AS3" s="137"/>
      <c r="AT3" s="137"/>
      <c r="AU3" s="137"/>
      <c r="AV3" s="137"/>
      <c r="AW3" s="137"/>
      <c r="AX3" s="137"/>
      <c r="AY3" s="137"/>
      <c r="AZ3" s="137"/>
      <c r="BA3" s="137"/>
      <c r="BB3" s="137"/>
      <c r="BC3" s="137"/>
      <c r="BD3" s="137"/>
      <c r="BE3" s="137"/>
      <c r="BF3" s="137"/>
      <c r="BG3" s="137"/>
      <c r="BH3" s="202"/>
      <c r="BI3" s="202"/>
      <c r="BJ3" s="202"/>
      <c r="BK3" s="202"/>
      <c r="BL3" s="202"/>
      <c r="BM3" s="202"/>
      <c r="BN3" s="202"/>
      <c r="BO3" s="202"/>
      <c r="BP3" s="202"/>
      <c r="BQ3" s="202"/>
      <c r="BR3" s="202"/>
      <c r="BS3" s="202"/>
      <c r="BT3" s="202"/>
    </row>
    <row r="4" spans="1:72" ht="14.6">
      <c r="A4" s="535"/>
      <c r="B4" s="535"/>
      <c r="C4" s="535"/>
      <c r="D4" s="435" t="s">
        <v>232</v>
      </c>
      <c r="E4" s="137"/>
      <c r="F4" s="137" t="s">
        <v>233</v>
      </c>
      <c r="G4" s="137"/>
      <c r="H4" s="137"/>
      <c r="I4" s="137"/>
      <c r="J4" s="137"/>
      <c r="K4" s="137"/>
      <c r="L4" s="137"/>
      <c r="M4" s="137"/>
      <c r="N4" s="137"/>
      <c r="O4" s="137"/>
      <c r="P4" s="137" t="s">
        <v>234</v>
      </c>
      <c r="Q4" s="137"/>
      <c r="R4" s="137" t="s">
        <v>235</v>
      </c>
      <c r="S4" s="137"/>
      <c r="T4" s="137"/>
      <c r="U4" s="137"/>
      <c r="V4" s="137"/>
      <c r="W4" s="137"/>
      <c r="X4" s="137"/>
      <c r="Y4" s="133"/>
      <c r="Z4" s="137" t="s">
        <v>236</v>
      </c>
      <c r="AA4" s="137"/>
      <c r="AB4" s="137"/>
      <c r="AC4" s="137"/>
      <c r="AD4" s="137"/>
      <c r="AE4" s="137"/>
      <c r="AF4" s="137"/>
      <c r="AG4" s="137"/>
      <c r="AH4" s="133"/>
      <c r="AI4" s="133"/>
      <c r="AJ4" s="133"/>
      <c r="AK4" s="133"/>
      <c r="AL4" s="137"/>
      <c r="AM4" s="431" t="s">
        <v>237</v>
      </c>
      <c r="AN4" s="137"/>
      <c r="AO4" s="137"/>
      <c r="AP4" s="137"/>
      <c r="AQ4" s="137"/>
      <c r="AR4" s="137"/>
      <c r="AS4" s="137"/>
      <c r="AT4" s="137"/>
      <c r="AU4" s="137"/>
      <c r="AV4" s="137"/>
      <c r="AW4" s="137"/>
      <c r="AX4" s="137"/>
      <c r="AY4" s="137"/>
      <c r="AZ4" s="137"/>
      <c r="BA4" s="137"/>
      <c r="BB4" s="137"/>
      <c r="BC4" s="137"/>
      <c r="BD4" s="137"/>
      <c r="BE4" s="137"/>
      <c r="BF4" s="137"/>
      <c r="BG4" s="137"/>
      <c r="BH4" s="202"/>
      <c r="BI4" s="202"/>
      <c r="BJ4" s="202"/>
      <c r="BK4" s="202"/>
      <c r="BL4" s="202"/>
      <c r="BM4" s="202"/>
      <c r="BN4" s="202"/>
      <c r="BO4" s="202"/>
      <c r="BP4" s="202"/>
      <c r="BQ4" s="202"/>
      <c r="BR4" s="202"/>
      <c r="BS4" s="202"/>
      <c r="BT4" s="202"/>
    </row>
    <row r="5" spans="1:72" ht="14.6">
      <c r="A5" s="120" t="s">
        <v>238</v>
      </c>
      <c r="B5" s="120" t="s">
        <v>239</v>
      </c>
      <c r="C5" s="120" t="s">
        <v>240</v>
      </c>
      <c r="D5" s="435" t="s">
        <v>241</v>
      </c>
      <c r="E5" s="142"/>
      <c r="F5" s="342" t="s">
        <v>242</v>
      </c>
      <c r="G5" s="344"/>
      <c r="H5" s="136" t="s">
        <v>243</v>
      </c>
      <c r="I5" s="136" t="s">
        <v>244</v>
      </c>
      <c r="J5" s="136" t="s">
        <v>245</v>
      </c>
      <c r="K5" s="136" t="s">
        <v>246</v>
      </c>
      <c r="L5" s="136" t="s">
        <v>247</v>
      </c>
      <c r="M5" s="137"/>
      <c r="N5" s="137"/>
      <c r="O5" s="133"/>
      <c r="P5" s="342" t="s">
        <v>248</v>
      </c>
      <c r="Q5" s="344"/>
      <c r="R5" s="136" t="s">
        <v>243</v>
      </c>
      <c r="S5" s="136" t="s">
        <v>244</v>
      </c>
      <c r="T5" s="136" t="s">
        <v>245</v>
      </c>
      <c r="U5" s="136" t="s">
        <v>246</v>
      </c>
      <c r="V5" s="136" t="s">
        <v>247</v>
      </c>
      <c r="W5" s="137"/>
      <c r="X5" s="137"/>
      <c r="Y5" s="133"/>
      <c r="Z5" s="342" t="s">
        <v>249</v>
      </c>
      <c r="AA5" s="344"/>
      <c r="AB5" s="136" t="s">
        <v>243</v>
      </c>
      <c r="AC5" s="136" t="s">
        <v>244</v>
      </c>
      <c r="AD5" s="136" t="s">
        <v>245</v>
      </c>
      <c r="AE5" s="136" t="s">
        <v>250</v>
      </c>
      <c r="AF5" s="136" t="s">
        <v>246</v>
      </c>
      <c r="AG5" s="136" t="s">
        <v>247</v>
      </c>
      <c r="AH5" s="133"/>
      <c r="AI5" s="133"/>
      <c r="AJ5" s="133"/>
      <c r="AK5" s="133"/>
      <c r="AL5" s="137"/>
      <c r="AM5" s="431" t="s">
        <v>251</v>
      </c>
      <c r="AN5" s="137"/>
      <c r="AO5" s="137" t="s">
        <v>252</v>
      </c>
      <c r="AP5" s="137"/>
      <c r="AQ5" s="137"/>
      <c r="AR5" s="137"/>
      <c r="AS5" s="137"/>
      <c r="AT5" s="137"/>
      <c r="AU5" s="137"/>
      <c r="AV5" s="137"/>
      <c r="AW5" s="137"/>
      <c r="AX5" s="137"/>
      <c r="AY5" s="137"/>
      <c r="AZ5" s="137"/>
      <c r="BA5" s="137"/>
      <c r="BB5" s="137"/>
      <c r="BC5" s="137"/>
      <c r="BD5" s="137" t="s">
        <v>253</v>
      </c>
      <c r="BE5" s="137"/>
      <c r="BF5" s="137" t="s">
        <v>254</v>
      </c>
      <c r="BG5" s="137"/>
      <c r="BH5" s="137"/>
      <c r="BI5" s="137"/>
      <c r="BJ5" s="137"/>
      <c r="BK5" s="137"/>
      <c r="BL5" s="137"/>
      <c r="BM5" s="137"/>
      <c r="BN5" s="137"/>
      <c r="BO5" s="137"/>
      <c r="BP5" s="137"/>
      <c r="BQ5" s="202"/>
      <c r="BR5" s="202"/>
      <c r="BS5" s="202"/>
      <c r="BT5" s="202"/>
    </row>
    <row r="6" spans="1:72" ht="14.6">
      <c r="A6" s="120" t="s">
        <v>255</v>
      </c>
      <c r="B6" s="87">
        <v>6</v>
      </c>
      <c r="C6" s="384" t="s">
        <v>256</v>
      </c>
      <c r="D6" s="435" t="s">
        <v>257</v>
      </c>
      <c r="E6" s="142"/>
      <c r="F6" s="95" t="s">
        <v>258</v>
      </c>
      <c r="G6" s="345"/>
      <c r="H6" s="87">
        <v>1</v>
      </c>
      <c r="I6" s="120">
        <v>45</v>
      </c>
      <c r="J6" s="120">
        <v>8</v>
      </c>
      <c r="K6" s="120"/>
      <c r="L6" s="149"/>
      <c r="M6" s="137"/>
      <c r="N6" s="137"/>
      <c r="O6" s="133"/>
      <c r="P6" s="95" t="s">
        <v>259</v>
      </c>
      <c r="Q6" s="345"/>
      <c r="R6" s="87">
        <v>1</v>
      </c>
      <c r="S6" s="120">
        <v>20</v>
      </c>
      <c r="T6" s="120">
        <v>7</v>
      </c>
      <c r="U6" s="120"/>
      <c r="V6" s="149"/>
      <c r="W6" s="137"/>
      <c r="X6" s="137"/>
      <c r="Y6" s="133"/>
      <c r="Z6" s="95" t="s">
        <v>260</v>
      </c>
      <c r="AA6" s="345"/>
      <c r="AB6" s="87">
        <v>1</v>
      </c>
      <c r="AC6" s="120">
        <v>300</v>
      </c>
      <c r="AD6" s="120">
        <v>11</v>
      </c>
      <c r="AE6" s="120">
        <v>22</v>
      </c>
      <c r="AF6" s="120"/>
      <c r="AG6" s="149"/>
      <c r="AH6" s="133"/>
      <c r="AI6" s="133"/>
      <c r="AJ6" s="133"/>
      <c r="AK6" s="133"/>
      <c r="AL6" s="137"/>
      <c r="AM6" s="431" t="s">
        <v>261</v>
      </c>
      <c r="AN6" s="137"/>
      <c r="AO6" s="134" t="s">
        <v>242</v>
      </c>
      <c r="AP6" s="135"/>
      <c r="AQ6" s="204" t="s">
        <v>243</v>
      </c>
      <c r="AR6" s="136" t="s">
        <v>244</v>
      </c>
      <c r="AS6" s="136" t="s">
        <v>245</v>
      </c>
      <c r="AT6" s="136" t="s">
        <v>250</v>
      </c>
      <c r="AU6" s="136" t="s">
        <v>262</v>
      </c>
      <c r="AV6" s="136" t="s">
        <v>246</v>
      </c>
      <c r="AW6" s="136" t="s">
        <v>247</v>
      </c>
      <c r="AX6" s="136" t="s">
        <v>263</v>
      </c>
      <c r="AY6" s="136" t="s">
        <v>264</v>
      </c>
      <c r="AZ6" s="136" t="s">
        <v>265</v>
      </c>
      <c r="BA6" s="136" t="s">
        <v>266</v>
      </c>
      <c r="BB6" s="136" t="s">
        <v>267</v>
      </c>
      <c r="BC6" s="137"/>
      <c r="BD6" s="134" t="s">
        <v>248</v>
      </c>
      <c r="BE6" s="135"/>
      <c r="BF6" s="204" t="s">
        <v>243</v>
      </c>
      <c r="BG6" s="136" t="s">
        <v>244</v>
      </c>
      <c r="BH6" s="136" t="s">
        <v>245</v>
      </c>
      <c r="BI6" s="136" t="s">
        <v>250</v>
      </c>
      <c r="BJ6" s="136" t="s">
        <v>262</v>
      </c>
      <c r="BK6" s="136" t="s">
        <v>246</v>
      </c>
      <c r="BL6" s="136" t="s">
        <v>247</v>
      </c>
      <c r="BM6" s="136" t="s">
        <v>263</v>
      </c>
      <c r="BN6" s="136" t="s">
        <v>264</v>
      </c>
      <c r="BO6" s="136" t="s">
        <v>268</v>
      </c>
      <c r="BP6" s="136" t="s">
        <v>266</v>
      </c>
      <c r="BQ6" s="136" t="s">
        <v>267</v>
      </c>
      <c r="BR6" s="202"/>
      <c r="BS6" s="202"/>
      <c r="BT6" s="202"/>
    </row>
    <row r="7" spans="1:72" ht="14.6">
      <c r="A7" s="120" t="s">
        <v>269</v>
      </c>
      <c r="B7" s="99">
        <v>7</v>
      </c>
      <c r="C7" s="384" t="s">
        <v>270</v>
      </c>
      <c r="D7" s="435" t="s">
        <v>271</v>
      </c>
      <c r="E7" s="142"/>
      <c r="F7" s="95" t="s">
        <v>272</v>
      </c>
      <c r="G7" s="345"/>
      <c r="H7" s="87">
        <v>2</v>
      </c>
      <c r="I7" s="120">
        <v>54</v>
      </c>
      <c r="J7" s="120">
        <v>11</v>
      </c>
      <c r="K7" s="150">
        <v>20000</v>
      </c>
      <c r="L7" s="149">
        <v>8.3333333333333301E-2</v>
      </c>
      <c r="M7" s="137"/>
      <c r="N7" s="137"/>
      <c r="O7" s="133"/>
      <c r="P7" s="95" t="s">
        <v>272</v>
      </c>
      <c r="Q7" s="345"/>
      <c r="R7" s="87">
        <v>2</v>
      </c>
      <c r="S7" s="120">
        <v>23</v>
      </c>
      <c r="T7" s="120">
        <v>9</v>
      </c>
      <c r="U7" s="150">
        <v>30000</v>
      </c>
      <c r="V7" s="149">
        <v>0.125</v>
      </c>
      <c r="W7" s="137"/>
      <c r="X7" s="137"/>
      <c r="Y7" s="133"/>
      <c r="Z7" s="95" t="s">
        <v>273</v>
      </c>
      <c r="AA7" s="345"/>
      <c r="AB7" s="87">
        <v>2</v>
      </c>
      <c r="AC7" s="120">
        <v>360</v>
      </c>
      <c r="AD7" s="120">
        <v>14</v>
      </c>
      <c r="AE7" s="120">
        <v>28</v>
      </c>
      <c r="AF7" s="150">
        <v>40000</v>
      </c>
      <c r="AG7" s="149">
        <v>0.16666666666666699</v>
      </c>
      <c r="AH7" s="133"/>
      <c r="AI7" s="133"/>
      <c r="AJ7" s="133"/>
      <c r="AK7" s="133"/>
      <c r="AL7" s="133"/>
      <c r="AM7" s="163" t="s">
        <v>274</v>
      </c>
      <c r="AN7" s="137"/>
      <c r="AO7" s="137" t="s">
        <v>258</v>
      </c>
      <c r="AP7" s="138"/>
      <c r="AQ7" s="99">
        <v>1</v>
      </c>
      <c r="AR7" s="120">
        <v>1700</v>
      </c>
      <c r="AS7" s="120">
        <v>120</v>
      </c>
      <c r="AT7" s="151">
        <f>AS7*1.2</f>
        <v>144</v>
      </c>
      <c r="AU7" s="459">
        <v>10</v>
      </c>
      <c r="AV7" s="120">
        <v>5000</v>
      </c>
      <c r="AW7" s="120"/>
      <c r="AX7" s="120" t="s">
        <v>163</v>
      </c>
      <c r="AY7" s="120" t="s">
        <v>163</v>
      </c>
      <c r="AZ7" s="120" t="s">
        <v>163</v>
      </c>
      <c r="BA7" s="120" t="s">
        <v>163</v>
      </c>
      <c r="BB7" s="120" t="s">
        <v>163</v>
      </c>
      <c r="BC7" s="137"/>
      <c r="BD7" s="137" t="s">
        <v>275</v>
      </c>
      <c r="BE7" s="138"/>
      <c r="BF7" s="91">
        <v>1</v>
      </c>
      <c r="BG7" s="120">
        <v>725</v>
      </c>
      <c r="BH7" s="120">
        <v>160</v>
      </c>
      <c r="BI7" s="151">
        <f>BH7*0.75</f>
        <v>120</v>
      </c>
      <c r="BJ7" s="459">
        <v>10</v>
      </c>
      <c r="BK7" s="150">
        <v>10000</v>
      </c>
      <c r="BL7" s="120"/>
      <c r="BM7" s="120" t="s">
        <v>163</v>
      </c>
      <c r="BN7" s="120" t="s">
        <v>163</v>
      </c>
      <c r="BO7" s="120" t="s">
        <v>163</v>
      </c>
      <c r="BP7" s="120" t="s">
        <v>163</v>
      </c>
      <c r="BQ7" s="120" t="s">
        <v>163</v>
      </c>
      <c r="BR7" s="202"/>
      <c r="BS7" s="202"/>
      <c r="BT7" s="202"/>
    </row>
    <row r="8" spans="1:72" ht="14.6">
      <c r="A8" s="120" t="s">
        <v>276</v>
      </c>
      <c r="B8" s="90">
        <v>8</v>
      </c>
      <c r="C8" s="384" t="s">
        <v>277</v>
      </c>
      <c r="D8" s="435" t="s">
        <v>278</v>
      </c>
      <c r="E8" s="142"/>
      <c r="F8" s="346" t="s">
        <v>279</v>
      </c>
      <c r="G8" s="347"/>
      <c r="H8" s="87">
        <v>3</v>
      </c>
      <c r="I8" s="120">
        <v>65</v>
      </c>
      <c r="J8" s="120">
        <v>14</v>
      </c>
      <c r="K8" s="150">
        <v>60000</v>
      </c>
      <c r="L8" s="149">
        <v>0.20833333333333301</v>
      </c>
      <c r="M8" s="137"/>
      <c r="N8" s="137"/>
      <c r="O8" s="133"/>
      <c r="P8" s="346" t="s">
        <v>280</v>
      </c>
      <c r="Q8" s="347"/>
      <c r="R8" s="87">
        <v>3</v>
      </c>
      <c r="S8" s="120">
        <v>28</v>
      </c>
      <c r="T8" s="120">
        <v>12</v>
      </c>
      <c r="U8" s="150">
        <v>80000</v>
      </c>
      <c r="V8" s="149">
        <v>0.25</v>
      </c>
      <c r="W8" s="137"/>
      <c r="X8" s="137"/>
      <c r="Y8" s="133"/>
      <c r="Z8" s="346" t="s">
        <v>281</v>
      </c>
      <c r="AA8" s="347"/>
      <c r="AB8" s="87">
        <v>3</v>
      </c>
      <c r="AC8" s="120">
        <v>430</v>
      </c>
      <c r="AD8" s="120">
        <v>19</v>
      </c>
      <c r="AE8" s="120">
        <v>38</v>
      </c>
      <c r="AF8" s="150">
        <v>150000</v>
      </c>
      <c r="AG8" s="149">
        <v>0.33333333333333298</v>
      </c>
      <c r="AH8" s="133"/>
      <c r="AI8" s="133"/>
      <c r="AJ8" s="133"/>
      <c r="AK8" s="133"/>
      <c r="AL8" s="133"/>
      <c r="AM8" s="133"/>
      <c r="AN8" s="137"/>
      <c r="AO8" s="137" t="s">
        <v>282</v>
      </c>
      <c r="AP8" s="138"/>
      <c r="AQ8" s="99">
        <v>2</v>
      </c>
      <c r="AR8" s="120">
        <v>1742</v>
      </c>
      <c r="AS8" s="120">
        <v>122</v>
      </c>
      <c r="AT8" s="151">
        <f t="shared" ref="AT8:AT39" si="0">AS8*1.2</f>
        <v>146.4</v>
      </c>
      <c r="AU8" s="459">
        <v>10</v>
      </c>
      <c r="AV8" s="120">
        <v>6000</v>
      </c>
      <c r="AW8" s="149">
        <v>0.16666666666666699</v>
      </c>
      <c r="AX8" s="120" t="s">
        <v>163</v>
      </c>
      <c r="AY8" s="120" t="s">
        <v>163</v>
      </c>
      <c r="AZ8" s="120" t="s">
        <v>163</v>
      </c>
      <c r="BA8" s="120" t="s">
        <v>163</v>
      </c>
      <c r="BB8" s="120" t="s">
        <v>163</v>
      </c>
      <c r="BC8" s="137"/>
      <c r="BD8" s="137" t="s">
        <v>283</v>
      </c>
      <c r="BE8" s="138"/>
      <c r="BF8" s="91">
        <v>2</v>
      </c>
      <c r="BG8" s="120">
        <v>740</v>
      </c>
      <c r="BH8" s="120">
        <v>164</v>
      </c>
      <c r="BI8" s="151">
        <f t="shared" ref="BI8:BI39" si="1">BH8*0.75</f>
        <v>123</v>
      </c>
      <c r="BJ8" s="459">
        <v>10</v>
      </c>
      <c r="BK8" s="150">
        <v>11000</v>
      </c>
      <c r="BL8" s="149">
        <v>0.16666666666666699</v>
      </c>
      <c r="BM8" s="120" t="s">
        <v>163</v>
      </c>
      <c r="BN8" s="120" t="s">
        <v>163</v>
      </c>
      <c r="BO8" s="120" t="s">
        <v>163</v>
      </c>
      <c r="BP8" s="120" t="s">
        <v>163</v>
      </c>
      <c r="BQ8" s="120" t="s">
        <v>163</v>
      </c>
      <c r="BR8" s="202"/>
      <c r="BS8" s="202"/>
      <c r="BT8" s="202"/>
    </row>
    <row r="9" spans="1:72" ht="14.6">
      <c r="A9" s="120" t="s">
        <v>284</v>
      </c>
      <c r="B9" s="91">
        <v>9</v>
      </c>
      <c r="C9" s="384" t="s">
        <v>285</v>
      </c>
      <c r="D9" s="435" t="s">
        <v>286</v>
      </c>
      <c r="E9" s="142"/>
      <c r="F9" s="342" t="s">
        <v>287</v>
      </c>
      <c r="G9" s="344"/>
      <c r="H9" s="99">
        <v>4</v>
      </c>
      <c r="I9" s="120">
        <v>85</v>
      </c>
      <c r="J9" s="120">
        <v>18</v>
      </c>
      <c r="K9" s="150">
        <v>200000</v>
      </c>
      <c r="L9" s="149">
        <v>0.5</v>
      </c>
      <c r="M9" s="137"/>
      <c r="N9" s="137"/>
      <c r="O9" s="133"/>
      <c r="P9" s="342" t="s">
        <v>287</v>
      </c>
      <c r="Q9" s="344"/>
      <c r="R9" s="99">
        <v>4</v>
      </c>
      <c r="S9" s="120">
        <v>33</v>
      </c>
      <c r="T9" s="120">
        <v>16</v>
      </c>
      <c r="U9" s="150">
        <v>300000</v>
      </c>
      <c r="V9" s="149">
        <v>0.5</v>
      </c>
      <c r="W9" s="137"/>
      <c r="X9" s="137"/>
      <c r="Y9" s="133"/>
      <c r="Z9" s="342" t="s">
        <v>287</v>
      </c>
      <c r="AA9" s="344"/>
      <c r="AB9" s="99">
        <v>4</v>
      </c>
      <c r="AC9" s="120">
        <v>520</v>
      </c>
      <c r="AD9" s="120">
        <v>24</v>
      </c>
      <c r="AE9" s="120">
        <v>48</v>
      </c>
      <c r="AF9" s="150">
        <v>500000</v>
      </c>
      <c r="AG9" s="149">
        <v>0.5</v>
      </c>
      <c r="AH9" s="133"/>
      <c r="AI9" s="133"/>
      <c r="AJ9" s="133"/>
      <c r="AK9" s="133"/>
      <c r="AL9" s="133"/>
      <c r="AM9" s="142" t="s">
        <v>288</v>
      </c>
      <c r="AN9" s="137"/>
      <c r="AO9" s="140" t="s">
        <v>279</v>
      </c>
      <c r="AP9" s="143"/>
      <c r="AQ9" s="99">
        <v>3</v>
      </c>
      <c r="AR9" s="120">
        <v>1786</v>
      </c>
      <c r="AS9" s="120">
        <v>124</v>
      </c>
      <c r="AT9" s="151">
        <f t="shared" si="0"/>
        <v>148.79999999999998</v>
      </c>
      <c r="AU9" s="459">
        <v>10</v>
      </c>
      <c r="AV9" s="120">
        <v>7000</v>
      </c>
      <c r="AW9" s="149">
        <v>0.25</v>
      </c>
      <c r="AX9" s="120" t="s">
        <v>163</v>
      </c>
      <c r="AY9" s="120" t="s">
        <v>163</v>
      </c>
      <c r="AZ9" s="120" t="s">
        <v>163</v>
      </c>
      <c r="BA9" s="120" t="s">
        <v>163</v>
      </c>
      <c r="BB9" s="120" t="s">
        <v>163</v>
      </c>
      <c r="BC9" s="137"/>
      <c r="BD9" s="140" t="s">
        <v>280</v>
      </c>
      <c r="BE9" s="143"/>
      <c r="BF9" s="91">
        <v>3</v>
      </c>
      <c r="BG9" s="120">
        <v>755</v>
      </c>
      <c r="BH9" s="120">
        <v>168</v>
      </c>
      <c r="BI9" s="151">
        <f t="shared" si="1"/>
        <v>126</v>
      </c>
      <c r="BJ9" s="459">
        <v>10</v>
      </c>
      <c r="BK9" s="150">
        <v>12000</v>
      </c>
      <c r="BL9" s="149">
        <v>0.25</v>
      </c>
      <c r="BM9" s="120" t="s">
        <v>163</v>
      </c>
      <c r="BN9" s="120" t="s">
        <v>163</v>
      </c>
      <c r="BO9" s="120" t="s">
        <v>163</v>
      </c>
      <c r="BP9" s="120" t="s">
        <v>163</v>
      </c>
      <c r="BQ9" s="120" t="s">
        <v>163</v>
      </c>
      <c r="BR9" s="202"/>
      <c r="BS9" s="202"/>
      <c r="BT9" s="202"/>
    </row>
    <row r="10" spans="1:72" ht="14.6">
      <c r="A10" s="120" t="s">
        <v>289</v>
      </c>
      <c r="B10" s="92">
        <v>10</v>
      </c>
      <c r="C10" s="384" t="s">
        <v>290</v>
      </c>
      <c r="D10" s="435" t="s">
        <v>291</v>
      </c>
      <c r="E10" s="142"/>
      <c r="F10" s="95"/>
      <c r="G10" s="345"/>
      <c r="H10" s="90">
        <v>5</v>
      </c>
      <c r="I10" s="120">
        <v>105</v>
      </c>
      <c r="J10" s="120">
        <v>23</v>
      </c>
      <c r="K10" s="150">
        <v>650000</v>
      </c>
      <c r="L10" s="149">
        <v>1</v>
      </c>
      <c r="M10" s="137"/>
      <c r="N10" s="137"/>
      <c r="O10" s="133"/>
      <c r="P10" s="95"/>
      <c r="Q10" s="345"/>
      <c r="R10" s="90">
        <v>5</v>
      </c>
      <c r="S10" s="120">
        <v>40</v>
      </c>
      <c r="T10" s="120">
        <v>20</v>
      </c>
      <c r="U10" s="150">
        <v>800000</v>
      </c>
      <c r="V10" s="149">
        <v>1</v>
      </c>
      <c r="W10" s="137"/>
      <c r="X10" s="137"/>
      <c r="Y10" s="133"/>
      <c r="Z10" s="95"/>
      <c r="AA10" s="345"/>
      <c r="AB10" s="90">
        <v>5</v>
      </c>
      <c r="AC10" s="120">
        <v>720</v>
      </c>
      <c r="AD10" s="120">
        <v>31</v>
      </c>
      <c r="AE10" s="120">
        <v>62</v>
      </c>
      <c r="AF10" s="150">
        <v>1200000</v>
      </c>
      <c r="AG10" s="149">
        <v>1</v>
      </c>
      <c r="AH10" s="133"/>
      <c r="AI10" s="133"/>
      <c r="AJ10" s="133"/>
      <c r="AK10" s="133"/>
      <c r="AL10" s="133"/>
      <c r="AM10" s="142" t="s">
        <v>292</v>
      </c>
      <c r="AN10" s="137"/>
      <c r="AO10" s="134" t="s">
        <v>293</v>
      </c>
      <c r="AP10" s="135" t="s">
        <v>294</v>
      </c>
      <c r="AQ10" s="99">
        <v>4</v>
      </c>
      <c r="AR10" s="120">
        <v>1830</v>
      </c>
      <c r="AS10" s="120">
        <v>127</v>
      </c>
      <c r="AT10" s="151">
        <f t="shared" si="0"/>
        <v>152.4</v>
      </c>
      <c r="AU10" s="459">
        <v>10</v>
      </c>
      <c r="AV10" s="120">
        <v>8000</v>
      </c>
      <c r="AW10" s="149">
        <v>0.33333333333333298</v>
      </c>
      <c r="AX10" s="120" t="s">
        <v>163</v>
      </c>
      <c r="AY10" s="120" t="s">
        <v>163</v>
      </c>
      <c r="AZ10" s="120" t="s">
        <v>163</v>
      </c>
      <c r="BA10" s="120" t="s">
        <v>163</v>
      </c>
      <c r="BB10" s="120" t="s">
        <v>163</v>
      </c>
      <c r="BC10" s="137"/>
      <c r="BD10" s="134" t="s">
        <v>293</v>
      </c>
      <c r="BE10" s="135" t="s">
        <v>294</v>
      </c>
      <c r="BF10" s="91">
        <v>4</v>
      </c>
      <c r="BG10" s="120">
        <v>771</v>
      </c>
      <c r="BH10" s="120">
        <v>172</v>
      </c>
      <c r="BI10" s="151">
        <f t="shared" si="1"/>
        <v>129</v>
      </c>
      <c r="BJ10" s="459">
        <v>10</v>
      </c>
      <c r="BK10" s="150">
        <v>13000</v>
      </c>
      <c r="BL10" s="149">
        <v>0.33333333333333298</v>
      </c>
      <c r="BM10" s="120" t="s">
        <v>163</v>
      </c>
      <c r="BN10" s="120" t="s">
        <v>163</v>
      </c>
      <c r="BO10" s="120" t="s">
        <v>163</v>
      </c>
      <c r="BP10" s="120" t="s">
        <v>163</v>
      </c>
      <c r="BQ10" s="120" t="s">
        <v>163</v>
      </c>
      <c r="BR10" s="202"/>
      <c r="BS10" s="202"/>
      <c r="BT10" s="202"/>
    </row>
    <row r="11" spans="1:72" ht="14.6">
      <c r="A11" s="120" t="s">
        <v>295</v>
      </c>
      <c r="B11" s="93">
        <v>11</v>
      </c>
      <c r="C11" s="384" t="s">
        <v>296</v>
      </c>
      <c r="D11" s="435" t="s">
        <v>297</v>
      </c>
      <c r="E11" s="142"/>
      <c r="F11" s="346"/>
      <c r="G11" s="347"/>
      <c r="H11" s="91">
        <v>6</v>
      </c>
      <c r="I11" s="120">
        <v>125</v>
      </c>
      <c r="J11" s="120">
        <v>26</v>
      </c>
      <c r="K11" s="150">
        <v>1400000</v>
      </c>
      <c r="L11" s="149">
        <v>1.5</v>
      </c>
      <c r="M11" s="137"/>
      <c r="N11" s="137"/>
      <c r="O11" s="133"/>
      <c r="P11" s="346"/>
      <c r="Q11" s="347"/>
      <c r="R11" s="91">
        <v>6</v>
      </c>
      <c r="S11" s="120">
        <v>44</v>
      </c>
      <c r="T11" s="120">
        <v>22</v>
      </c>
      <c r="U11" s="150">
        <v>2000000</v>
      </c>
      <c r="V11" s="149">
        <v>1.5</v>
      </c>
      <c r="W11" s="137"/>
      <c r="X11" s="137"/>
      <c r="Y11" s="133"/>
      <c r="Z11" s="346"/>
      <c r="AA11" s="347"/>
      <c r="AB11" s="91">
        <v>6</v>
      </c>
      <c r="AC11" s="120">
        <v>940</v>
      </c>
      <c r="AD11" s="120">
        <v>43</v>
      </c>
      <c r="AE11" s="120">
        <v>86</v>
      </c>
      <c r="AF11" s="150">
        <v>2000000</v>
      </c>
      <c r="AG11" s="149">
        <v>2</v>
      </c>
      <c r="AH11" s="133"/>
      <c r="AI11" s="133"/>
      <c r="AJ11" s="133"/>
      <c r="AK11" s="133"/>
      <c r="AL11" s="133"/>
      <c r="AM11" s="142" t="s">
        <v>298</v>
      </c>
      <c r="AN11" s="137"/>
      <c r="AO11" s="137" t="s">
        <v>299</v>
      </c>
      <c r="AP11" s="138" t="s">
        <v>300</v>
      </c>
      <c r="AQ11" s="99">
        <v>5</v>
      </c>
      <c r="AR11" s="120">
        <v>1876</v>
      </c>
      <c r="AS11" s="120">
        <v>129</v>
      </c>
      <c r="AT11" s="151">
        <f t="shared" si="0"/>
        <v>154.79999999999998</v>
      </c>
      <c r="AU11" s="459">
        <v>12</v>
      </c>
      <c r="AV11" s="150">
        <v>10000</v>
      </c>
      <c r="AW11" s="149">
        <v>0.41666666666666702</v>
      </c>
      <c r="AX11" s="120">
        <v>1</v>
      </c>
      <c r="AY11" s="120">
        <v>500</v>
      </c>
      <c r="AZ11" s="120">
        <v>18</v>
      </c>
      <c r="BA11" s="120">
        <v>56</v>
      </c>
      <c r="BB11" s="120">
        <v>6</v>
      </c>
      <c r="BC11" s="137"/>
      <c r="BD11" s="137" t="s">
        <v>299</v>
      </c>
      <c r="BE11" s="138" t="s">
        <v>301</v>
      </c>
      <c r="BF11" s="91">
        <v>5</v>
      </c>
      <c r="BG11" s="120">
        <v>787</v>
      </c>
      <c r="BH11" s="120">
        <v>176</v>
      </c>
      <c r="BI11" s="151">
        <f t="shared" si="1"/>
        <v>132</v>
      </c>
      <c r="BJ11" s="459">
        <v>12</v>
      </c>
      <c r="BK11" s="150">
        <v>15000</v>
      </c>
      <c r="BL11" s="149">
        <v>0.41666666666666702</v>
      </c>
      <c r="BM11" s="120">
        <v>1</v>
      </c>
      <c r="BN11" s="120">
        <v>150</v>
      </c>
      <c r="BO11" s="139">
        <v>3.6</v>
      </c>
      <c r="BP11" s="120">
        <v>300</v>
      </c>
      <c r="BQ11" s="120">
        <v>5</v>
      </c>
      <c r="BR11" s="202"/>
      <c r="BS11" s="202"/>
      <c r="BT11" s="202"/>
    </row>
    <row r="12" spans="1:72" ht="14.6">
      <c r="A12" s="120" t="s">
        <v>302</v>
      </c>
      <c r="B12" s="94">
        <v>12</v>
      </c>
      <c r="C12" s="384" t="s">
        <v>303</v>
      </c>
      <c r="D12" s="435" t="s">
        <v>304</v>
      </c>
      <c r="E12" s="142"/>
      <c r="F12" s="95" t="s">
        <v>305</v>
      </c>
      <c r="G12" s="344"/>
      <c r="H12" s="92">
        <v>7</v>
      </c>
      <c r="I12" s="120">
        <v>160</v>
      </c>
      <c r="J12" s="120">
        <v>30</v>
      </c>
      <c r="K12" s="150">
        <v>2100000</v>
      </c>
      <c r="L12" s="149">
        <v>2.5</v>
      </c>
      <c r="M12" s="137"/>
      <c r="N12" s="137"/>
      <c r="O12" s="133"/>
      <c r="P12" s="95" t="s">
        <v>305</v>
      </c>
      <c r="Q12" s="344"/>
      <c r="R12" s="92">
        <v>7</v>
      </c>
      <c r="S12" s="120">
        <v>48</v>
      </c>
      <c r="T12" s="120">
        <v>25</v>
      </c>
      <c r="U12" s="150">
        <v>2500000</v>
      </c>
      <c r="V12" s="149">
        <v>2.5</v>
      </c>
      <c r="W12" s="137"/>
      <c r="X12" s="137"/>
      <c r="Y12" s="133"/>
      <c r="Z12" s="95" t="s">
        <v>306</v>
      </c>
      <c r="AA12" s="344"/>
      <c r="AB12" s="92">
        <v>7</v>
      </c>
      <c r="AC12" s="120">
        <v>1280</v>
      </c>
      <c r="AD12" s="120">
        <v>55</v>
      </c>
      <c r="AE12" s="120">
        <v>110</v>
      </c>
      <c r="AF12" s="150">
        <v>3000000</v>
      </c>
      <c r="AG12" s="149">
        <v>3.5</v>
      </c>
      <c r="AH12" s="133"/>
      <c r="AI12" s="133"/>
      <c r="AJ12" s="133"/>
      <c r="AK12" s="133"/>
      <c r="AL12" s="133"/>
      <c r="AM12" s="142" t="s">
        <v>307</v>
      </c>
      <c r="AN12" s="137"/>
      <c r="AO12" s="140" t="s">
        <v>308</v>
      </c>
      <c r="AP12" s="143" t="s">
        <v>309</v>
      </c>
      <c r="AQ12" s="90">
        <v>6</v>
      </c>
      <c r="AR12" s="120">
        <v>1923</v>
      </c>
      <c r="AS12" s="120">
        <v>132</v>
      </c>
      <c r="AT12" s="151">
        <f t="shared" si="0"/>
        <v>158.4</v>
      </c>
      <c r="AU12" s="459">
        <v>12</v>
      </c>
      <c r="AV12" s="150">
        <v>11000</v>
      </c>
      <c r="AW12" s="149">
        <v>0.5</v>
      </c>
      <c r="AX12" s="120">
        <v>1</v>
      </c>
      <c r="AY12" s="120">
        <v>500</v>
      </c>
      <c r="AZ12" s="120">
        <v>18</v>
      </c>
      <c r="BA12" s="120">
        <v>56</v>
      </c>
      <c r="BB12" s="120">
        <v>6</v>
      </c>
      <c r="BC12" s="137"/>
      <c r="BD12" s="140" t="s">
        <v>308</v>
      </c>
      <c r="BE12" s="143" t="s">
        <v>310</v>
      </c>
      <c r="BF12" s="91">
        <v>6</v>
      </c>
      <c r="BG12" s="120">
        <v>804</v>
      </c>
      <c r="BH12" s="120">
        <v>181</v>
      </c>
      <c r="BI12" s="151">
        <f t="shared" si="1"/>
        <v>135.75</v>
      </c>
      <c r="BJ12" s="459">
        <v>12</v>
      </c>
      <c r="BK12" s="150">
        <v>16000</v>
      </c>
      <c r="BL12" s="149">
        <v>0.5</v>
      </c>
      <c r="BM12" s="120">
        <v>1</v>
      </c>
      <c r="BN12" s="120">
        <v>150</v>
      </c>
      <c r="BO12" s="139">
        <v>3.6</v>
      </c>
      <c r="BP12" s="120">
        <v>300</v>
      </c>
      <c r="BQ12" s="120">
        <v>5</v>
      </c>
      <c r="BR12" s="202"/>
      <c r="BS12" s="202"/>
      <c r="BT12" s="202"/>
    </row>
    <row r="13" spans="1:72" ht="14.6">
      <c r="A13" s="120" t="s">
        <v>311</v>
      </c>
      <c r="B13" s="100">
        <v>13</v>
      </c>
      <c r="C13" s="384" t="s">
        <v>312</v>
      </c>
      <c r="D13" s="435" t="s">
        <v>313</v>
      </c>
      <c r="E13" s="142"/>
      <c r="F13" s="95" t="s">
        <v>314</v>
      </c>
      <c r="G13" s="345"/>
      <c r="H13" s="93">
        <v>8</v>
      </c>
      <c r="I13" s="120">
        <v>205</v>
      </c>
      <c r="J13" s="120">
        <v>34</v>
      </c>
      <c r="K13" s="150">
        <v>2800000</v>
      </c>
      <c r="L13" s="149">
        <v>3</v>
      </c>
      <c r="M13" s="137"/>
      <c r="N13" s="137"/>
      <c r="O13" s="133"/>
      <c r="P13" s="95" t="s">
        <v>315</v>
      </c>
      <c r="Q13" s="345"/>
      <c r="R13" s="93">
        <v>8</v>
      </c>
      <c r="S13" s="120">
        <v>52</v>
      </c>
      <c r="T13" s="120">
        <v>28</v>
      </c>
      <c r="U13" s="150">
        <v>3200000</v>
      </c>
      <c r="V13" s="149">
        <v>3.5</v>
      </c>
      <c r="W13" s="137"/>
      <c r="X13" s="137"/>
      <c r="Y13" s="133"/>
      <c r="Z13" s="95" t="s">
        <v>316</v>
      </c>
      <c r="AA13" s="345"/>
      <c r="AB13" s="93">
        <v>8</v>
      </c>
      <c r="AC13" s="120">
        <v>1500</v>
      </c>
      <c r="AD13" s="120">
        <v>62</v>
      </c>
      <c r="AE13" s="120">
        <v>124</v>
      </c>
      <c r="AF13" s="150">
        <v>3500000</v>
      </c>
      <c r="AG13" s="149">
        <v>5.5</v>
      </c>
      <c r="AH13" s="133"/>
      <c r="AI13" s="133"/>
      <c r="AJ13" s="133"/>
      <c r="AK13" s="133"/>
      <c r="AL13" s="133"/>
      <c r="AM13" s="133"/>
      <c r="AN13" s="137"/>
      <c r="AO13" s="134" t="s">
        <v>317</v>
      </c>
      <c r="AP13" s="135" t="s">
        <v>318</v>
      </c>
      <c r="AQ13" s="90">
        <v>7</v>
      </c>
      <c r="AR13" s="120">
        <v>1971</v>
      </c>
      <c r="AS13" s="120">
        <v>135</v>
      </c>
      <c r="AT13" s="151">
        <f t="shared" si="0"/>
        <v>162</v>
      </c>
      <c r="AU13" s="459">
        <v>12</v>
      </c>
      <c r="AV13" s="150">
        <v>12000</v>
      </c>
      <c r="AW13" s="149">
        <v>0.58333333333333304</v>
      </c>
      <c r="AX13" s="120">
        <v>1</v>
      </c>
      <c r="AY13" s="120">
        <v>500</v>
      </c>
      <c r="AZ13" s="120">
        <v>18</v>
      </c>
      <c r="BA13" s="120">
        <v>56</v>
      </c>
      <c r="BB13" s="120">
        <v>6</v>
      </c>
      <c r="BC13" s="137"/>
      <c r="BD13" s="134" t="s">
        <v>317</v>
      </c>
      <c r="BE13" s="135" t="s">
        <v>319</v>
      </c>
      <c r="BF13" s="91">
        <v>7</v>
      </c>
      <c r="BG13" s="120">
        <v>821</v>
      </c>
      <c r="BH13" s="120">
        <v>185</v>
      </c>
      <c r="BI13" s="151">
        <f t="shared" si="1"/>
        <v>138.75</v>
      </c>
      <c r="BJ13" s="459">
        <v>12</v>
      </c>
      <c r="BK13" s="150">
        <v>17000</v>
      </c>
      <c r="BL13" s="149">
        <v>0.58333333333333304</v>
      </c>
      <c r="BM13" s="120">
        <v>1</v>
      </c>
      <c r="BN13" s="120">
        <v>150</v>
      </c>
      <c r="BO13" s="139">
        <v>3.6</v>
      </c>
      <c r="BP13" s="120">
        <v>300</v>
      </c>
      <c r="BQ13" s="120">
        <v>5</v>
      </c>
      <c r="BR13" s="202"/>
      <c r="BS13" s="202"/>
      <c r="BT13" s="202"/>
    </row>
    <row r="14" spans="1:72" ht="14.6">
      <c r="A14" s="123" t="s">
        <v>320</v>
      </c>
      <c r="B14" s="121">
        <v>14</v>
      </c>
      <c r="C14" s="384" t="s">
        <v>321</v>
      </c>
      <c r="D14" s="435" t="s">
        <v>322</v>
      </c>
      <c r="E14" s="142"/>
      <c r="F14" s="95" t="s">
        <v>323</v>
      </c>
      <c r="G14" s="345"/>
      <c r="H14" s="94">
        <v>9</v>
      </c>
      <c r="I14" s="120">
        <v>230</v>
      </c>
      <c r="J14" s="120">
        <v>38</v>
      </c>
      <c r="K14" s="150">
        <v>5600000</v>
      </c>
      <c r="L14" s="149">
        <v>7</v>
      </c>
      <c r="M14" s="137"/>
      <c r="N14" s="137"/>
      <c r="O14" s="133"/>
      <c r="P14" s="95" t="s">
        <v>323</v>
      </c>
      <c r="Q14" s="345"/>
      <c r="R14" s="94">
        <v>9</v>
      </c>
      <c r="S14" s="120">
        <v>56</v>
      </c>
      <c r="T14" s="120">
        <v>31</v>
      </c>
      <c r="U14" s="150">
        <v>6300000</v>
      </c>
      <c r="V14" s="149">
        <v>7</v>
      </c>
      <c r="W14" s="137"/>
      <c r="X14" s="137"/>
      <c r="Y14" s="133"/>
      <c r="Z14" s="95" t="s">
        <v>324</v>
      </c>
      <c r="AA14" s="138"/>
      <c r="AB14" s="94">
        <v>9</v>
      </c>
      <c r="AC14" s="120">
        <v>1850</v>
      </c>
      <c r="AD14" s="120">
        <v>70</v>
      </c>
      <c r="AE14" s="120">
        <v>140</v>
      </c>
      <c r="AF14" s="150">
        <v>6300000</v>
      </c>
      <c r="AG14" s="149">
        <v>9</v>
      </c>
      <c r="AH14" s="133"/>
      <c r="AI14" s="133"/>
      <c r="AJ14" s="133"/>
      <c r="AK14" s="133"/>
      <c r="AL14" s="133"/>
      <c r="AM14" s="133"/>
      <c r="AN14" s="137"/>
      <c r="AO14" s="137" t="s">
        <v>325</v>
      </c>
      <c r="AP14" s="138" t="s">
        <v>326</v>
      </c>
      <c r="AQ14" s="90">
        <v>8</v>
      </c>
      <c r="AR14" s="120">
        <v>2020</v>
      </c>
      <c r="AS14" s="120">
        <v>137</v>
      </c>
      <c r="AT14" s="151">
        <f t="shared" si="0"/>
        <v>164.4</v>
      </c>
      <c r="AU14" s="459">
        <v>12</v>
      </c>
      <c r="AV14" s="150">
        <v>13000</v>
      </c>
      <c r="AW14" s="149">
        <v>0.66666666666666696</v>
      </c>
      <c r="AX14" s="120">
        <v>1</v>
      </c>
      <c r="AY14" s="120">
        <v>500</v>
      </c>
      <c r="AZ14" s="120">
        <v>18</v>
      </c>
      <c r="BA14" s="120">
        <v>56</v>
      </c>
      <c r="BB14" s="120">
        <v>6</v>
      </c>
      <c r="BC14" s="137"/>
      <c r="BD14" s="137" t="s">
        <v>327</v>
      </c>
      <c r="BE14" s="138" t="s">
        <v>11</v>
      </c>
      <c r="BF14" s="91">
        <v>8</v>
      </c>
      <c r="BG14" s="120">
        <v>838</v>
      </c>
      <c r="BH14" s="120">
        <v>190</v>
      </c>
      <c r="BI14" s="151">
        <f t="shared" si="1"/>
        <v>142.5</v>
      </c>
      <c r="BJ14" s="459">
        <v>12</v>
      </c>
      <c r="BK14" s="150">
        <v>18000</v>
      </c>
      <c r="BL14" s="149">
        <v>0.66666666666666696</v>
      </c>
      <c r="BM14" s="120">
        <v>1</v>
      </c>
      <c r="BN14" s="120">
        <v>150</v>
      </c>
      <c r="BO14" s="139">
        <v>3.6</v>
      </c>
      <c r="BP14" s="120">
        <v>300</v>
      </c>
      <c r="BQ14" s="120">
        <v>5</v>
      </c>
      <c r="BR14" s="202"/>
      <c r="BS14" s="202"/>
      <c r="BT14" s="202"/>
    </row>
    <row r="15" spans="1:72" ht="14.6">
      <c r="A15" s="123" t="s">
        <v>328</v>
      </c>
      <c r="B15" s="122">
        <v>15</v>
      </c>
      <c r="C15" s="384" t="s">
        <v>329</v>
      </c>
      <c r="D15" s="435" t="s">
        <v>330</v>
      </c>
      <c r="E15" s="142"/>
      <c r="F15" s="137"/>
      <c r="G15" s="345"/>
      <c r="H15" s="121">
        <v>10</v>
      </c>
      <c r="I15" s="120">
        <v>250</v>
      </c>
      <c r="J15" s="120">
        <v>42</v>
      </c>
      <c r="K15" s="150">
        <v>14000000</v>
      </c>
      <c r="L15" s="149">
        <v>13</v>
      </c>
      <c r="M15" s="137"/>
      <c r="N15" s="137"/>
      <c r="O15" s="133"/>
      <c r="P15" s="137"/>
      <c r="Q15" s="345"/>
      <c r="R15" s="121">
        <v>10</v>
      </c>
      <c r="S15" s="120">
        <v>60</v>
      </c>
      <c r="T15" s="120">
        <v>34</v>
      </c>
      <c r="U15" s="150">
        <v>14500000</v>
      </c>
      <c r="V15" s="149">
        <v>13</v>
      </c>
      <c r="W15" s="137"/>
      <c r="X15" s="137"/>
      <c r="Y15" s="137"/>
      <c r="Z15" s="137"/>
      <c r="AA15" s="345"/>
      <c r="AB15" s="100">
        <v>10</v>
      </c>
      <c r="AC15" s="120">
        <v>2000</v>
      </c>
      <c r="AD15" s="120">
        <v>78</v>
      </c>
      <c r="AE15" s="120">
        <v>156</v>
      </c>
      <c r="AF15" s="150">
        <v>10000000</v>
      </c>
      <c r="AG15" s="149">
        <v>11.25</v>
      </c>
      <c r="AH15" s="133"/>
      <c r="AI15" s="133"/>
      <c r="AJ15" s="133"/>
      <c r="AK15" s="133"/>
      <c r="AL15" s="133"/>
      <c r="AM15" s="133"/>
      <c r="AN15" s="137"/>
      <c r="AO15" s="137" t="s">
        <v>327</v>
      </c>
      <c r="AP15" s="138" t="s">
        <v>4</v>
      </c>
      <c r="AQ15" s="90">
        <v>9</v>
      </c>
      <c r="AR15" s="120">
        <v>2071</v>
      </c>
      <c r="AS15" s="120">
        <v>140</v>
      </c>
      <c r="AT15" s="151">
        <f t="shared" si="0"/>
        <v>168</v>
      </c>
      <c r="AU15" s="459">
        <v>12</v>
      </c>
      <c r="AV15" s="150">
        <v>14000</v>
      </c>
      <c r="AW15" s="149">
        <v>0.75</v>
      </c>
      <c r="AX15" s="120">
        <v>1</v>
      </c>
      <c r="AY15" s="120">
        <v>500</v>
      </c>
      <c r="AZ15" s="120">
        <v>18</v>
      </c>
      <c r="BA15" s="120">
        <v>56</v>
      </c>
      <c r="BB15" s="120">
        <v>6</v>
      </c>
      <c r="BC15" s="137"/>
      <c r="BD15" s="95" t="s">
        <v>331</v>
      </c>
      <c r="BE15" s="138"/>
      <c r="BF15" s="91">
        <v>9</v>
      </c>
      <c r="BG15" s="120">
        <v>856</v>
      </c>
      <c r="BH15" s="120">
        <v>194</v>
      </c>
      <c r="BI15" s="151">
        <f t="shared" si="1"/>
        <v>145.5</v>
      </c>
      <c r="BJ15" s="459">
        <v>12</v>
      </c>
      <c r="BK15" s="150">
        <v>19000</v>
      </c>
      <c r="BL15" s="149">
        <v>0.75</v>
      </c>
      <c r="BM15" s="120">
        <v>1</v>
      </c>
      <c r="BN15" s="120">
        <v>150</v>
      </c>
      <c r="BO15" s="139">
        <v>3.6</v>
      </c>
      <c r="BP15" s="120">
        <v>300</v>
      </c>
      <c r="BQ15" s="120">
        <v>5</v>
      </c>
      <c r="BR15" s="202"/>
      <c r="BS15" s="202"/>
      <c r="BT15" s="202"/>
    </row>
    <row r="16" spans="1:72" ht="14.6">
      <c r="A16" s="133"/>
      <c r="B16" s="137"/>
      <c r="C16" s="137"/>
      <c r="D16" s="435" t="s">
        <v>332</v>
      </c>
      <c r="E16" s="142"/>
      <c r="F16" s="137"/>
      <c r="G16" s="345"/>
      <c r="H16" s="122">
        <v>11</v>
      </c>
      <c r="I16" s="120">
        <v>270</v>
      </c>
      <c r="J16" s="120">
        <v>45</v>
      </c>
      <c r="K16" s="150">
        <v>16000000</v>
      </c>
      <c r="L16" s="149">
        <v>14</v>
      </c>
      <c r="M16" s="137"/>
      <c r="N16" s="137"/>
      <c r="O16" s="133"/>
      <c r="P16" s="133"/>
      <c r="Q16" s="345"/>
      <c r="R16" s="122">
        <v>11</v>
      </c>
      <c r="S16" s="120">
        <v>64</v>
      </c>
      <c r="T16" s="120">
        <v>37</v>
      </c>
      <c r="U16" s="150">
        <v>16000000</v>
      </c>
      <c r="V16" s="149">
        <v>14</v>
      </c>
      <c r="W16" s="133"/>
      <c r="X16" s="133"/>
      <c r="Y16" s="133"/>
      <c r="Z16" s="137"/>
      <c r="AA16" s="345"/>
      <c r="AB16" s="122">
        <v>11</v>
      </c>
      <c r="AC16" s="120">
        <v>2000</v>
      </c>
      <c r="AD16" s="120">
        <v>86</v>
      </c>
      <c r="AE16" s="120">
        <v>172</v>
      </c>
      <c r="AF16" s="150">
        <v>16500000</v>
      </c>
      <c r="AG16" s="149">
        <v>16</v>
      </c>
      <c r="AH16" s="133"/>
      <c r="AI16" s="133"/>
      <c r="AJ16" s="133"/>
      <c r="AK16" s="133"/>
      <c r="AL16" s="133"/>
      <c r="AM16" s="133"/>
      <c r="AN16" s="137"/>
      <c r="AO16" s="137" t="s">
        <v>333</v>
      </c>
      <c r="AP16" s="345">
        <v>250</v>
      </c>
      <c r="AQ16" s="90">
        <v>10</v>
      </c>
      <c r="AR16" s="460">
        <v>2123</v>
      </c>
      <c r="AS16" s="460">
        <v>143</v>
      </c>
      <c r="AT16" s="461">
        <f t="shared" si="0"/>
        <v>171.6</v>
      </c>
      <c r="AU16" s="462">
        <v>14</v>
      </c>
      <c r="AV16" s="463">
        <v>15000</v>
      </c>
      <c r="AW16" s="467">
        <v>0.83333333333333304</v>
      </c>
      <c r="AX16" s="460">
        <v>2</v>
      </c>
      <c r="AY16" s="460">
        <v>620</v>
      </c>
      <c r="AZ16" s="460">
        <v>19</v>
      </c>
      <c r="BA16" s="460">
        <v>101</v>
      </c>
      <c r="BB16" s="460">
        <v>8</v>
      </c>
      <c r="BC16" s="137"/>
      <c r="BD16" s="137" t="s">
        <v>333</v>
      </c>
      <c r="BE16" s="345">
        <v>250</v>
      </c>
      <c r="BF16" s="91">
        <v>10</v>
      </c>
      <c r="BG16" s="120">
        <v>874</v>
      </c>
      <c r="BH16" s="120">
        <v>199</v>
      </c>
      <c r="BI16" s="151">
        <f t="shared" si="1"/>
        <v>149.25</v>
      </c>
      <c r="BJ16" s="459">
        <v>14</v>
      </c>
      <c r="BK16" s="150">
        <v>20000</v>
      </c>
      <c r="BL16" s="149">
        <v>0.83333333333333304</v>
      </c>
      <c r="BM16" s="120">
        <v>2</v>
      </c>
      <c r="BN16" s="120">
        <v>175</v>
      </c>
      <c r="BO16" s="139">
        <v>3.8</v>
      </c>
      <c r="BP16" s="120">
        <v>355</v>
      </c>
      <c r="BQ16" s="120">
        <v>6</v>
      </c>
      <c r="BR16" s="202"/>
      <c r="BS16" s="202"/>
      <c r="BT16" s="202"/>
    </row>
    <row r="17" spans="1:72" ht="14.6">
      <c r="A17" s="133"/>
      <c r="B17" s="386"/>
      <c r="C17" s="137"/>
      <c r="D17" s="341" t="s">
        <v>334</v>
      </c>
      <c r="E17" s="142"/>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3"/>
      <c r="AI17" s="133"/>
      <c r="AJ17" s="133"/>
      <c r="AK17" s="133"/>
      <c r="AL17" s="133"/>
      <c r="AM17" s="133"/>
      <c r="AN17" s="137"/>
      <c r="AO17" s="95" t="s">
        <v>335</v>
      </c>
      <c r="AP17" s="138"/>
      <c r="AQ17" s="91">
        <v>11</v>
      </c>
      <c r="AR17" s="120">
        <v>2176</v>
      </c>
      <c r="AS17" s="120">
        <v>146</v>
      </c>
      <c r="AT17" s="464">
        <f t="shared" si="0"/>
        <v>175.2</v>
      </c>
      <c r="AU17" s="465">
        <v>14</v>
      </c>
      <c r="AV17" s="466">
        <v>17000</v>
      </c>
      <c r="AW17" s="149">
        <v>0.91666666666666696</v>
      </c>
      <c r="AX17" s="120">
        <v>2</v>
      </c>
      <c r="AY17" s="120">
        <v>620</v>
      </c>
      <c r="AZ17" s="120">
        <v>19</v>
      </c>
      <c r="BA17" s="120">
        <v>101</v>
      </c>
      <c r="BB17" s="120">
        <v>8</v>
      </c>
      <c r="BC17" s="137"/>
      <c r="BD17" s="140" t="s">
        <v>336</v>
      </c>
      <c r="BE17" s="143"/>
      <c r="BF17" s="91">
        <v>11</v>
      </c>
      <c r="BG17" s="120">
        <v>892</v>
      </c>
      <c r="BH17" s="120">
        <v>204</v>
      </c>
      <c r="BI17" s="151">
        <f t="shared" si="1"/>
        <v>153</v>
      </c>
      <c r="BJ17" s="459">
        <v>14</v>
      </c>
      <c r="BK17" s="150">
        <v>22000</v>
      </c>
      <c r="BL17" s="149">
        <v>0.91666666666666696</v>
      </c>
      <c r="BM17" s="120">
        <v>2</v>
      </c>
      <c r="BN17" s="120">
        <v>175</v>
      </c>
      <c r="BO17" s="139">
        <v>3.8</v>
      </c>
      <c r="BP17" s="120">
        <v>355</v>
      </c>
      <c r="BQ17" s="120">
        <v>6</v>
      </c>
      <c r="BR17" s="202"/>
      <c r="BS17" s="202"/>
      <c r="BT17" s="202"/>
    </row>
    <row r="18" spans="1:72" ht="14.6">
      <c r="A18" s="133"/>
      <c r="B18" s="137"/>
      <c r="C18" s="142"/>
      <c r="D18" s="341" t="s">
        <v>337</v>
      </c>
      <c r="E18" s="448"/>
      <c r="F18" s="137" t="s">
        <v>338</v>
      </c>
      <c r="G18" s="137"/>
      <c r="H18" s="137"/>
      <c r="I18" s="137"/>
      <c r="J18" s="137"/>
      <c r="K18" s="137"/>
      <c r="L18" s="137"/>
      <c r="M18" s="137"/>
      <c r="N18" s="137"/>
      <c r="O18" s="137"/>
      <c r="P18" s="133"/>
      <c r="Q18" s="133"/>
      <c r="R18" s="133"/>
      <c r="S18" s="133"/>
      <c r="T18" s="133"/>
      <c r="U18" s="133"/>
      <c r="V18" s="133"/>
      <c r="W18" s="133"/>
      <c r="X18" s="133"/>
      <c r="Y18" s="133"/>
      <c r="Z18" s="137" t="s">
        <v>339</v>
      </c>
      <c r="AA18" s="137"/>
      <c r="AB18" s="137" t="s">
        <v>340</v>
      </c>
      <c r="AC18" s="133"/>
      <c r="AD18" s="133"/>
      <c r="AE18" s="133"/>
      <c r="AF18" s="133"/>
      <c r="AG18" s="133"/>
      <c r="AH18" s="133"/>
      <c r="AI18" s="133"/>
      <c r="AJ18" s="133"/>
      <c r="AK18" s="133"/>
      <c r="AL18" s="133"/>
      <c r="AM18" s="133"/>
      <c r="AN18" s="137"/>
      <c r="AO18" s="140" t="s">
        <v>336</v>
      </c>
      <c r="AP18" s="143"/>
      <c r="AQ18" s="91">
        <v>12</v>
      </c>
      <c r="AR18" s="120">
        <v>2230</v>
      </c>
      <c r="AS18" s="120">
        <v>149</v>
      </c>
      <c r="AT18" s="151">
        <f t="shared" si="0"/>
        <v>178.79999999999998</v>
      </c>
      <c r="AU18" s="459">
        <v>14</v>
      </c>
      <c r="AV18" s="150">
        <v>19000</v>
      </c>
      <c r="AW18" s="149">
        <v>1</v>
      </c>
      <c r="AX18" s="120">
        <v>2</v>
      </c>
      <c r="AY18" s="120">
        <v>620</v>
      </c>
      <c r="AZ18" s="120">
        <v>19</v>
      </c>
      <c r="BA18" s="120">
        <v>101</v>
      </c>
      <c r="BB18" s="120">
        <v>8</v>
      </c>
      <c r="BC18" s="137"/>
      <c r="BD18" s="137" t="s">
        <v>341</v>
      </c>
      <c r="BE18" s="138"/>
      <c r="BF18" s="91">
        <v>12</v>
      </c>
      <c r="BG18" s="120">
        <v>911</v>
      </c>
      <c r="BH18" s="120">
        <v>209</v>
      </c>
      <c r="BI18" s="151">
        <f t="shared" si="1"/>
        <v>156.75</v>
      </c>
      <c r="BJ18" s="459">
        <v>14</v>
      </c>
      <c r="BK18" s="150">
        <v>24000</v>
      </c>
      <c r="BL18" s="149">
        <v>1</v>
      </c>
      <c r="BM18" s="120">
        <v>2</v>
      </c>
      <c r="BN18" s="120">
        <v>175</v>
      </c>
      <c r="BO18" s="139">
        <v>3.8</v>
      </c>
      <c r="BP18" s="120">
        <v>355</v>
      </c>
      <c r="BQ18" s="120">
        <v>6</v>
      </c>
      <c r="BR18" s="202"/>
      <c r="BS18" s="202"/>
      <c r="BT18" s="202"/>
    </row>
    <row r="19" spans="1:72" ht="14.6">
      <c r="A19" s="133"/>
      <c r="B19" s="137"/>
      <c r="C19" s="142"/>
      <c r="D19" s="341" t="s">
        <v>342</v>
      </c>
      <c r="E19" s="448"/>
      <c r="F19" s="342" t="s">
        <v>343</v>
      </c>
      <c r="G19" s="344"/>
      <c r="H19" s="136" t="s">
        <v>243</v>
      </c>
      <c r="I19" s="136" t="s">
        <v>244</v>
      </c>
      <c r="J19" s="136" t="s">
        <v>245</v>
      </c>
      <c r="K19" s="148" t="s">
        <v>344</v>
      </c>
      <c r="L19" s="136" t="s">
        <v>246</v>
      </c>
      <c r="M19" s="136" t="s">
        <v>247</v>
      </c>
      <c r="N19" s="137"/>
      <c r="O19" s="137"/>
      <c r="P19" s="133"/>
      <c r="Q19" s="133"/>
      <c r="R19" s="133"/>
      <c r="S19" s="133"/>
      <c r="T19" s="133"/>
      <c r="U19" s="133"/>
      <c r="V19" s="133"/>
      <c r="W19" s="133"/>
      <c r="X19" s="133"/>
      <c r="Y19" s="133"/>
      <c r="Z19" s="342" t="s">
        <v>249</v>
      </c>
      <c r="AA19" s="344"/>
      <c r="AB19" s="136" t="s">
        <v>243</v>
      </c>
      <c r="AC19" s="136" t="s">
        <v>244</v>
      </c>
      <c r="AD19" s="136" t="s">
        <v>245</v>
      </c>
      <c r="AE19" s="136" t="s">
        <v>250</v>
      </c>
      <c r="AF19" s="136" t="s">
        <v>345</v>
      </c>
      <c r="AG19" s="136" t="s">
        <v>246</v>
      </c>
      <c r="AH19" s="136" t="s">
        <v>247</v>
      </c>
      <c r="AI19" s="133"/>
      <c r="AJ19" s="133"/>
      <c r="AK19" s="133"/>
      <c r="AL19" s="133"/>
      <c r="AM19" s="133"/>
      <c r="AN19" s="137"/>
      <c r="AO19" s="137" t="s">
        <v>346</v>
      </c>
      <c r="AP19" s="138"/>
      <c r="AQ19" s="91">
        <v>13</v>
      </c>
      <c r="AR19" s="120">
        <v>2286</v>
      </c>
      <c r="AS19" s="120">
        <v>152</v>
      </c>
      <c r="AT19" s="151">
        <f t="shared" si="0"/>
        <v>182.4</v>
      </c>
      <c r="AU19" s="459">
        <v>14</v>
      </c>
      <c r="AV19" s="150">
        <v>21000</v>
      </c>
      <c r="AW19" s="149">
        <v>1.3333330000000001</v>
      </c>
      <c r="AX19" s="120">
        <v>2</v>
      </c>
      <c r="AY19" s="120">
        <v>620</v>
      </c>
      <c r="AZ19" s="120">
        <v>19</v>
      </c>
      <c r="BA19" s="120">
        <v>101</v>
      </c>
      <c r="BB19" s="120">
        <v>8</v>
      </c>
      <c r="BC19" s="137"/>
      <c r="BD19" s="137" t="s">
        <v>347</v>
      </c>
      <c r="BE19" s="138"/>
      <c r="BF19" s="91">
        <v>13</v>
      </c>
      <c r="BG19" s="120">
        <v>930</v>
      </c>
      <c r="BH19" s="120">
        <v>215</v>
      </c>
      <c r="BI19" s="151">
        <f t="shared" si="1"/>
        <v>161.25</v>
      </c>
      <c r="BJ19" s="459">
        <v>14</v>
      </c>
      <c r="BK19" s="150">
        <v>26000</v>
      </c>
      <c r="BL19" s="149">
        <v>1.3333330000000001</v>
      </c>
      <c r="BM19" s="120">
        <v>2</v>
      </c>
      <c r="BN19" s="120">
        <v>175</v>
      </c>
      <c r="BO19" s="139">
        <v>3.8</v>
      </c>
      <c r="BP19" s="120">
        <v>355</v>
      </c>
      <c r="BQ19" s="120">
        <v>6</v>
      </c>
      <c r="BR19" s="202"/>
      <c r="BS19" s="202"/>
      <c r="BT19" s="202"/>
    </row>
    <row r="20" spans="1:72">
      <c r="A20" s="133"/>
      <c r="B20" s="137"/>
      <c r="C20" s="142"/>
      <c r="D20" s="142"/>
      <c r="E20" s="448"/>
      <c r="F20" s="95" t="s">
        <v>258</v>
      </c>
      <c r="G20" s="345"/>
      <c r="H20" s="87">
        <v>1</v>
      </c>
      <c r="I20" s="120">
        <v>25</v>
      </c>
      <c r="J20" s="120">
        <v>11</v>
      </c>
      <c r="K20" s="120">
        <v>22</v>
      </c>
      <c r="L20" s="120"/>
      <c r="M20" s="149"/>
      <c r="N20" s="137"/>
      <c r="O20" s="137"/>
      <c r="P20" s="137" t="s">
        <v>348</v>
      </c>
      <c r="Q20" s="137"/>
      <c r="R20" s="137"/>
      <c r="S20" s="137"/>
      <c r="T20" s="137"/>
      <c r="U20" s="137"/>
      <c r="V20" s="137"/>
      <c r="W20" s="137"/>
      <c r="X20" s="137"/>
      <c r="Y20" s="137"/>
      <c r="Z20" s="95" t="s">
        <v>349</v>
      </c>
      <c r="AA20" s="345"/>
      <c r="AB20" s="87">
        <v>1</v>
      </c>
      <c r="AC20" s="120">
        <v>150</v>
      </c>
      <c r="AD20" s="120">
        <v>25</v>
      </c>
      <c r="AE20" s="120">
        <f>AD20*3</f>
        <v>75</v>
      </c>
      <c r="AF20" s="120">
        <v>25</v>
      </c>
      <c r="AG20" s="120"/>
      <c r="AH20" s="149"/>
      <c r="AI20" s="133"/>
      <c r="AJ20" s="133"/>
      <c r="AK20" s="133"/>
      <c r="AL20" s="133"/>
      <c r="AM20" s="133"/>
      <c r="AN20" s="137"/>
      <c r="AO20" s="137" t="s">
        <v>350</v>
      </c>
      <c r="AP20" s="138"/>
      <c r="AQ20" s="91">
        <v>14</v>
      </c>
      <c r="AR20" s="120">
        <v>2343</v>
      </c>
      <c r="AS20" s="120">
        <v>155</v>
      </c>
      <c r="AT20" s="151">
        <f t="shared" si="0"/>
        <v>186</v>
      </c>
      <c r="AU20" s="459">
        <v>14</v>
      </c>
      <c r="AV20" s="150">
        <v>23000</v>
      </c>
      <c r="AW20" s="149">
        <v>1.6666666699999999</v>
      </c>
      <c r="AX20" s="120">
        <v>2</v>
      </c>
      <c r="AY20" s="120">
        <v>620</v>
      </c>
      <c r="AZ20" s="120">
        <v>19</v>
      </c>
      <c r="BA20" s="120">
        <v>101</v>
      </c>
      <c r="BB20" s="120">
        <v>8</v>
      </c>
      <c r="BC20" s="137"/>
      <c r="BD20" s="137" t="s">
        <v>351</v>
      </c>
      <c r="BE20" s="138"/>
      <c r="BF20" s="91">
        <v>14</v>
      </c>
      <c r="BG20" s="120">
        <v>949</v>
      </c>
      <c r="BH20" s="120">
        <v>220</v>
      </c>
      <c r="BI20" s="151">
        <f t="shared" si="1"/>
        <v>165</v>
      </c>
      <c r="BJ20" s="459">
        <v>14</v>
      </c>
      <c r="BK20" s="150">
        <v>28000</v>
      </c>
      <c r="BL20" s="149">
        <v>1.6666666699999999</v>
      </c>
      <c r="BM20" s="120">
        <v>2</v>
      </c>
      <c r="BN20" s="120">
        <v>175</v>
      </c>
      <c r="BO20" s="139">
        <v>3.8</v>
      </c>
      <c r="BP20" s="120">
        <v>355</v>
      </c>
      <c r="BQ20" s="120">
        <v>6</v>
      </c>
      <c r="BR20" s="202"/>
      <c r="BS20" s="202"/>
      <c r="BT20" s="202"/>
    </row>
    <row r="21" spans="1:72">
      <c r="A21" s="133"/>
      <c r="B21" s="137"/>
      <c r="C21" s="137"/>
      <c r="D21" s="142" t="s">
        <v>292</v>
      </c>
      <c r="E21" s="448"/>
      <c r="F21" s="95" t="s">
        <v>272</v>
      </c>
      <c r="G21" s="345"/>
      <c r="H21" s="87">
        <v>2</v>
      </c>
      <c r="I21" s="120">
        <v>30</v>
      </c>
      <c r="J21" s="120">
        <v>14</v>
      </c>
      <c r="K21" s="120">
        <v>28</v>
      </c>
      <c r="L21" s="150">
        <v>45000</v>
      </c>
      <c r="M21" s="149">
        <v>0.20833333333333301</v>
      </c>
      <c r="N21" s="137"/>
      <c r="O21" s="137"/>
      <c r="P21" s="342" t="s">
        <v>352</v>
      </c>
      <c r="Q21" s="344"/>
      <c r="R21" s="136" t="s">
        <v>243</v>
      </c>
      <c r="S21" s="136" t="s">
        <v>244</v>
      </c>
      <c r="T21" s="136" t="s">
        <v>353</v>
      </c>
      <c r="U21" s="136" t="s">
        <v>354</v>
      </c>
      <c r="V21" s="136" t="s">
        <v>355</v>
      </c>
      <c r="W21" s="136" t="s">
        <v>246</v>
      </c>
      <c r="X21" s="136" t="s">
        <v>247</v>
      </c>
      <c r="Y21" s="137"/>
      <c r="Z21" s="95" t="s">
        <v>356</v>
      </c>
      <c r="AA21" s="345"/>
      <c r="AB21" s="87">
        <v>2</v>
      </c>
      <c r="AC21" s="120">
        <v>180</v>
      </c>
      <c r="AD21" s="120">
        <v>32</v>
      </c>
      <c r="AE21" s="120">
        <f t="shared" ref="AE21:AE29" si="2">AD21*3</f>
        <v>96</v>
      </c>
      <c r="AF21" s="120">
        <v>32</v>
      </c>
      <c r="AG21" s="150">
        <v>125000</v>
      </c>
      <c r="AH21" s="149">
        <v>0.33333333333333298</v>
      </c>
      <c r="AI21" s="133"/>
      <c r="AJ21" s="133"/>
      <c r="AK21" s="133"/>
      <c r="AL21" s="133"/>
      <c r="AM21" s="133"/>
      <c r="AN21" s="137"/>
      <c r="AO21" s="137" t="s">
        <v>357</v>
      </c>
      <c r="AP21" s="138"/>
      <c r="AQ21" s="91">
        <v>15</v>
      </c>
      <c r="AR21" s="120">
        <v>2402</v>
      </c>
      <c r="AS21" s="120">
        <v>158</v>
      </c>
      <c r="AT21" s="151">
        <f t="shared" si="0"/>
        <v>189.6</v>
      </c>
      <c r="AU21" s="459">
        <v>16</v>
      </c>
      <c r="AV21" s="150">
        <v>25000</v>
      </c>
      <c r="AW21" s="149">
        <v>2</v>
      </c>
      <c r="AX21" s="120">
        <v>3</v>
      </c>
      <c r="AY21" s="120">
        <v>752</v>
      </c>
      <c r="AZ21" s="120">
        <v>20</v>
      </c>
      <c r="BA21" s="120">
        <v>147</v>
      </c>
      <c r="BB21" s="120">
        <v>10</v>
      </c>
      <c r="BC21" s="137"/>
      <c r="BD21" s="137" t="s">
        <v>358</v>
      </c>
      <c r="BE21" s="138"/>
      <c r="BF21" s="91">
        <v>15</v>
      </c>
      <c r="BG21" s="120">
        <v>969</v>
      </c>
      <c r="BH21" s="120">
        <v>226</v>
      </c>
      <c r="BI21" s="151">
        <f t="shared" si="1"/>
        <v>169.5</v>
      </c>
      <c r="BJ21" s="459">
        <v>16</v>
      </c>
      <c r="BK21" s="150">
        <v>30000</v>
      </c>
      <c r="BL21" s="149">
        <v>2</v>
      </c>
      <c r="BM21" s="120">
        <v>3</v>
      </c>
      <c r="BN21" s="120">
        <v>200</v>
      </c>
      <c r="BO21" s="139">
        <v>4</v>
      </c>
      <c r="BP21" s="120">
        <v>416</v>
      </c>
      <c r="BQ21" s="120">
        <v>7</v>
      </c>
      <c r="BR21" s="202"/>
      <c r="BS21" s="202"/>
      <c r="BT21" s="202"/>
    </row>
    <row r="22" spans="1:72">
      <c r="A22" s="133"/>
      <c r="B22" s="137"/>
      <c r="C22" s="137"/>
      <c r="D22" s="142" t="s">
        <v>359</v>
      </c>
      <c r="E22" s="137"/>
      <c r="F22" s="346" t="s">
        <v>360</v>
      </c>
      <c r="G22" s="347"/>
      <c r="H22" s="87">
        <v>3</v>
      </c>
      <c r="I22" s="120">
        <v>36</v>
      </c>
      <c r="J22" s="120">
        <v>19</v>
      </c>
      <c r="K22" s="120">
        <v>38</v>
      </c>
      <c r="L22" s="150">
        <v>175000</v>
      </c>
      <c r="M22" s="149">
        <v>0.375</v>
      </c>
      <c r="N22" s="137"/>
      <c r="O22" s="137"/>
      <c r="P22" s="95" t="s">
        <v>349</v>
      </c>
      <c r="Q22" s="345"/>
      <c r="R22" s="87">
        <v>1</v>
      </c>
      <c r="S22" s="120">
        <v>12</v>
      </c>
      <c r="T22" s="120">
        <v>6</v>
      </c>
      <c r="U22" s="120">
        <v>6</v>
      </c>
      <c r="V22" s="120" t="str">
        <f>T22*40&amp;"+"&amp;U22*40</f>
        <v>240+240</v>
      </c>
      <c r="W22" s="120"/>
      <c r="X22" s="149"/>
      <c r="Y22" s="137"/>
      <c r="Z22" s="346" t="s">
        <v>361</v>
      </c>
      <c r="AA22" s="347"/>
      <c r="AB22" s="87">
        <v>3</v>
      </c>
      <c r="AC22" s="120">
        <v>216</v>
      </c>
      <c r="AD22" s="120">
        <v>48</v>
      </c>
      <c r="AE22" s="120">
        <f t="shared" si="2"/>
        <v>144</v>
      </c>
      <c r="AF22" s="120">
        <v>48</v>
      </c>
      <c r="AG22" s="150">
        <v>400000</v>
      </c>
      <c r="AH22" s="149">
        <v>0.5</v>
      </c>
      <c r="AI22" s="133"/>
      <c r="AJ22" s="133"/>
      <c r="AK22" s="133"/>
      <c r="AL22" s="133"/>
      <c r="AM22" s="133"/>
      <c r="AN22" s="137"/>
      <c r="AO22" s="137" t="s">
        <v>362</v>
      </c>
      <c r="AP22" s="138"/>
      <c r="AQ22" s="91">
        <v>16</v>
      </c>
      <c r="AR22" s="120">
        <v>2462</v>
      </c>
      <c r="AS22" s="120">
        <v>161</v>
      </c>
      <c r="AT22" s="151">
        <f t="shared" si="0"/>
        <v>193.2</v>
      </c>
      <c r="AU22" s="459">
        <v>16</v>
      </c>
      <c r="AV22" s="150">
        <v>27000</v>
      </c>
      <c r="AW22" s="149">
        <v>2</v>
      </c>
      <c r="AX22" s="120">
        <v>3</v>
      </c>
      <c r="AY22" s="120">
        <v>752</v>
      </c>
      <c r="AZ22" s="120">
        <v>20</v>
      </c>
      <c r="BA22" s="120">
        <v>147</v>
      </c>
      <c r="BB22" s="120">
        <v>10</v>
      </c>
      <c r="BC22" s="137"/>
      <c r="BD22" s="137" t="s">
        <v>363</v>
      </c>
      <c r="BE22" s="138"/>
      <c r="BF22" s="91">
        <v>16</v>
      </c>
      <c r="BG22" s="120">
        <v>990</v>
      </c>
      <c r="BH22" s="120">
        <v>231</v>
      </c>
      <c r="BI22" s="151">
        <f t="shared" si="1"/>
        <v>173.25</v>
      </c>
      <c r="BJ22" s="459">
        <v>16</v>
      </c>
      <c r="BK22" s="150">
        <v>32000</v>
      </c>
      <c r="BL22" s="149">
        <v>2</v>
      </c>
      <c r="BM22" s="120">
        <v>3</v>
      </c>
      <c r="BN22" s="120">
        <v>200</v>
      </c>
      <c r="BO22" s="139">
        <v>4</v>
      </c>
      <c r="BP22" s="120">
        <v>416</v>
      </c>
      <c r="BQ22" s="120">
        <v>7</v>
      </c>
      <c r="BR22" s="202"/>
      <c r="BS22" s="202"/>
      <c r="BT22" s="202"/>
    </row>
    <row r="23" spans="1:72">
      <c r="A23" s="133"/>
      <c r="B23" s="137"/>
      <c r="C23" s="137"/>
      <c r="D23" s="142" t="s">
        <v>298</v>
      </c>
      <c r="E23" s="137"/>
      <c r="F23" s="342" t="s">
        <v>364</v>
      </c>
      <c r="G23" s="344"/>
      <c r="H23" s="99">
        <v>4</v>
      </c>
      <c r="I23" s="120">
        <v>50</v>
      </c>
      <c r="J23" s="120">
        <v>24</v>
      </c>
      <c r="K23" s="120">
        <v>48</v>
      </c>
      <c r="L23" s="150">
        <v>500000</v>
      </c>
      <c r="M23" s="149">
        <v>0.5</v>
      </c>
      <c r="N23" s="137"/>
      <c r="O23" s="137"/>
      <c r="P23" s="95" t="s">
        <v>365</v>
      </c>
      <c r="Q23" s="345"/>
      <c r="R23" s="87">
        <v>2</v>
      </c>
      <c r="S23" s="120">
        <v>16</v>
      </c>
      <c r="T23" s="120">
        <v>10</v>
      </c>
      <c r="U23" s="120">
        <v>9</v>
      </c>
      <c r="V23" s="120" t="str">
        <f t="shared" ref="V23:V31" si="3">T23*40&amp;"+"&amp;U23*40</f>
        <v>400+360</v>
      </c>
      <c r="W23" s="150">
        <v>100000</v>
      </c>
      <c r="X23" s="149">
        <v>0.25</v>
      </c>
      <c r="Y23" s="137"/>
      <c r="Z23" s="342" t="s">
        <v>366</v>
      </c>
      <c r="AA23" s="344"/>
      <c r="AB23" s="99">
        <v>4</v>
      </c>
      <c r="AC23" s="120">
        <v>280</v>
      </c>
      <c r="AD23" s="120">
        <v>72</v>
      </c>
      <c r="AE23" s="120">
        <f t="shared" si="2"/>
        <v>216</v>
      </c>
      <c r="AF23" s="120">
        <v>72</v>
      </c>
      <c r="AG23" s="150">
        <v>800000</v>
      </c>
      <c r="AH23" s="149">
        <v>0.75</v>
      </c>
      <c r="AI23" s="133"/>
      <c r="AJ23" s="133"/>
      <c r="AK23" s="133"/>
      <c r="AL23" s="133"/>
      <c r="AM23" s="133"/>
      <c r="AN23" s="137"/>
      <c r="AO23" s="137" t="s">
        <v>367</v>
      </c>
      <c r="AP23" s="138"/>
      <c r="AQ23" s="91">
        <v>17</v>
      </c>
      <c r="AR23" s="120">
        <v>2523</v>
      </c>
      <c r="AS23" s="120">
        <v>164</v>
      </c>
      <c r="AT23" s="151">
        <f t="shared" si="0"/>
        <v>196.79999999999998</v>
      </c>
      <c r="AU23" s="459">
        <v>16</v>
      </c>
      <c r="AV23" s="150">
        <v>29000</v>
      </c>
      <c r="AW23" s="149">
        <v>2</v>
      </c>
      <c r="AX23" s="120">
        <v>3</v>
      </c>
      <c r="AY23" s="120">
        <v>752</v>
      </c>
      <c r="AZ23" s="120">
        <v>20</v>
      </c>
      <c r="BA23" s="120">
        <v>147</v>
      </c>
      <c r="BB23" s="120">
        <v>10</v>
      </c>
      <c r="BC23" s="137"/>
      <c r="BD23" s="137" t="s">
        <v>368</v>
      </c>
      <c r="BE23" s="138"/>
      <c r="BF23" s="91">
        <v>17</v>
      </c>
      <c r="BG23" s="120">
        <v>1010</v>
      </c>
      <c r="BH23" s="120">
        <v>237</v>
      </c>
      <c r="BI23" s="151">
        <f t="shared" si="1"/>
        <v>177.75</v>
      </c>
      <c r="BJ23" s="459">
        <v>16</v>
      </c>
      <c r="BK23" s="150">
        <v>34000</v>
      </c>
      <c r="BL23" s="149">
        <v>2</v>
      </c>
      <c r="BM23" s="120">
        <v>3</v>
      </c>
      <c r="BN23" s="120">
        <v>200</v>
      </c>
      <c r="BO23" s="139">
        <v>4</v>
      </c>
      <c r="BP23" s="120">
        <v>416</v>
      </c>
      <c r="BQ23" s="120">
        <v>7</v>
      </c>
      <c r="BR23" s="202"/>
      <c r="BS23" s="202"/>
      <c r="BT23" s="202"/>
    </row>
    <row r="24" spans="1:72">
      <c r="A24" s="133"/>
      <c r="B24" s="137"/>
      <c r="C24" s="137"/>
      <c r="D24" s="142" t="s">
        <v>307</v>
      </c>
      <c r="E24" s="137"/>
      <c r="F24" s="95" t="s">
        <v>287</v>
      </c>
      <c r="G24" s="345"/>
      <c r="H24" s="90">
        <v>5</v>
      </c>
      <c r="I24" s="120">
        <v>65</v>
      </c>
      <c r="J24" s="120">
        <v>32</v>
      </c>
      <c r="K24" s="120">
        <v>64</v>
      </c>
      <c r="L24" s="150">
        <v>1200000</v>
      </c>
      <c r="M24" s="149">
        <v>1</v>
      </c>
      <c r="N24" s="137"/>
      <c r="O24" s="137"/>
      <c r="P24" s="346" t="s">
        <v>280</v>
      </c>
      <c r="Q24" s="347"/>
      <c r="R24" s="87">
        <v>3</v>
      </c>
      <c r="S24" s="120">
        <v>24</v>
      </c>
      <c r="T24" s="120">
        <v>15</v>
      </c>
      <c r="U24" s="120">
        <v>13</v>
      </c>
      <c r="V24" s="120" t="str">
        <f t="shared" si="3"/>
        <v>600+520</v>
      </c>
      <c r="W24" s="150">
        <v>250000</v>
      </c>
      <c r="X24" s="149">
        <v>0.5</v>
      </c>
      <c r="Y24" s="137"/>
      <c r="Z24" s="95" t="s">
        <v>369</v>
      </c>
      <c r="AA24" s="345"/>
      <c r="AB24" s="90">
        <v>5</v>
      </c>
      <c r="AC24" s="120">
        <v>390</v>
      </c>
      <c r="AD24" s="120">
        <v>108</v>
      </c>
      <c r="AE24" s="120">
        <f t="shared" si="2"/>
        <v>324</v>
      </c>
      <c r="AF24" s="120">
        <v>108</v>
      </c>
      <c r="AG24" s="150">
        <v>1500000</v>
      </c>
      <c r="AH24" s="149">
        <v>1</v>
      </c>
      <c r="AI24" s="133"/>
      <c r="AJ24" s="133"/>
      <c r="AK24" s="133"/>
      <c r="AL24" s="133"/>
      <c r="AM24" s="133"/>
      <c r="AN24" s="137"/>
      <c r="AO24" s="137" t="s">
        <v>370</v>
      </c>
      <c r="AP24" s="138"/>
      <c r="AQ24" s="91">
        <v>18</v>
      </c>
      <c r="AR24" s="120">
        <v>2586</v>
      </c>
      <c r="AS24" s="120">
        <v>168</v>
      </c>
      <c r="AT24" s="151">
        <f t="shared" si="0"/>
        <v>201.6</v>
      </c>
      <c r="AU24" s="459">
        <v>16</v>
      </c>
      <c r="AV24" s="150">
        <v>31000</v>
      </c>
      <c r="AW24" s="149">
        <v>2</v>
      </c>
      <c r="AX24" s="120">
        <v>3</v>
      </c>
      <c r="AY24" s="120">
        <v>752</v>
      </c>
      <c r="AZ24" s="120">
        <v>20</v>
      </c>
      <c r="BA24" s="120">
        <v>147</v>
      </c>
      <c r="BB24" s="120">
        <v>10</v>
      </c>
      <c r="BC24" s="137"/>
      <c r="BD24" s="137" t="s">
        <v>371</v>
      </c>
      <c r="BE24" s="138"/>
      <c r="BF24" s="91">
        <v>18</v>
      </c>
      <c r="BG24" s="120">
        <v>1032</v>
      </c>
      <c r="BH24" s="120">
        <v>243</v>
      </c>
      <c r="BI24" s="151">
        <f t="shared" si="1"/>
        <v>182.25</v>
      </c>
      <c r="BJ24" s="459">
        <v>16</v>
      </c>
      <c r="BK24" s="150">
        <v>36000</v>
      </c>
      <c r="BL24" s="149">
        <v>2</v>
      </c>
      <c r="BM24" s="120">
        <v>3</v>
      </c>
      <c r="BN24" s="120">
        <v>200</v>
      </c>
      <c r="BO24" s="139">
        <v>4</v>
      </c>
      <c r="BP24" s="120">
        <v>416</v>
      </c>
      <c r="BQ24" s="120">
        <v>7</v>
      </c>
      <c r="BR24" s="202"/>
      <c r="BS24" s="202"/>
      <c r="BT24" s="202"/>
    </row>
    <row r="25" spans="1:72">
      <c r="A25" s="133"/>
      <c r="B25" s="137"/>
      <c r="C25" s="137"/>
      <c r="D25" s="137"/>
      <c r="E25" s="137"/>
      <c r="F25" s="346"/>
      <c r="G25" s="347"/>
      <c r="H25" s="91">
        <v>6</v>
      </c>
      <c r="I25" s="120">
        <v>80</v>
      </c>
      <c r="J25" s="120">
        <v>42</v>
      </c>
      <c r="K25" s="120">
        <v>84</v>
      </c>
      <c r="L25" s="150">
        <v>2000000</v>
      </c>
      <c r="M25" s="149">
        <v>1.5</v>
      </c>
      <c r="N25" s="137"/>
      <c r="O25" s="137"/>
      <c r="P25" s="342" t="s">
        <v>372</v>
      </c>
      <c r="Q25" s="344"/>
      <c r="R25" s="99">
        <v>4</v>
      </c>
      <c r="S25" s="120">
        <v>32</v>
      </c>
      <c r="T25" s="120">
        <v>20</v>
      </c>
      <c r="U25" s="120">
        <v>16</v>
      </c>
      <c r="V25" s="120" t="str">
        <f t="shared" si="3"/>
        <v>800+640</v>
      </c>
      <c r="W25" s="150">
        <v>600000</v>
      </c>
      <c r="X25" s="149">
        <v>0.75</v>
      </c>
      <c r="Y25" s="137"/>
      <c r="Z25" s="95" t="s">
        <v>373</v>
      </c>
      <c r="AA25" s="345"/>
      <c r="AB25" s="91">
        <v>6</v>
      </c>
      <c r="AC25" s="120">
        <v>545</v>
      </c>
      <c r="AD25" s="120">
        <v>162</v>
      </c>
      <c r="AE25" s="120">
        <f t="shared" si="2"/>
        <v>486</v>
      </c>
      <c r="AF25" s="120">
        <v>162</v>
      </c>
      <c r="AG25" s="150">
        <v>2750000</v>
      </c>
      <c r="AH25" s="149">
        <v>3.5</v>
      </c>
      <c r="AI25" s="133"/>
      <c r="AJ25" s="133"/>
      <c r="AK25" s="133"/>
      <c r="AL25" s="133"/>
      <c r="AM25" s="133"/>
      <c r="AN25" s="137"/>
      <c r="AO25" s="137" t="s">
        <v>374</v>
      </c>
      <c r="AP25" s="138"/>
      <c r="AQ25" s="91">
        <v>19</v>
      </c>
      <c r="AR25" s="120">
        <v>2651</v>
      </c>
      <c r="AS25" s="120">
        <v>171</v>
      </c>
      <c r="AT25" s="151">
        <f t="shared" si="0"/>
        <v>205.2</v>
      </c>
      <c r="AU25" s="459">
        <v>16</v>
      </c>
      <c r="AV25" s="150">
        <v>33000</v>
      </c>
      <c r="AW25" s="149">
        <v>2</v>
      </c>
      <c r="AX25" s="120">
        <v>3</v>
      </c>
      <c r="AY25" s="120">
        <v>752</v>
      </c>
      <c r="AZ25" s="120">
        <v>20</v>
      </c>
      <c r="BA25" s="120">
        <v>147</v>
      </c>
      <c r="BB25" s="120">
        <v>10</v>
      </c>
      <c r="BC25" s="137"/>
      <c r="BD25" s="137" t="s">
        <v>375</v>
      </c>
      <c r="BE25" s="138"/>
      <c r="BF25" s="91">
        <v>19</v>
      </c>
      <c r="BG25" s="120">
        <v>1053</v>
      </c>
      <c r="BH25" s="120">
        <v>249</v>
      </c>
      <c r="BI25" s="151">
        <f t="shared" si="1"/>
        <v>186.75</v>
      </c>
      <c r="BJ25" s="459">
        <v>16</v>
      </c>
      <c r="BK25" s="150">
        <v>38000</v>
      </c>
      <c r="BL25" s="149">
        <v>2</v>
      </c>
      <c r="BM25" s="120">
        <v>3</v>
      </c>
      <c r="BN25" s="120">
        <v>200</v>
      </c>
      <c r="BO25" s="139">
        <v>4</v>
      </c>
      <c r="BP25" s="120">
        <v>416</v>
      </c>
      <c r="BQ25" s="120">
        <v>7</v>
      </c>
      <c r="BR25" s="202"/>
      <c r="BS25" s="202"/>
      <c r="BT25" s="202"/>
    </row>
    <row r="26" spans="1:72">
      <c r="A26" s="133"/>
      <c r="B26" s="137"/>
      <c r="C26" s="137"/>
      <c r="D26" s="137"/>
      <c r="E26" s="137"/>
      <c r="F26" s="95" t="s">
        <v>305</v>
      </c>
      <c r="G26" s="344"/>
      <c r="H26" s="92">
        <v>7</v>
      </c>
      <c r="I26" s="120">
        <v>105</v>
      </c>
      <c r="J26" s="120">
        <v>52</v>
      </c>
      <c r="K26" s="120">
        <v>104</v>
      </c>
      <c r="L26" s="150">
        <v>3000000</v>
      </c>
      <c r="M26" s="149">
        <v>3.5</v>
      </c>
      <c r="N26" s="137"/>
      <c r="O26" s="137"/>
      <c r="P26" s="95" t="s">
        <v>376</v>
      </c>
      <c r="Q26" s="345"/>
      <c r="R26" s="90">
        <v>5</v>
      </c>
      <c r="S26" s="120">
        <v>46</v>
      </c>
      <c r="T26" s="120">
        <v>43</v>
      </c>
      <c r="U26" s="120">
        <v>23</v>
      </c>
      <c r="V26" s="120" t="str">
        <f t="shared" si="3"/>
        <v>1720+920</v>
      </c>
      <c r="W26" s="150">
        <v>1200000</v>
      </c>
      <c r="X26" s="149">
        <v>1</v>
      </c>
      <c r="Y26" s="137"/>
      <c r="Z26" s="348" t="s">
        <v>377</v>
      </c>
      <c r="AA26" s="143"/>
      <c r="AB26" s="93">
        <v>7</v>
      </c>
      <c r="AC26" s="120">
        <v>690</v>
      </c>
      <c r="AD26" s="120">
        <v>198</v>
      </c>
      <c r="AE26" s="120">
        <f t="shared" si="2"/>
        <v>594</v>
      </c>
      <c r="AF26" s="120">
        <v>214</v>
      </c>
      <c r="AG26" s="150">
        <v>4500000</v>
      </c>
      <c r="AH26" s="149">
        <v>5.25</v>
      </c>
      <c r="AI26" s="133"/>
      <c r="AJ26" s="133"/>
      <c r="AK26" s="133"/>
      <c r="AL26" s="133"/>
      <c r="AM26" s="133"/>
      <c r="AN26" s="137"/>
      <c r="AO26" s="137" t="s">
        <v>378</v>
      </c>
      <c r="AP26" s="138"/>
      <c r="AQ26" s="91">
        <v>20</v>
      </c>
      <c r="AR26" s="120">
        <v>2717</v>
      </c>
      <c r="AS26" s="120">
        <v>174</v>
      </c>
      <c r="AT26" s="151">
        <f t="shared" si="0"/>
        <v>208.79999999999998</v>
      </c>
      <c r="AU26" s="459">
        <v>18</v>
      </c>
      <c r="AV26" s="150">
        <v>35000</v>
      </c>
      <c r="AW26" s="149">
        <v>2.5</v>
      </c>
      <c r="AX26" s="120">
        <v>4</v>
      </c>
      <c r="AY26" s="120">
        <v>899</v>
      </c>
      <c r="AZ26" s="120">
        <v>21</v>
      </c>
      <c r="BA26" s="120">
        <v>195</v>
      </c>
      <c r="BB26" s="120">
        <v>12</v>
      </c>
      <c r="BC26" s="137"/>
      <c r="BD26" s="137" t="s">
        <v>379</v>
      </c>
      <c r="BE26" s="138"/>
      <c r="BF26" s="91">
        <v>20</v>
      </c>
      <c r="BG26" s="120">
        <v>1076</v>
      </c>
      <c r="BH26" s="120">
        <v>255</v>
      </c>
      <c r="BI26" s="151">
        <f t="shared" si="1"/>
        <v>191.25</v>
      </c>
      <c r="BJ26" s="459">
        <v>18</v>
      </c>
      <c r="BK26" s="150">
        <v>40000</v>
      </c>
      <c r="BL26" s="149">
        <v>2.5</v>
      </c>
      <c r="BM26" s="120">
        <v>4</v>
      </c>
      <c r="BN26" s="120">
        <v>225</v>
      </c>
      <c r="BO26" s="139">
        <v>4.2</v>
      </c>
      <c r="BP26" s="120">
        <v>483</v>
      </c>
      <c r="BQ26" s="120">
        <v>8</v>
      </c>
      <c r="BR26" s="202"/>
      <c r="BS26" s="202"/>
      <c r="BT26" s="202"/>
    </row>
    <row r="27" spans="1:72">
      <c r="A27" s="133"/>
      <c r="B27" s="137"/>
      <c r="C27" s="137"/>
      <c r="D27" s="137"/>
      <c r="E27" s="137"/>
      <c r="F27" s="95" t="s">
        <v>380</v>
      </c>
      <c r="G27" s="345"/>
      <c r="H27" s="94">
        <v>8</v>
      </c>
      <c r="I27" s="120">
        <v>126</v>
      </c>
      <c r="J27" s="120">
        <v>62</v>
      </c>
      <c r="K27" s="120">
        <v>124</v>
      </c>
      <c r="L27" s="150">
        <v>6300000</v>
      </c>
      <c r="M27" s="149">
        <v>8</v>
      </c>
      <c r="N27" s="137"/>
      <c r="O27" s="137"/>
      <c r="P27" s="346" t="s">
        <v>381</v>
      </c>
      <c r="Q27" s="347"/>
      <c r="R27" s="92">
        <v>6</v>
      </c>
      <c r="S27" s="120">
        <v>60</v>
      </c>
      <c r="T27" s="120">
        <v>55</v>
      </c>
      <c r="U27" s="120">
        <v>30</v>
      </c>
      <c r="V27" s="120" t="str">
        <f t="shared" si="3"/>
        <v>2200+1200</v>
      </c>
      <c r="W27" s="150">
        <v>2500000</v>
      </c>
      <c r="X27" s="149">
        <v>2.125</v>
      </c>
      <c r="Y27" s="137"/>
      <c r="Z27" s="95" t="s">
        <v>306</v>
      </c>
      <c r="AA27" s="345"/>
      <c r="AB27" s="94">
        <v>8</v>
      </c>
      <c r="AC27" s="120">
        <v>840</v>
      </c>
      <c r="AD27" s="120">
        <v>236</v>
      </c>
      <c r="AE27" s="120">
        <f t="shared" si="2"/>
        <v>708</v>
      </c>
      <c r="AF27" s="120">
        <v>268</v>
      </c>
      <c r="AG27" s="150">
        <v>7700000</v>
      </c>
      <c r="AH27" s="149">
        <v>9.5</v>
      </c>
      <c r="AI27" s="133"/>
      <c r="AJ27" s="133"/>
      <c r="AK27" s="133"/>
      <c r="AL27" s="133"/>
      <c r="AM27" s="133"/>
      <c r="AN27" s="137"/>
      <c r="AO27" s="137" t="s">
        <v>382</v>
      </c>
      <c r="AP27" s="138"/>
      <c r="AQ27" s="91">
        <v>21</v>
      </c>
      <c r="AR27" s="120">
        <v>2785</v>
      </c>
      <c r="AS27" s="120">
        <v>178</v>
      </c>
      <c r="AT27" s="151">
        <f t="shared" si="0"/>
        <v>213.6</v>
      </c>
      <c r="AU27" s="459">
        <v>18</v>
      </c>
      <c r="AV27" s="150">
        <v>37000</v>
      </c>
      <c r="AW27" s="149">
        <v>2.5</v>
      </c>
      <c r="AX27" s="120">
        <v>4</v>
      </c>
      <c r="AY27" s="120">
        <v>899</v>
      </c>
      <c r="AZ27" s="120">
        <v>21</v>
      </c>
      <c r="BA27" s="120">
        <v>195</v>
      </c>
      <c r="BB27" s="120">
        <v>12</v>
      </c>
      <c r="BC27" s="137"/>
      <c r="BD27" s="137" t="s">
        <v>383</v>
      </c>
      <c r="BE27" s="138"/>
      <c r="BF27" s="91">
        <v>21</v>
      </c>
      <c r="BG27" s="120">
        <v>1098</v>
      </c>
      <c r="BH27" s="120">
        <v>262</v>
      </c>
      <c r="BI27" s="151">
        <f t="shared" si="1"/>
        <v>196.5</v>
      </c>
      <c r="BJ27" s="459">
        <v>18</v>
      </c>
      <c r="BK27" s="150">
        <v>42000</v>
      </c>
      <c r="BL27" s="149">
        <v>2.5</v>
      </c>
      <c r="BM27" s="120">
        <v>4</v>
      </c>
      <c r="BN27" s="120">
        <v>225</v>
      </c>
      <c r="BO27" s="139">
        <v>4.2</v>
      </c>
      <c r="BP27" s="120">
        <v>483</v>
      </c>
      <c r="BQ27" s="120">
        <v>8</v>
      </c>
      <c r="BR27" s="202"/>
      <c r="BS27" s="202"/>
      <c r="BT27" s="202"/>
    </row>
    <row r="28" spans="1:72">
      <c r="A28" s="133"/>
      <c r="B28" s="137"/>
      <c r="C28" s="137"/>
      <c r="D28" s="137"/>
      <c r="E28" s="137"/>
      <c r="F28" s="95" t="s">
        <v>384</v>
      </c>
      <c r="G28" s="95"/>
      <c r="H28" s="449"/>
      <c r="I28" s="120"/>
      <c r="J28" s="120"/>
      <c r="K28" s="120"/>
      <c r="L28" s="137"/>
      <c r="M28" s="137"/>
      <c r="N28" s="137"/>
      <c r="O28" s="137"/>
      <c r="P28" s="95" t="s">
        <v>385</v>
      </c>
      <c r="Q28" s="344"/>
      <c r="R28" s="93">
        <v>7</v>
      </c>
      <c r="S28" s="120">
        <v>78</v>
      </c>
      <c r="T28" s="120">
        <v>66</v>
      </c>
      <c r="U28" s="120">
        <v>36</v>
      </c>
      <c r="V28" s="120" t="str">
        <f t="shared" si="3"/>
        <v>2640+1440</v>
      </c>
      <c r="W28" s="150">
        <v>4200000</v>
      </c>
      <c r="X28" s="149">
        <v>7</v>
      </c>
      <c r="Y28" s="137"/>
      <c r="Z28" s="95" t="s">
        <v>316</v>
      </c>
      <c r="AA28" s="345"/>
      <c r="AB28" s="100">
        <v>9</v>
      </c>
      <c r="AC28" s="120">
        <v>940</v>
      </c>
      <c r="AD28" s="120">
        <v>256</v>
      </c>
      <c r="AE28" s="120">
        <f t="shared" si="2"/>
        <v>768</v>
      </c>
      <c r="AF28" s="120">
        <v>322</v>
      </c>
      <c r="AG28" s="150">
        <v>10500000</v>
      </c>
      <c r="AH28" s="149">
        <v>12</v>
      </c>
      <c r="AI28" s="133"/>
      <c r="AJ28" s="133"/>
      <c r="AK28" s="133"/>
      <c r="AL28" s="133"/>
      <c r="AM28" s="133"/>
      <c r="AN28" s="137"/>
      <c r="AO28" s="137" t="s">
        <v>386</v>
      </c>
      <c r="AP28" s="138"/>
      <c r="AQ28" s="91">
        <v>22</v>
      </c>
      <c r="AR28" s="120">
        <v>2855</v>
      </c>
      <c r="AS28" s="120">
        <v>181</v>
      </c>
      <c r="AT28" s="151">
        <f t="shared" si="0"/>
        <v>217.2</v>
      </c>
      <c r="AU28" s="459">
        <v>18</v>
      </c>
      <c r="AV28" s="150">
        <v>39000</v>
      </c>
      <c r="AW28" s="149">
        <v>2.5</v>
      </c>
      <c r="AX28" s="120">
        <v>4</v>
      </c>
      <c r="AY28" s="120">
        <v>899</v>
      </c>
      <c r="AZ28" s="120">
        <v>21</v>
      </c>
      <c r="BA28" s="120">
        <v>195</v>
      </c>
      <c r="BB28" s="120">
        <v>12</v>
      </c>
      <c r="BC28" s="137"/>
      <c r="BD28" s="137" t="s">
        <v>387</v>
      </c>
      <c r="BE28" s="138"/>
      <c r="BF28" s="91">
        <v>22</v>
      </c>
      <c r="BG28" s="120">
        <v>1121</v>
      </c>
      <c r="BH28" s="120">
        <v>268</v>
      </c>
      <c r="BI28" s="151">
        <f t="shared" si="1"/>
        <v>201</v>
      </c>
      <c r="BJ28" s="459">
        <v>18</v>
      </c>
      <c r="BK28" s="150">
        <v>44000</v>
      </c>
      <c r="BL28" s="149">
        <v>2.5</v>
      </c>
      <c r="BM28" s="120">
        <v>4</v>
      </c>
      <c r="BN28" s="120">
        <v>225</v>
      </c>
      <c r="BO28" s="139">
        <v>4.2</v>
      </c>
      <c r="BP28" s="120">
        <v>483</v>
      </c>
      <c r="BQ28" s="120">
        <v>8</v>
      </c>
      <c r="BR28" s="202"/>
      <c r="BS28" s="202"/>
      <c r="BT28" s="202"/>
    </row>
    <row r="29" spans="1:72">
      <c r="A29" s="133"/>
      <c r="B29" s="137"/>
      <c r="C29" s="137"/>
      <c r="D29" s="137"/>
      <c r="E29" s="137"/>
      <c r="F29" s="133"/>
      <c r="G29" s="133"/>
      <c r="H29" s="133"/>
      <c r="I29" s="133"/>
      <c r="J29" s="133"/>
      <c r="K29" s="133"/>
      <c r="L29" s="133"/>
      <c r="M29" s="133"/>
      <c r="N29" s="137"/>
      <c r="O29" s="137"/>
      <c r="P29" s="95" t="s">
        <v>388</v>
      </c>
      <c r="Q29" s="345"/>
      <c r="R29" s="94">
        <v>8</v>
      </c>
      <c r="S29" s="120">
        <v>100</v>
      </c>
      <c r="T29" s="120">
        <v>75</v>
      </c>
      <c r="U29" s="120">
        <v>42</v>
      </c>
      <c r="V29" s="120" t="str">
        <f t="shared" si="3"/>
        <v>3000+1680</v>
      </c>
      <c r="W29" s="150">
        <v>7300000</v>
      </c>
      <c r="X29" s="149">
        <v>10</v>
      </c>
      <c r="Y29" s="137"/>
      <c r="Z29" s="95" t="s">
        <v>324</v>
      </c>
      <c r="AA29" s="345"/>
      <c r="AB29" s="121">
        <v>10</v>
      </c>
      <c r="AC29" s="120">
        <v>1040</v>
      </c>
      <c r="AD29" s="120">
        <v>276</v>
      </c>
      <c r="AE29" s="120">
        <f t="shared" si="2"/>
        <v>828</v>
      </c>
      <c r="AF29" s="120">
        <v>352</v>
      </c>
      <c r="AG29" s="150">
        <v>17000000</v>
      </c>
      <c r="AH29" s="149">
        <v>17</v>
      </c>
      <c r="AI29" s="133"/>
      <c r="AJ29" s="133"/>
      <c r="AK29" s="133"/>
      <c r="AL29" s="133"/>
      <c r="AM29" s="133"/>
      <c r="AN29" s="137"/>
      <c r="AO29" s="137" t="s">
        <v>389</v>
      </c>
      <c r="AP29" s="138"/>
      <c r="AQ29" s="91">
        <v>23</v>
      </c>
      <c r="AR29" s="120">
        <v>2926</v>
      </c>
      <c r="AS29" s="120">
        <v>185</v>
      </c>
      <c r="AT29" s="151">
        <f t="shared" si="0"/>
        <v>222</v>
      </c>
      <c r="AU29" s="459">
        <v>18</v>
      </c>
      <c r="AV29" s="150">
        <v>41000</v>
      </c>
      <c r="AW29" s="149">
        <v>2.5</v>
      </c>
      <c r="AX29" s="120">
        <v>4</v>
      </c>
      <c r="AY29" s="120">
        <v>899</v>
      </c>
      <c r="AZ29" s="120">
        <v>21</v>
      </c>
      <c r="BA29" s="120">
        <v>195</v>
      </c>
      <c r="BB29" s="120">
        <v>12</v>
      </c>
      <c r="BC29" s="137"/>
      <c r="BD29" s="137" t="s">
        <v>390</v>
      </c>
      <c r="BE29" s="138"/>
      <c r="BF29" s="91">
        <v>23</v>
      </c>
      <c r="BG29" s="120">
        <v>1145</v>
      </c>
      <c r="BH29" s="120">
        <v>275</v>
      </c>
      <c r="BI29" s="151">
        <f t="shared" si="1"/>
        <v>206.25</v>
      </c>
      <c r="BJ29" s="459">
        <v>18</v>
      </c>
      <c r="BK29" s="150">
        <v>46000</v>
      </c>
      <c r="BL29" s="149">
        <v>2.5</v>
      </c>
      <c r="BM29" s="120">
        <v>4</v>
      </c>
      <c r="BN29" s="120">
        <v>225</v>
      </c>
      <c r="BO29" s="139">
        <v>4.2</v>
      </c>
      <c r="BP29" s="120">
        <v>483</v>
      </c>
      <c r="BQ29" s="120">
        <v>8</v>
      </c>
      <c r="BR29" s="202"/>
      <c r="BS29" s="202"/>
      <c r="BT29" s="202"/>
    </row>
    <row r="30" spans="1:72">
      <c r="A30" s="133"/>
      <c r="B30" s="137"/>
      <c r="C30" s="137"/>
      <c r="D30" s="137"/>
      <c r="E30" s="137"/>
      <c r="F30" s="133"/>
      <c r="G30" s="133"/>
      <c r="H30" s="133"/>
      <c r="I30" s="133"/>
      <c r="J30" s="133"/>
      <c r="K30" s="133"/>
      <c r="L30" s="133"/>
      <c r="M30" s="133"/>
      <c r="N30" s="137"/>
      <c r="O30" s="137"/>
      <c r="P30" s="95" t="s">
        <v>384</v>
      </c>
      <c r="Q30" s="345"/>
      <c r="R30" s="100">
        <v>9</v>
      </c>
      <c r="S30" s="120">
        <v>120</v>
      </c>
      <c r="T30" s="120">
        <v>86</v>
      </c>
      <c r="U30" s="120">
        <v>48</v>
      </c>
      <c r="V30" s="120" t="str">
        <f t="shared" si="3"/>
        <v>3440+1920</v>
      </c>
      <c r="W30" s="150">
        <v>10000000</v>
      </c>
      <c r="X30" s="149">
        <v>11</v>
      </c>
      <c r="Y30" s="137"/>
      <c r="Z30" s="137"/>
      <c r="AA30" s="137"/>
      <c r="AB30" s="133"/>
      <c r="AC30" s="133"/>
      <c r="AD30" s="133"/>
      <c r="AE30" s="133"/>
      <c r="AF30" s="133"/>
      <c r="AG30" s="133"/>
      <c r="AH30" s="133"/>
      <c r="AI30" s="133"/>
      <c r="AJ30" s="133"/>
      <c r="AK30" s="133"/>
      <c r="AL30" s="133"/>
      <c r="AM30" s="133"/>
      <c r="AN30" s="137"/>
      <c r="AO30" s="137" t="s">
        <v>391</v>
      </c>
      <c r="AP30" s="138"/>
      <c r="AQ30" s="91">
        <v>24</v>
      </c>
      <c r="AR30" s="120">
        <v>2999</v>
      </c>
      <c r="AS30" s="120">
        <v>189</v>
      </c>
      <c r="AT30" s="151">
        <f t="shared" si="0"/>
        <v>226.79999999999998</v>
      </c>
      <c r="AU30" s="459">
        <v>18</v>
      </c>
      <c r="AV30" s="150">
        <v>43000</v>
      </c>
      <c r="AW30" s="149">
        <v>2.5</v>
      </c>
      <c r="AX30" s="120">
        <v>4</v>
      </c>
      <c r="AY30" s="120">
        <v>899</v>
      </c>
      <c r="AZ30" s="120">
        <v>21</v>
      </c>
      <c r="BA30" s="120">
        <v>195</v>
      </c>
      <c r="BB30" s="120">
        <v>12</v>
      </c>
      <c r="BC30" s="137"/>
      <c r="BD30" s="137" t="s">
        <v>392</v>
      </c>
      <c r="BE30" s="138"/>
      <c r="BF30" s="91">
        <v>24</v>
      </c>
      <c r="BG30" s="120">
        <v>1169</v>
      </c>
      <c r="BH30" s="120">
        <v>282</v>
      </c>
      <c r="BI30" s="151">
        <f t="shared" si="1"/>
        <v>211.5</v>
      </c>
      <c r="BJ30" s="459">
        <v>18</v>
      </c>
      <c r="BK30" s="150">
        <v>48000</v>
      </c>
      <c r="BL30" s="149">
        <v>2.5</v>
      </c>
      <c r="BM30" s="120">
        <v>4</v>
      </c>
      <c r="BN30" s="120">
        <v>225</v>
      </c>
      <c r="BO30" s="139">
        <v>4.2</v>
      </c>
      <c r="BP30" s="120">
        <v>483</v>
      </c>
      <c r="BQ30" s="120">
        <v>8</v>
      </c>
      <c r="BR30" s="202"/>
      <c r="BS30" s="202"/>
      <c r="BT30" s="202"/>
    </row>
    <row r="31" spans="1:72">
      <c r="A31" s="133"/>
      <c r="B31" s="137"/>
      <c r="C31" s="137"/>
      <c r="D31" s="137"/>
      <c r="E31" s="137"/>
      <c r="F31" s="137" t="s">
        <v>393</v>
      </c>
      <c r="G31" s="133"/>
      <c r="H31" s="137" t="s">
        <v>394</v>
      </c>
      <c r="I31" s="133"/>
      <c r="J31" s="133"/>
      <c r="K31" s="133"/>
      <c r="L31" s="133"/>
      <c r="M31" s="133"/>
      <c r="N31" s="133"/>
      <c r="O31" s="137"/>
      <c r="P31" s="137"/>
      <c r="Q31" s="345"/>
      <c r="R31" s="121">
        <v>10</v>
      </c>
      <c r="S31" s="120">
        <v>130</v>
      </c>
      <c r="T31" s="120">
        <v>94</v>
      </c>
      <c r="U31" s="120">
        <v>54</v>
      </c>
      <c r="V31" s="120" t="str">
        <f t="shared" si="3"/>
        <v>3760+2160</v>
      </c>
      <c r="W31" s="150">
        <v>15200000</v>
      </c>
      <c r="X31" s="149">
        <v>15</v>
      </c>
      <c r="Y31" s="137"/>
      <c r="Z31" s="137" t="s">
        <v>395</v>
      </c>
      <c r="AA31" s="137"/>
      <c r="AB31" s="137" t="s">
        <v>396</v>
      </c>
      <c r="AC31" s="133"/>
      <c r="AD31" s="133"/>
      <c r="AE31" s="133"/>
      <c r="AF31" s="133"/>
      <c r="AG31" s="133"/>
      <c r="AH31" s="133"/>
      <c r="AI31" s="133"/>
      <c r="AJ31" s="133"/>
      <c r="AK31" s="133"/>
      <c r="AL31" s="133"/>
      <c r="AM31" s="133"/>
      <c r="AN31" s="137"/>
      <c r="AO31" s="137" t="s">
        <v>397</v>
      </c>
      <c r="AP31" s="138"/>
      <c r="AQ31" s="91">
        <v>25</v>
      </c>
      <c r="AR31" s="120">
        <v>3074</v>
      </c>
      <c r="AS31" s="120">
        <v>193</v>
      </c>
      <c r="AT31" s="151">
        <f t="shared" si="0"/>
        <v>231.6</v>
      </c>
      <c r="AU31" s="459">
        <v>20</v>
      </c>
      <c r="AV31" s="150">
        <v>45000</v>
      </c>
      <c r="AW31" s="149">
        <v>3</v>
      </c>
      <c r="AX31" s="120">
        <v>5</v>
      </c>
      <c r="AY31" s="120">
        <v>1063</v>
      </c>
      <c r="AZ31" s="120">
        <v>22</v>
      </c>
      <c r="BA31" s="120">
        <v>245</v>
      </c>
      <c r="BB31" s="120">
        <v>14</v>
      </c>
      <c r="BC31" s="137"/>
      <c r="BD31" s="137" t="s">
        <v>398</v>
      </c>
      <c r="BE31" s="138"/>
      <c r="BF31" s="91">
        <v>25</v>
      </c>
      <c r="BG31" s="120">
        <v>1193</v>
      </c>
      <c r="BH31" s="120">
        <v>289</v>
      </c>
      <c r="BI31" s="151">
        <f t="shared" si="1"/>
        <v>216.75</v>
      </c>
      <c r="BJ31" s="459">
        <v>20</v>
      </c>
      <c r="BK31" s="150">
        <v>50000</v>
      </c>
      <c r="BL31" s="149">
        <v>3</v>
      </c>
      <c r="BM31" s="120">
        <v>5</v>
      </c>
      <c r="BN31" s="120">
        <v>250</v>
      </c>
      <c r="BO31" s="139">
        <v>4.4000000000000004</v>
      </c>
      <c r="BP31" s="120">
        <v>557</v>
      </c>
      <c r="BQ31" s="120">
        <v>9</v>
      </c>
      <c r="BR31" s="202"/>
      <c r="BS31" s="202"/>
      <c r="BT31" s="202"/>
    </row>
    <row r="32" spans="1:72">
      <c r="A32" s="133"/>
      <c r="B32" s="137"/>
      <c r="C32" s="137"/>
      <c r="D32" s="137"/>
      <c r="E32" s="137"/>
      <c r="F32" s="342" t="s">
        <v>248</v>
      </c>
      <c r="G32" s="344"/>
      <c r="H32" s="136" t="s">
        <v>243</v>
      </c>
      <c r="I32" s="136" t="s">
        <v>244</v>
      </c>
      <c r="J32" s="136" t="s">
        <v>245</v>
      </c>
      <c r="K32" s="452" t="s">
        <v>250</v>
      </c>
      <c r="L32" s="136" t="s">
        <v>246</v>
      </c>
      <c r="M32" s="136" t="s">
        <v>247</v>
      </c>
      <c r="N32" s="133"/>
      <c r="O32" s="137"/>
      <c r="P32" s="137" t="s">
        <v>399</v>
      </c>
      <c r="Q32" s="345"/>
      <c r="R32" s="122">
        <v>11</v>
      </c>
      <c r="S32" s="120">
        <v>140</v>
      </c>
      <c r="T32" s="120">
        <v>102</v>
      </c>
      <c r="U32" s="120">
        <v>60</v>
      </c>
      <c r="V32" s="120" t="str">
        <f t="shared" ref="V32" si="4">T32*40&amp;"+"&amp;U32*40</f>
        <v>4080+2400</v>
      </c>
      <c r="W32" s="150">
        <v>16500000</v>
      </c>
      <c r="X32" s="149">
        <v>16</v>
      </c>
      <c r="Y32" s="137"/>
      <c r="Z32" s="342" t="s">
        <v>248</v>
      </c>
      <c r="AA32" s="344"/>
      <c r="AB32" s="136" t="s">
        <v>243</v>
      </c>
      <c r="AC32" s="136" t="s">
        <v>244</v>
      </c>
      <c r="AD32" s="136" t="s">
        <v>245</v>
      </c>
      <c r="AE32" s="136" t="s">
        <v>250</v>
      </c>
      <c r="AF32" s="136" t="s">
        <v>246</v>
      </c>
      <c r="AG32" s="136" t="s">
        <v>247</v>
      </c>
      <c r="AH32" s="133"/>
      <c r="AI32" s="133"/>
      <c r="AJ32" s="133"/>
      <c r="AK32" s="133"/>
      <c r="AL32" s="133"/>
      <c r="AM32" s="133"/>
      <c r="AN32" s="137"/>
      <c r="AO32" s="137" t="s">
        <v>400</v>
      </c>
      <c r="AP32" s="138"/>
      <c r="AQ32" s="91">
        <v>26</v>
      </c>
      <c r="AR32" s="120">
        <v>3151</v>
      </c>
      <c r="AS32" s="120">
        <v>196</v>
      </c>
      <c r="AT32" s="151">
        <f t="shared" si="0"/>
        <v>235.2</v>
      </c>
      <c r="AU32" s="459">
        <v>20</v>
      </c>
      <c r="AV32" s="150">
        <v>47000</v>
      </c>
      <c r="AW32" s="149">
        <v>3</v>
      </c>
      <c r="AX32" s="120">
        <v>5</v>
      </c>
      <c r="AY32" s="120">
        <v>1063</v>
      </c>
      <c r="AZ32" s="120">
        <v>22</v>
      </c>
      <c r="BA32" s="120">
        <v>245</v>
      </c>
      <c r="BB32" s="120">
        <v>14</v>
      </c>
      <c r="BC32" s="137"/>
      <c r="BD32" s="137" t="s">
        <v>401</v>
      </c>
      <c r="BE32" s="138"/>
      <c r="BF32" s="91">
        <v>26</v>
      </c>
      <c r="BG32" s="120">
        <v>1218</v>
      </c>
      <c r="BH32" s="120">
        <v>296</v>
      </c>
      <c r="BI32" s="151">
        <f t="shared" si="1"/>
        <v>222</v>
      </c>
      <c r="BJ32" s="459">
        <v>20</v>
      </c>
      <c r="BK32" s="150">
        <v>52000</v>
      </c>
      <c r="BL32" s="149">
        <v>3</v>
      </c>
      <c r="BM32" s="120">
        <v>5</v>
      </c>
      <c r="BN32" s="120">
        <v>250</v>
      </c>
      <c r="BO32" s="139">
        <v>4.4000000000000004</v>
      </c>
      <c r="BP32" s="120">
        <v>557</v>
      </c>
      <c r="BQ32" s="120">
        <v>9</v>
      </c>
      <c r="BR32" s="202"/>
      <c r="BS32" s="202"/>
      <c r="BT32" s="202"/>
    </row>
    <row r="33" spans="1:72">
      <c r="A33" s="133"/>
      <c r="B33" s="137"/>
      <c r="C33" s="137"/>
      <c r="D33" s="137"/>
      <c r="E33" s="137"/>
      <c r="F33" s="95" t="s">
        <v>402</v>
      </c>
      <c r="G33" s="345"/>
      <c r="H33" s="87">
        <v>1</v>
      </c>
      <c r="I33" s="120">
        <v>75</v>
      </c>
      <c r="J33" s="120">
        <v>50</v>
      </c>
      <c r="K33" s="151">
        <f>J33*1.5</f>
        <v>75</v>
      </c>
      <c r="L33" s="120"/>
      <c r="M33" s="149"/>
      <c r="N33" s="133"/>
      <c r="O33" s="137"/>
      <c r="P33" s="137"/>
      <c r="Q33" s="137"/>
      <c r="R33" s="137"/>
      <c r="S33" s="137"/>
      <c r="T33" s="137"/>
      <c r="U33" s="137"/>
      <c r="V33" s="137"/>
      <c r="W33" s="137"/>
      <c r="X33" s="137"/>
      <c r="Y33" s="137"/>
      <c r="Z33" s="95" t="s">
        <v>402</v>
      </c>
      <c r="AA33" s="345"/>
      <c r="AB33" s="99">
        <v>1</v>
      </c>
      <c r="AC33" s="120">
        <v>1900</v>
      </c>
      <c r="AD33" s="120">
        <v>140</v>
      </c>
      <c r="AE33" s="151">
        <v>175</v>
      </c>
      <c r="AF33" s="120"/>
      <c r="AG33" s="149"/>
      <c r="AH33" s="133"/>
      <c r="AI33" s="133"/>
      <c r="AJ33" s="133"/>
      <c r="AK33" s="133"/>
      <c r="AL33" s="133"/>
      <c r="AM33" s="133"/>
      <c r="AN33" s="137"/>
      <c r="AO33" s="137" t="s">
        <v>403</v>
      </c>
      <c r="AP33" s="138"/>
      <c r="AQ33" s="91">
        <v>27</v>
      </c>
      <c r="AR33" s="120">
        <v>3230</v>
      </c>
      <c r="AS33" s="120">
        <v>200</v>
      </c>
      <c r="AT33" s="151">
        <f t="shared" si="0"/>
        <v>240</v>
      </c>
      <c r="AU33" s="459">
        <v>20</v>
      </c>
      <c r="AV33" s="150">
        <v>49000</v>
      </c>
      <c r="AW33" s="149">
        <v>3</v>
      </c>
      <c r="AX33" s="120">
        <v>5</v>
      </c>
      <c r="AY33" s="120">
        <v>1063</v>
      </c>
      <c r="AZ33" s="120">
        <v>22</v>
      </c>
      <c r="BA33" s="120">
        <v>245</v>
      </c>
      <c r="BB33" s="120">
        <v>14</v>
      </c>
      <c r="BC33" s="137"/>
      <c r="BD33" s="137" t="s">
        <v>404</v>
      </c>
      <c r="BE33" s="138"/>
      <c r="BF33" s="91">
        <v>27</v>
      </c>
      <c r="BG33" s="120">
        <v>1244</v>
      </c>
      <c r="BH33" s="120">
        <v>304</v>
      </c>
      <c r="BI33" s="151">
        <f t="shared" si="1"/>
        <v>228</v>
      </c>
      <c r="BJ33" s="459">
        <v>20</v>
      </c>
      <c r="BK33" s="150">
        <v>54000</v>
      </c>
      <c r="BL33" s="149">
        <v>3</v>
      </c>
      <c r="BM33" s="120">
        <v>5</v>
      </c>
      <c r="BN33" s="120">
        <v>250</v>
      </c>
      <c r="BO33" s="139">
        <v>4.4000000000000004</v>
      </c>
      <c r="BP33" s="120">
        <v>557</v>
      </c>
      <c r="BQ33" s="120">
        <v>9</v>
      </c>
      <c r="BR33" s="202"/>
      <c r="BS33" s="202"/>
      <c r="BT33" s="202"/>
    </row>
    <row r="34" spans="1:72">
      <c r="A34" s="133"/>
      <c r="B34" s="137"/>
      <c r="C34" s="137"/>
      <c r="D34" s="137"/>
      <c r="E34" s="137"/>
      <c r="F34" s="95" t="s">
        <v>405</v>
      </c>
      <c r="G34" s="345"/>
      <c r="H34" s="87">
        <v>2</v>
      </c>
      <c r="I34" s="120">
        <v>90</v>
      </c>
      <c r="J34" s="120">
        <v>70</v>
      </c>
      <c r="K34" s="151">
        <f t="shared" ref="K34:K42" si="5">J34*1.5</f>
        <v>105</v>
      </c>
      <c r="L34" s="150">
        <v>120000</v>
      </c>
      <c r="M34" s="149">
        <v>0.33333333333333298</v>
      </c>
      <c r="N34" s="133"/>
      <c r="O34" s="137"/>
      <c r="P34" s="137" t="s">
        <v>406</v>
      </c>
      <c r="Q34" s="137"/>
      <c r="R34" s="137" t="s">
        <v>407</v>
      </c>
      <c r="S34" s="137"/>
      <c r="T34" s="137"/>
      <c r="U34" s="137"/>
      <c r="V34" s="137"/>
      <c r="W34" s="137"/>
      <c r="X34" s="137"/>
      <c r="Y34" s="137"/>
      <c r="Z34" s="95" t="s">
        <v>408</v>
      </c>
      <c r="AA34" s="345"/>
      <c r="AB34" s="99">
        <v>2</v>
      </c>
      <c r="AC34" s="120">
        <v>2100</v>
      </c>
      <c r="AD34" s="120">
        <v>160</v>
      </c>
      <c r="AE34" s="151">
        <v>200</v>
      </c>
      <c r="AF34" s="150">
        <v>1000000</v>
      </c>
      <c r="AG34" s="149">
        <v>0.75</v>
      </c>
      <c r="AH34" s="133"/>
      <c r="AI34" s="133"/>
      <c r="AJ34" s="133"/>
      <c r="AK34" s="133"/>
      <c r="AL34" s="133"/>
      <c r="AM34" s="133"/>
      <c r="AN34" s="137"/>
      <c r="AO34" s="137" t="s">
        <v>409</v>
      </c>
      <c r="AP34" s="138"/>
      <c r="AQ34" s="91">
        <v>28</v>
      </c>
      <c r="AR34" s="120">
        <v>3311</v>
      </c>
      <c r="AS34" s="120">
        <v>204</v>
      </c>
      <c r="AT34" s="151">
        <f t="shared" si="0"/>
        <v>244.79999999999998</v>
      </c>
      <c r="AU34" s="459">
        <v>20</v>
      </c>
      <c r="AV34" s="150">
        <v>51000</v>
      </c>
      <c r="AW34" s="149">
        <v>3</v>
      </c>
      <c r="AX34" s="120">
        <v>5</v>
      </c>
      <c r="AY34" s="120">
        <v>1063</v>
      </c>
      <c r="AZ34" s="120">
        <v>22</v>
      </c>
      <c r="BA34" s="120">
        <v>245</v>
      </c>
      <c r="BB34" s="120">
        <v>14</v>
      </c>
      <c r="BC34" s="137"/>
      <c r="BD34" s="137" t="s">
        <v>410</v>
      </c>
      <c r="BE34" s="138"/>
      <c r="BF34" s="91">
        <v>28</v>
      </c>
      <c r="BG34" s="120">
        <v>1270</v>
      </c>
      <c r="BH34" s="120">
        <v>311</v>
      </c>
      <c r="BI34" s="151">
        <f t="shared" si="1"/>
        <v>233.25</v>
      </c>
      <c r="BJ34" s="459">
        <v>20</v>
      </c>
      <c r="BK34" s="150">
        <v>56000</v>
      </c>
      <c r="BL34" s="149">
        <v>3</v>
      </c>
      <c r="BM34" s="120">
        <v>5</v>
      </c>
      <c r="BN34" s="120">
        <v>250</v>
      </c>
      <c r="BO34" s="139">
        <v>4.4000000000000004</v>
      </c>
      <c r="BP34" s="120">
        <v>557</v>
      </c>
      <c r="BQ34" s="120">
        <v>9</v>
      </c>
      <c r="BR34" s="202"/>
      <c r="BS34" s="202"/>
      <c r="BT34" s="202"/>
    </row>
    <row r="35" spans="1:72">
      <c r="A35" s="133"/>
      <c r="B35" s="137"/>
      <c r="C35" s="137"/>
      <c r="D35" s="137"/>
      <c r="E35" s="137"/>
      <c r="F35" s="346" t="s">
        <v>279</v>
      </c>
      <c r="G35" s="347"/>
      <c r="H35" s="87">
        <v>3</v>
      </c>
      <c r="I35" s="120">
        <v>108</v>
      </c>
      <c r="J35" s="120">
        <v>90</v>
      </c>
      <c r="K35" s="151">
        <f t="shared" si="5"/>
        <v>135</v>
      </c>
      <c r="L35" s="150">
        <v>320000</v>
      </c>
      <c r="M35" s="149">
        <v>0.5</v>
      </c>
      <c r="N35" s="133"/>
      <c r="O35" s="137"/>
      <c r="P35" s="134" t="s">
        <v>411</v>
      </c>
      <c r="Q35" s="145"/>
      <c r="R35" s="136" t="s">
        <v>243</v>
      </c>
      <c r="S35" s="136" t="s">
        <v>244</v>
      </c>
      <c r="T35" s="136" t="s">
        <v>412</v>
      </c>
      <c r="U35" s="136" t="s">
        <v>413</v>
      </c>
      <c r="V35" s="136" t="s">
        <v>246</v>
      </c>
      <c r="W35" s="136" t="s">
        <v>247</v>
      </c>
      <c r="X35" s="137"/>
      <c r="Y35" s="137"/>
      <c r="Z35" s="346" t="s">
        <v>279</v>
      </c>
      <c r="AA35" s="347"/>
      <c r="AB35" s="90">
        <v>3</v>
      </c>
      <c r="AC35" s="120">
        <v>2300</v>
      </c>
      <c r="AD35" s="120">
        <v>180</v>
      </c>
      <c r="AE35" s="151">
        <v>225</v>
      </c>
      <c r="AF35" s="150">
        <v>2000000</v>
      </c>
      <c r="AG35" s="149">
        <v>1.5</v>
      </c>
      <c r="AH35" s="133"/>
      <c r="AI35" s="133"/>
      <c r="AJ35" s="133"/>
      <c r="AK35" s="133"/>
      <c r="AL35" s="133"/>
      <c r="AM35" s="133"/>
      <c r="AN35" s="137"/>
      <c r="AO35" s="137" t="s">
        <v>414</v>
      </c>
      <c r="AP35" s="138"/>
      <c r="AQ35" s="91">
        <v>29</v>
      </c>
      <c r="AR35" s="120">
        <v>3394</v>
      </c>
      <c r="AS35" s="120">
        <v>208</v>
      </c>
      <c r="AT35" s="151">
        <f t="shared" si="0"/>
        <v>249.6</v>
      </c>
      <c r="AU35" s="459">
        <v>20</v>
      </c>
      <c r="AV35" s="150">
        <v>53000</v>
      </c>
      <c r="AW35" s="149">
        <v>3</v>
      </c>
      <c r="AX35" s="120">
        <v>5</v>
      </c>
      <c r="AY35" s="120">
        <v>1063</v>
      </c>
      <c r="AZ35" s="120">
        <v>22</v>
      </c>
      <c r="BA35" s="120">
        <v>245</v>
      </c>
      <c r="BB35" s="120">
        <v>14</v>
      </c>
      <c r="BC35" s="137"/>
      <c r="BD35" s="137" t="s">
        <v>415</v>
      </c>
      <c r="BE35" s="138"/>
      <c r="BF35" s="91">
        <v>29</v>
      </c>
      <c r="BG35" s="120">
        <v>1297</v>
      </c>
      <c r="BH35" s="120">
        <v>319</v>
      </c>
      <c r="BI35" s="151">
        <f t="shared" si="1"/>
        <v>239.25</v>
      </c>
      <c r="BJ35" s="459">
        <v>20</v>
      </c>
      <c r="BK35" s="150">
        <v>58000</v>
      </c>
      <c r="BL35" s="149">
        <v>3</v>
      </c>
      <c r="BM35" s="120">
        <v>5</v>
      </c>
      <c r="BN35" s="120">
        <v>250</v>
      </c>
      <c r="BO35" s="139">
        <v>4.4000000000000004</v>
      </c>
      <c r="BP35" s="120">
        <v>557</v>
      </c>
      <c r="BQ35" s="120">
        <v>9</v>
      </c>
      <c r="BR35" s="202"/>
      <c r="BS35" s="202"/>
      <c r="BT35" s="202"/>
    </row>
    <row r="36" spans="1:72">
      <c r="A36" s="133"/>
      <c r="B36" s="137"/>
      <c r="C36" s="137"/>
      <c r="D36" s="137"/>
      <c r="E36" s="137"/>
      <c r="F36" s="342" t="s">
        <v>416</v>
      </c>
      <c r="G36" s="344"/>
      <c r="H36" s="99">
        <v>4</v>
      </c>
      <c r="I36" s="120">
        <v>135</v>
      </c>
      <c r="J36" s="120">
        <v>125</v>
      </c>
      <c r="K36" s="151">
        <f t="shared" si="5"/>
        <v>187.5</v>
      </c>
      <c r="L36" s="150">
        <v>620000</v>
      </c>
      <c r="M36" s="149">
        <v>0.75</v>
      </c>
      <c r="N36" s="133"/>
      <c r="O36" s="137"/>
      <c r="P36" s="137" t="s">
        <v>275</v>
      </c>
      <c r="Q36" s="146"/>
      <c r="R36" s="87">
        <v>1</v>
      </c>
      <c r="S36" s="120">
        <v>500</v>
      </c>
      <c r="T36" s="120">
        <v>36</v>
      </c>
      <c r="U36" s="151">
        <v>19.8</v>
      </c>
      <c r="V36" s="120"/>
      <c r="W36" s="149"/>
      <c r="X36" s="137"/>
      <c r="Y36" s="137"/>
      <c r="Z36" s="342" t="s">
        <v>416</v>
      </c>
      <c r="AA36" s="344"/>
      <c r="AB36" s="91">
        <v>4</v>
      </c>
      <c r="AC36" s="120">
        <v>2700</v>
      </c>
      <c r="AD36" s="120">
        <v>210</v>
      </c>
      <c r="AE36" s="151">
        <v>262.5</v>
      </c>
      <c r="AF36" s="150">
        <v>3000000</v>
      </c>
      <c r="AG36" s="149">
        <v>3</v>
      </c>
      <c r="AH36" s="133"/>
      <c r="AI36" s="133"/>
      <c r="AJ36" s="133"/>
      <c r="AK36" s="133"/>
      <c r="AL36" s="133"/>
      <c r="AM36" s="133"/>
      <c r="AN36" s="137"/>
      <c r="AO36" s="137" t="s">
        <v>417</v>
      </c>
      <c r="AP36" s="138"/>
      <c r="AQ36" s="91">
        <v>30</v>
      </c>
      <c r="AR36" s="460">
        <v>3478</v>
      </c>
      <c r="AS36" s="460">
        <v>213</v>
      </c>
      <c r="AT36" s="461">
        <f t="shared" si="0"/>
        <v>255.6</v>
      </c>
      <c r="AU36" s="462">
        <v>22</v>
      </c>
      <c r="AV36" s="463">
        <v>55000</v>
      </c>
      <c r="AW36" s="149">
        <v>4</v>
      </c>
      <c r="AX36" s="460">
        <v>6</v>
      </c>
      <c r="AY36" s="460">
        <v>1247</v>
      </c>
      <c r="AZ36" s="460">
        <v>23</v>
      </c>
      <c r="BA36" s="460">
        <v>298</v>
      </c>
      <c r="BB36" s="460">
        <v>16</v>
      </c>
      <c r="BC36" s="137"/>
      <c r="BD36" s="137" t="s">
        <v>418</v>
      </c>
      <c r="BE36" s="138"/>
      <c r="BF36" s="91">
        <v>30</v>
      </c>
      <c r="BG36" s="460">
        <v>1324</v>
      </c>
      <c r="BH36" s="460">
        <v>327</v>
      </c>
      <c r="BI36" s="461">
        <f t="shared" si="1"/>
        <v>245.25</v>
      </c>
      <c r="BJ36" s="469">
        <v>22</v>
      </c>
      <c r="BK36" s="463">
        <v>60000</v>
      </c>
      <c r="BL36" s="149">
        <v>4</v>
      </c>
      <c r="BM36" s="460">
        <v>6</v>
      </c>
      <c r="BN36" s="460">
        <v>275</v>
      </c>
      <c r="BO36" s="470">
        <v>4.5999999999999996</v>
      </c>
      <c r="BP36" s="460">
        <v>638</v>
      </c>
      <c r="BQ36" s="460">
        <v>10</v>
      </c>
      <c r="BR36" s="202"/>
      <c r="BS36" s="202"/>
      <c r="BT36" s="202"/>
    </row>
    <row r="37" spans="1:72">
      <c r="A37" s="133"/>
      <c r="B37" s="137"/>
      <c r="C37" s="137"/>
      <c r="D37" s="137"/>
      <c r="E37" s="137"/>
      <c r="F37" s="95"/>
      <c r="G37" s="345"/>
      <c r="H37" s="90">
        <v>5</v>
      </c>
      <c r="I37" s="120">
        <v>165</v>
      </c>
      <c r="J37" s="120">
        <v>170</v>
      </c>
      <c r="K37" s="151">
        <f t="shared" si="5"/>
        <v>255</v>
      </c>
      <c r="L37" s="150">
        <v>1200000</v>
      </c>
      <c r="M37" s="149">
        <v>1</v>
      </c>
      <c r="N37" s="133"/>
      <c r="O37" s="137"/>
      <c r="P37" s="137" t="s">
        <v>419</v>
      </c>
      <c r="Q37" s="146"/>
      <c r="R37" s="87">
        <v>2</v>
      </c>
      <c r="S37" s="120">
        <v>600</v>
      </c>
      <c r="T37" s="120">
        <v>48</v>
      </c>
      <c r="U37" s="151">
        <v>26.4</v>
      </c>
      <c r="V37" s="150">
        <v>450000</v>
      </c>
      <c r="W37" s="149">
        <v>0.5</v>
      </c>
      <c r="X37" s="137"/>
      <c r="Y37" s="137"/>
      <c r="Z37" s="95"/>
      <c r="AA37" s="345"/>
      <c r="AB37" s="92">
        <v>5</v>
      </c>
      <c r="AC37" s="120">
        <v>3100</v>
      </c>
      <c r="AD37" s="120">
        <v>240</v>
      </c>
      <c r="AE37" s="151">
        <v>300</v>
      </c>
      <c r="AF37" s="150">
        <v>3800000</v>
      </c>
      <c r="AG37" s="149">
        <v>5.25</v>
      </c>
      <c r="AH37" s="133"/>
      <c r="AI37" s="133"/>
      <c r="AJ37" s="133"/>
      <c r="AK37" s="133"/>
      <c r="AL37" s="133"/>
      <c r="AM37" s="133"/>
      <c r="AN37" s="137"/>
      <c r="AO37" s="137" t="s">
        <v>420</v>
      </c>
      <c r="AP37" s="138"/>
      <c r="AQ37" s="92">
        <v>31</v>
      </c>
      <c r="AR37" s="120">
        <v>3565</v>
      </c>
      <c r="AS37" s="120">
        <v>217</v>
      </c>
      <c r="AT37" s="464">
        <f t="shared" si="0"/>
        <v>260.39999999999998</v>
      </c>
      <c r="AU37" s="465">
        <v>22</v>
      </c>
      <c r="AV37" s="466">
        <v>57000</v>
      </c>
      <c r="AW37" s="468">
        <v>4</v>
      </c>
      <c r="AX37" s="120">
        <v>6</v>
      </c>
      <c r="AY37" s="120">
        <v>1247</v>
      </c>
      <c r="AZ37" s="120">
        <v>23</v>
      </c>
      <c r="BA37" s="120">
        <v>298</v>
      </c>
      <c r="BB37" s="120">
        <v>16</v>
      </c>
      <c r="BC37" s="137"/>
      <c r="BD37" s="137"/>
      <c r="BE37" s="138"/>
      <c r="BF37" s="92">
        <v>31</v>
      </c>
      <c r="BG37" s="120">
        <v>1352</v>
      </c>
      <c r="BH37" s="120">
        <v>335</v>
      </c>
      <c r="BI37" s="464">
        <f t="shared" si="1"/>
        <v>251.25</v>
      </c>
      <c r="BJ37" s="459">
        <v>22</v>
      </c>
      <c r="BK37" s="466">
        <v>63000</v>
      </c>
      <c r="BL37" s="468">
        <v>4</v>
      </c>
      <c r="BM37" s="120">
        <v>6</v>
      </c>
      <c r="BN37" s="120">
        <v>275</v>
      </c>
      <c r="BO37" s="139">
        <v>4.5999999999999996</v>
      </c>
      <c r="BP37" s="120">
        <v>638</v>
      </c>
      <c r="BQ37" s="120">
        <v>10</v>
      </c>
      <c r="BR37" s="202"/>
      <c r="BS37" s="202"/>
      <c r="BT37" s="202"/>
    </row>
    <row r="38" spans="1:72">
      <c r="A38" s="133"/>
      <c r="B38" s="137"/>
      <c r="C38" s="137"/>
      <c r="D38" s="137"/>
      <c r="E38" s="137"/>
      <c r="F38" s="346"/>
      <c r="G38" s="347"/>
      <c r="H38" s="91">
        <v>6</v>
      </c>
      <c r="I38" s="120">
        <v>180</v>
      </c>
      <c r="J38" s="120">
        <v>185</v>
      </c>
      <c r="K38" s="151">
        <f t="shared" si="5"/>
        <v>277.5</v>
      </c>
      <c r="L38" s="150">
        <v>2200000</v>
      </c>
      <c r="M38" s="149">
        <v>2</v>
      </c>
      <c r="N38" s="133"/>
      <c r="O38" s="137"/>
      <c r="P38" s="140" t="s">
        <v>279</v>
      </c>
      <c r="Q38" s="141"/>
      <c r="R38" s="90">
        <v>3</v>
      </c>
      <c r="S38" s="120">
        <v>840</v>
      </c>
      <c r="T38" s="120">
        <v>60</v>
      </c>
      <c r="U38" s="151">
        <v>33</v>
      </c>
      <c r="V38" s="150">
        <v>900000</v>
      </c>
      <c r="W38" s="149">
        <v>1</v>
      </c>
      <c r="X38" s="137"/>
      <c r="Y38" s="137"/>
      <c r="Z38" s="346"/>
      <c r="AA38" s="347"/>
      <c r="AB38" s="93">
        <v>6</v>
      </c>
      <c r="AC38" s="120">
        <v>3400</v>
      </c>
      <c r="AD38" s="120">
        <v>270</v>
      </c>
      <c r="AE38" s="151">
        <v>337.5</v>
      </c>
      <c r="AF38" s="150">
        <v>4900000</v>
      </c>
      <c r="AG38" s="149">
        <v>5.5</v>
      </c>
      <c r="AH38" s="133"/>
      <c r="AI38" s="133"/>
      <c r="AJ38" s="133"/>
      <c r="AK38" s="133"/>
      <c r="AL38" s="133"/>
      <c r="AM38" s="133"/>
      <c r="AN38" s="137"/>
      <c r="AO38" s="137" t="s">
        <v>421</v>
      </c>
      <c r="AP38" s="138"/>
      <c r="AQ38" s="92">
        <v>32</v>
      </c>
      <c r="AR38" s="120">
        <v>3655</v>
      </c>
      <c r="AS38" s="120">
        <v>221</v>
      </c>
      <c r="AT38" s="151">
        <f t="shared" si="0"/>
        <v>265.2</v>
      </c>
      <c r="AU38" s="459">
        <v>22</v>
      </c>
      <c r="AV38" s="150">
        <v>59000</v>
      </c>
      <c r="AW38" s="149">
        <v>4</v>
      </c>
      <c r="AX38" s="120">
        <v>6</v>
      </c>
      <c r="AY38" s="120">
        <v>1247</v>
      </c>
      <c r="AZ38" s="120">
        <v>23</v>
      </c>
      <c r="BA38" s="120">
        <v>298</v>
      </c>
      <c r="BB38" s="120">
        <v>16</v>
      </c>
      <c r="BC38" s="137"/>
      <c r="BD38" s="137"/>
      <c r="BE38" s="138"/>
      <c r="BF38" s="92">
        <v>32</v>
      </c>
      <c r="BG38" s="120">
        <v>1380</v>
      </c>
      <c r="BH38" s="120">
        <v>344</v>
      </c>
      <c r="BI38" s="151">
        <f t="shared" si="1"/>
        <v>258</v>
      </c>
      <c r="BJ38" s="459">
        <v>22</v>
      </c>
      <c r="BK38" s="150">
        <v>65000</v>
      </c>
      <c r="BL38" s="149">
        <v>4</v>
      </c>
      <c r="BM38" s="120">
        <v>6</v>
      </c>
      <c r="BN38" s="120">
        <v>275</v>
      </c>
      <c r="BO38" s="139">
        <v>4.5999999999999996</v>
      </c>
      <c r="BP38" s="120">
        <v>638</v>
      </c>
      <c r="BQ38" s="120">
        <v>10</v>
      </c>
      <c r="BR38" s="202"/>
      <c r="BS38" s="202"/>
      <c r="BT38" s="202"/>
    </row>
    <row r="39" spans="1:72">
      <c r="A39" s="133"/>
      <c r="B39" s="137"/>
      <c r="C39" s="137"/>
      <c r="D39" s="137"/>
      <c r="E39" s="137"/>
      <c r="F39" s="95" t="s">
        <v>422</v>
      </c>
      <c r="G39" s="344"/>
      <c r="H39" s="92">
        <v>7</v>
      </c>
      <c r="I39" s="120">
        <v>195</v>
      </c>
      <c r="J39" s="120">
        <v>200</v>
      </c>
      <c r="K39" s="151">
        <f t="shared" si="5"/>
        <v>300</v>
      </c>
      <c r="L39" s="150">
        <v>3500000</v>
      </c>
      <c r="M39" s="149">
        <v>3.5</v>
      </c>
      <c r="N39" s="133"/>
      <c r="O39" s="137"/>
      <c r="P39" s="134" t="s">
        <v>423</v>
      </c>
      <c r="Q39" s="145"/>
      <c r="R39" s="91">
        <v>4</v>
      </c>
      <c r="S39" s="120">
        <v>1200</v>
      </c>
      <c r="T39" s="120">
        <v>66</v>
      </c>
      <c r="U39" s="151">
        <v>36.299999999999997</v>
      </c>
      <c r="V39" s="150">
        <v>2700000</v>
      </c>
      <c r="W39" s="149">
        <v>2</v>
      </c>
      <c r="X39" s="137"/>
      <c r="Y39" s="137"/>
      <c r="Z39" s="95" t="s">
        <v>424</v>
      </c>
      <c r="AA39" s="344"/>
      <c r="AB39" s="94">
        <v>7</v>
      </c>
      <c r="AC39" s="120">
        <v>3900</v>
      </c>
      <c r="AD39" s="120">
        <v>310</v>
      </c>
      <c r="AE39" s="151">
        <v>387.5</v>
      </c>
      <c r="AF39" s="150">
        <v>7000000</v>
      </c>
      <c r="AG39" s="149">
        <v>10</v>
      </c>
      <c r="AH39" s="133"/>
      <c r="AI39" s="133"/>
      <c r="AJ39" s="133"/>
      <c r="AK39" s="133"/>
      <c r="AL39" s="133"/>
      <c r="AM39" s="133"/>
      <c r="AN39" s="137"/>
      <c r="AO39" s="137" t="s">
        <v>425</v>
      </c>
      <c r="AP39" s="138"/>
      <c r="AQ39" s="92">
        <v>33</v>
      </c>
      <c r="AR39" s="120">
        <v>3746</v>
      </c>
      <c r="AS39" s="120">
        <v>226</v>
      </c>
      <c r="AT39" s="151">
        <f t="shared" si="0"/>
        <v>271.2</v>
      </c>
      <c r="AU39" s="459">
        <v>22</v>
      </c>
      <c r="AV39" s="150">
        <v>60000</v>
      </c>
      <c r="AW39" s="149">
        <v>4</v>
      </c>
      <c r="AX39" s="120">
        <v>6</v>
      </c>
      <c r="AY39" s="120">
        <v>1247</v>
      </c>
      <c r="AZ39" s="120">
        <v>23</v>
      </c>
      <c r="BA39" s="120">
        <v>298</v>
      </c>
      <c r="BB39" s="120">
        <v>16</v>
      </c>
      <c r="BC39" s="137"/>
      <c r="BD39" s="137"/>
      <c r="BE39" s="138"/>
      <c r="BF39" s="92">
        <v>33</v>
      </c>
      <c r="BG39" s="120">
        <v>1409</v>
      </c>
      <c r="BH39" s="120">
        <v>352</v>
      </c>
      <c r="BI39" s="151">
        <f t="shared" si="1"/>
        <v>264</v>
      </c>
      <c r="BJ39" s="459">
        <v>22</v>
      </c>
      <c r="BK39" s="150">
        <v>67000</v>
      </c>
      <c r="BL39" s="149">
        <v>4</v>
      </c>
      <c r="BM39" s="120">
        <v>6</v>
      </c>
      <c r="BN39" s="120">
        <v>275</v>
      </c>
      <c r="BO39" s="139">
        <v>4.5999999999999996</v>
      </c>
      <c r="BP39" s="120">
        <v>638</v>
      </c>
      <c r="BQ39" s="120">
        <v>10</v>
      </c>
      <c r="BR39" s="202"/>
      <c r="BS39" s="202"/>
      <c r="BT39" s="202"/>
    </row>
    <row r="40" spans="1:72">
      <c r="A40" s="133"/>
      <c r="B40" s="137"/>
      <c r="C40" s="137"/>
      <c r="D40" s="137"/>
      <c r="E40" s="137"/>
      <c r="F40" s="95" t="s">
        <v>316</v>
      </c>
      <c r="G40" s="345"/>
      <c r="H40" s="93">
        <v>8</v>
      </c>
      <c r="I40" s="120">
        <v>210</v>
      </c>
      <c r="J40" s="120">
        <v>215</v>
      </c>
      <c r="K40" s="151">
        <f t="shared" si="5"/>
        <v>322.5</v>
      </c>
      <c r="L40" s="150">
        <v>5000000</v>
      </c>
      <c r="M40" s="149">
        <v>5.25</v>
      </c>
      <c r="N40" s="133"/>
      <c r="O40" s="137"/>
      <c r="P40" s="137"/>
      <c r="Q40" s="146"/>
      <c r="R40" s="93">
        <v>5</v>
      </c>
      <c r="S40" s="120">
        <v>1500</v>
      </c>
      <c r="T40" s="120">
        <v>72</v>
      </c>
      <c r="U40" s="151">
        <v>48.24</v>
      </c>
      <c r="V40" s="150">
        <v>4200000</v>
      </c>
      <c r="W40" s="149">
        <v>7</v>
      </c>
      <c r="X40" s="137"/>
      <c r="Y40" s="137"/>
      <c r="Z40" s="95" t="s">
        <v>426</v>
      </c>
      <c r="AA40" s="345"/>
      <c r="AB40" s="100">
        <v>8</v>
      </c>
      <c r="AC40" s="120">
        <v>4200</v>
      </c>
      <c r="AD40" s="120">
        <v>330</v>
      </c>
      <c r="AE40" s="151">
        <f>AD40*1.25</f>
        <v>412.5</v>
      </c>
      <c r="AF40" s="150">
        <v>11000000</v>
      </c>
      <c r="AG40" s="149">
        <v>12</v>
      </c>
      <c r="AH40" s="133"/>
      <c r="AI40" s="133"/>
      <c r="AJ40" s="133"/>
      <c r="AK40" s="133"/>
      <c r="AL40" s="133"/>
      <c r="AM40" s="133"/>
      <c r="AN40" s="137"/>
      <c r="AO40" s="137" t="s">
        <v>427</v>
      </c>
      <c r="AP40" s="138"/>
      <c r="AQ40" s="92">
        <v>34</v>
      </c>
      <c r="AR40" s="120">
        <v>3840</v>
      </c>
      <c r="AS40" s="120">
        <v>230</v>
      </c>
      <c r="AT40" s="151">
        <f t="shared" ref="AT40:AT86" si="6">AS40*1.2</f>
        <v>276</v>
      </c>
      <c r="AU40" s="459">
        <v>22</v>
      </c>
      <c r="AV40" s="150">
        <v>62000</v>
      </c>
      <c r="AW40" s="149">
        <v>4</v>
      </c>
      <c r="AX40" s="120">
        <v>6</v>
      </c>
      <c r="AY40" s="120">
        <v>1247</v>
      </c>
      <c r="AZ40" s="120">
        <v>23</v>
      </c>
      <c r="BA40" s="120">
        <v>298</v>
      </c>
      <c r="BB40" s="120">
        <v>16</v>
      </c>
      <c r="BC40" s="137"/>
      <c r="BD40" s="137"/>
      <c r="BE40" s="138"/>
      <c r="BF40" s="92">
        <v>34</v>
      </c>
      <c r="BG40" s="120">
        <v>1439</v>
      </c>
      <c r="BH40" s="120">
        <v>361</v>
      </c>
      <c r="BI40" s="151">
        <f t="shared" ref="BI40:BI86" si="7">BH40*0.75</f>
        <v>270.75</v>
      </c>
      <c r="BJ40" s="459">
        <v>22</v>
      </c>
      <c r="BK40" s="150">
        <v>69000</v>
      </c>
      <c r="BL40" s="149">
        <v>4</v>
      </c>
      <c r="BM40" s="120">
        <v>6</v>
      </c>
      <c r="BN40" s="120">
        <v>275</v>
      </c>
      <c r="BO40" s="139">
        <v>4.5999999999999996</v>
      </c>
      <c r="BP40" s="120">
        <v>638</v>
      </c>
      <c r="BQ40" s="120">
        <v>10</v>
      </c>
      <c r="BR40" s="202"/>
      <c r="BS40" s="202"/>
      <c r="BT40" s="202"/>
    </row>
    <row r="41" spans="1:72">
      <c r="A41" s="133"/>
      <c r="B41" s="133"/>
      <c r="C41" s="133"/>
      <c r="D41" s="137"/>
      <c r="E41" s="137"/>
      <c r="F41" s="95" t="s">
        <v>428</v>
      </c>
      <c r="G41" s="138"/>
      <c r="H41" s="94">
        <v>9</v>
      </c>
      <c r="I41" s="120">
        <v>230</v>
      </c>
      <c r="J41" s="120">
        <v>230</v>
      </c>
      <c r="K41" s="151">
        <f t="shared" si="5"/>
        <v>345</v>
      </c>
      <c r="L41" s="150">
        <v>6500000</v>
      </c>
      <c r="M41" s="149">
        <v>8.75</v>
      </c>
      <c r="N41" s="133"/>
      <c r="O41" s="137"/>
      <c r="P41" s="140"/>
      <c r="Q41" s="141"/>
      <c r="R41" s="100">
        <v>6</v>
      </c>
      <c r="S41" s="120">
        <v>1600</v>
      </c>
      <c r="T41" s="120">
        <v>72</v>
      </c>
      <c r="U41" s="151">
        <v>56.16</v>
      </c>
      <c r="V41" s="150">
        <v>9800000</v>
      </c>
      <c r="W41" s="149">
        <v>10.5</v>
      </c>
      <c r="X41" s="137"/>
      <c r="Y41" s="137"/>
      <c r="Z41" s="95" t="s">
        <v>429</v>
      </c>
      <c r="AA41" s="137"/>
      <c r="AB41" s="112">
        <v>9</v>
      </c>
      <c r="AC41" s="120">
        <v>4500</v>
      </c>
      <c r="AD41" s="120">
        <v>350</v>
      </c>
      <c r="AE41" s="151">
        <f>AD41*1.25</f>
        <v>437.5</v>
      </c>
      <c r="AF41" s="150">
        <v>17500000</v>
      </c>
      <c r="AG41" s="149">
        <v>17</v>
      </c>
      <c r="AH41" s="133"/>
      <c r="AI41" s="133"/>
      <c r="AJ41" s="133"/>
      <c r="AK41" s="133"/>
      <c r="AL41" s="133"/>
      <c r="AM41" s="133"/>
      <c r="AN41" s="137"/>
      <c r="AO41" s="137"/>
      <c r="AP41" s="138"/>
      <c r="AQ41" s="92">
        <v>35</v>
      </c>
      <c r="AR41" s="120">
        <v>3936</v>
      </c>
      <c r="AS41" s="120">
        <v>235</v>
      </c>
      <c r="AT41" s="151">
        <f t="shared" si="6"/>
        <v>282</v>
      </c>
      <c r="AU41" s="459">
        <v>24</v>
      </c>
      <c r="AV41" s="150">
        <v>64000</v>
      </c>
      <c r="AW41" s="149">
        <v>4.75</v>
      </c>
      <c r="AX41" s="120">
        <v>7</v>
      </c>
      <c r="AY41" s="120">
        <v>1455</v>
      </c>
      <c r="AZ41" s="120">
        <v>24</v>
      </c>
      <c r="BA41" s="120">
        <v>354</v>
      </c>
      <c r="BB41" s="120">
        <v>18</v>
      </c>
      <c r="BC41" s="137"/>
      <c r="BD41" s="137"/>
      <c r="BE41" s="138"/>
      <c r="BF41" s="92">
        <v>35</v>
      </c>
      <c r="BG41" s="120">
        <v>1469</v>
      </c>
      <c r="BH41" s="120">
        <v>370</v>
      </c>
      <c r="BI41" s="151">
        <f t="shared" si="7"/>
        <v>277.5</v>
      </c>
      <c r="BJ41" s="459">
        <v>24</v>
      </c>
      <c r="BK41" s="150">
        <v>72000</v>
      </c>
      <c r="BL41" s="149">
        <v>4.75</v>
      </c>
      <c r="BM41" s="120">
        <v>7</v>
      </c>
      <c r="BN41" s="120">
        <v>300</v>
      </c>
      <c r="BO41" s="139">
        <v>4.8</v>
      </c>
      <c r="BP41" s="120">
        <v>725</v>
      </c>
      <c r="BQ41" s="120">
        <v>11</v>
      </c>
      <c r="BR41" s="202"/>
      <c r="BS41" s="202"/>
      <c r="BT41" s="202"/>
    </row>
    <row r="42" spans="1:72">
      <c r="A42" s="133"/>
      <c r="B42" s="133"/>
      <c r="C42" s="133"/>
      <c r="D42" s="137"/>
      <c r="E42" s="137"/>
      <c r="F42" s="137"/>
      <c r="G42" s="138"/>
      <c r="H42" s="100">
        <v>10</v>
      </c>
      <c r="I42" s="120">
        <v>250</v>
      </c>
      <c r="J42" s="120">
        <v>245</v>
      </c>
      <c r="K42" s="151">
        <f t="shared" si="5"/>
        <v>367.5</v>
      </c>
      <c r="L42" s="150">
        <v>10500000</v>
      </c>
      <c r="M42" s="149">
        <v>11</v>
      </c>
      <c r="N42" s="133"/>
      <c r="O42" s="137"/>
      <c r="P42" s="137" t="s">
        <v>430</v>
      </c>
      <c r="Q42" s="145"/>
      <c r="R42" s="121">
        <v>7</v>
      </c>
      <c r="S42" s="120">
        <v>1700</v>
      </c>
      <c r="T42" s="120">
        <v>72</v>
      </c>
      <c r="U42" s="151">
        <v>62.64</v>
      </c>
      <c r="V42" s="150">
        <v>16000000</v>
      </c>
      <c r="W42" s="149">
        <v>16</v>
      </c>
      <c r="X42" s="137"/>
      <c r="Y42" s="137"/>
      <c r="Z42" s="137"/>
      <c r="AA42" s="137"/>
      <c r="AB42" s="133"/>
      <c r="AC42" s="133"/>
      <c r="AD42" s="133"/>
      <c r="AE42" s="133"/>
      <c r="AF42" s="133"/>
      <c r="AG42" s="133"/>
      <c r="AH42" s="133"/>
      <c r="AI42" s="133"/>
      <c r="AJ42" s="133"/>
      <c r="AK42" s="133"/>
      <c r="AL42" s="133"/>
      <c r="AM42" s="133"/>
      <c r="AN42" s="137"/>
      <c r="AO42" s="137"/>
      <c r="AP42" s="138"/>
      <c r="AQ42" s="92">
        <v>36</v>
      </c>
      <c r="AR42" s="120">
        <v>4034</v>
      </c>
      <c r="AS42" s="120">
        <v>239</v>
      </c>
      <c r="AT42" s="151">
        <f t="shared" si="6"/>
        <v>286.8</v>
      </c>
      <c r="AU42" s="459">
        <v>24</v>
      </c>
      <c r="AV42" s="150">
        <v>66000</v>
      </c>
      <c r="AW42" s="149">
        <v>4.75</v>
      </c>
      <c r="AX42" s="120">
        <v>7</v>
      </c>
      <c r="AY42" s="120">
        <v>1455</v>
      </c>
      <c r="AZ42" s="120">
        <v>24</v>
      </c>
      <c r="BA42" s="120">
        <v>354</v>
      </c>
      <c r="BB42" s="120">
        <v>18</v>
      </c>
      <c r="BC42" s="137"/>
      <c r="BD42" s="137"/>
      <c r="BE42" s="138"/>
      <c r="BF42" s="92">
        <v>36</v>
      </c>
      <c r="BG42" s="120">
        <v>1500</v>
      </c>
      <c r="BH42" s="120">
        <v>379</v>
      </c>
      <c r="BI42" s="151">
        <f t="shared" si="7"/>
        <v>284.25</v>
      </c>
      <c r="BJ42" s="459">
        <v>24</v>
      </c>
      <c r="BK42" s="150">
        <v>74000</v>
      </c>
      <c r="BL42" s="149">
        <v>4.75</v>
      </c>
      <c r="BM42" s="120">
        <v>7</v>
      </c>
      <c r="BN42" s="120">
        <v>300</v>
      </c>
      <c r="BO42" s="139">
        <v>4.8</v>
      </c>
      <c r="BP42" s="120">
        <v>725</v>
      </c>
      <c r="BQ42" s="120">
        <v>11</v>
      </c>
      <c r="BR42" s="202"/>
      <c r="BS42" s="202"/>
      <c r="BT42" s="202"/>
    </row>
    <row r="43" spans="1:72">
      <c r="A43" s="133"/>
      <c r="B43" s="133"/>
      <c r="C43" s="133"/>
      <c r="D43" s="133"/>
      <c r="E43" s="133"/>
      <c r="F43" s="137"/>
      <c r="G43" s="137"/>
      <c r="H43" s="113">
        <v>11</v>
      </c>
      <c r="I43" s="120">
        <v>270</v>
      </c>
      <c r="J43" s="120">
        <v>260</v>
      </c>
      <c r="K43" s="151">
        <f t="shared" ref="K43" si="8">J43*1.5</f>
        <v>390</v>
      </c>
      <c r="L43" s="150">
        <v>17200000</v>
      </c>
      <c r="M43" s="149">
        <v>16</v>
      </c>
      <c r="N43" s="137"/>
      <c r="O43" s="133"/>
      <c r="P43" s="137" t="s">
        <v>431</v>
      </c>
      <c r="Q43" s="146"/>
      <c r="R43" s="137" t="s">
        <v>432</v>
      </c>
      <c r="S43" s="137"/>
      <c r="T43" s="137"/>
      <c r="U43" s="137"/>
      <c r="V43" s="137"/>
      <c r="W43" s="137"/>
      <c r="X43" s="137"/>
      <c r="Y43" s="137"/>
      <c r="Z43" s="133"/>
      <c r="AA43" s="133"/>
      <c r="AB43" s="133"/>
      <c r="AC43" s="133"/>
      <c r="AD43" s="133"/>
      <c r="AE43" s="133"/>
      <c r="AF43" s="133"/>
      <c r="AG43" s="133"/>
      <c r="AH43" s="133"/>
      <c r="AI43" s="133"/>
      <c r="AJ43" s="133"/>
      <c r="AK43" s="133"/>
      <c r="AL43" s="133"/>
      <c r="AM43" s="133"/>
      <c r="AN43" s="137"/>
      <c r="AO43" s="137"/>
      <c r="AP43" s="138"/>
      <c r="AQ43" s="92">
        <v>37</v>
      </c>
      <c r="AR43" s="120">
        <v>4135</v>
      </c>
      <c r="AS43" s="120">
        <v>244</v>
      </c>
      <c r="AT43" s="151">
        <f t="shared" si="6"/>
        <v>292.8</v>
      </c>
      <c r="AU43" s="459">
        <v>24</v>
      </c>
      <c r="AV43" s="150">
        <v>68000</v>
      </c>
      <c r="AW43" s="149">
        <v>4.75</v>
      </c>
      <c r="AX43" s="120">
        <v>7</v>
      </c>
      <c r="AY43" s="120">
        <v>1455</v>
      </c>
      <c r="AZ43" s="120">
        <v>24</v>
      </c>
      <c r="BA43" s="120">
        <v>354</v>
      </c>
      <c r="BB43" s="120">
        <v>18</v>
      </c>
      <c r="BC43" s="137"/>
      <c r="BD43" s="137"/>
      <c r="BE43" s="138"/>
      <c r="BF43" s="92">
        <v>37</v>
      </c>
      <c r="BG43" s="120">
        <v>1532</v>
      </c>
      <c r="BH43" s="120">
        <v>389</v>
      </c>
      <c r="BI43" s="151">
        <f t="shared" si="7"/>
        <v>291.75</v>
      </c>
      <c r="BJ43" s="459">
        <v>24</v>
      </c>
      <c r="BK43" s="150">
        <v>77000</v>
      </c>
      <c r="BL43" s="149">
        <v>4.75</v>
      </c>
      <c r="BM43" s="120">
        <v>7</v>
      </c>
      <c r="BN43" s="120">
        <v>300</v>
      </c>
      <c r="BO43" s="139">
        <v>4.8</v>
      </c>
      <c r="BP43" s="120">
        <v>725</v>
      </c>
      <c r="BQ43" s="120">
        <v>11</v>
      </c>
      <c r="BR43" s="202"/>
      <c r="BS43" s="202"/>
      <c r="BT43" s="202"/>
    </row>
    <row r="44" spans="1:72">
      <c r="A44" s="133"/>
      <c r="B44" s="133"/>
      <c r="C44" s="133"/>
      <c r="D44" s="133"/>
      <c r="E44" s="133"/>
      <c r="F44" s="137" t="s">
        <v>433</v>
      </c>
      <c r="G44" s="137"/>
      <c r="H44" s="137"/>
      <c r="I44" s="137"/>
      <c r="J44" s="137"/>
      <c r="K44" s="137"/>
      <c r="L44" s="137"/>
      <c r="M44" s="137"/>
      <c r="N44" s="137"/>
      <c r="O44" s="133"/>
      <c r="P44" s="95" t="s">
        <v>434</v>
      </c>
      <c r="Q44" s="133"/>
      <c r="R44" s="365" t="s">
        <v>435</v>
      </c>
      <c r="S44" s="137"/>
      <c r="T44" s="137"/>
      <c r="U44" s="137"/>
      <c r="V44" s="137"/>
      <c r="W44" s="137"/>
      <c r="X44" s="137"/>
      <c r="Y44" s="137"/>
      <c r="Z44" s="137" t="s">
        <v>436</v>
      </c>
      <c r="AA44" s="137"/>
      <c r="AB44" s="137"/>
      <c r="AC44" s="137"/>
      <c r="AD44" s="137"/>
      <c r="AE44" s="137"/>
      <c r="AF44" s="137"/>
      <c r="AG44" s="137"/>
      <c r="AH44" s="137"/>
      <c r="AI44" s="133"/>
      <c r="AJ44" s="133"/>
      <c r="AK44" s="133"/>
      <c r="AL44" s="133"/>
      <c r="AM44" s="133"/>
      <c r="AN44" s="137"/>
      <c r="AO44" s="137"/>
      <c r="AP44" s="138"/>
      <c r="AQ44" s="92">
        <v>38</v>
      </c>
      <c r="AR44" s="120">
        <v>4238</v>
      </c>
      <c r="AS44" s="120">
        <v>249</v>
      </c>
      <c r="AT44" s="151">
        <f t="shared" si="6"/>
        <v>298.8</v>
      </c>
      <c r="AU44" s="459">
        <v>24</v>
      </c>
      <c r="AV44" s="150">
        <v>70000</v>
      </c>
      <c r="AW44" s="149">
        <v>4.75</v>
      </c>
      <c r="AX44" s="120">
        <v>7</v>
      </c>
      <c r="AY44" s="120">
        <v>1455</v>
      </c>
      <c r="AZ44" s="120">
        <v>24</v>
      </c>
      <c r="BA44" s="120">
        <v>354</v>
      </c>
      <c r="BB44" s="120">
        <v>18</v>
      </c>
      <c r="BC44" s="137"/>
      <c r="BD44" s="137"/>
      <c r="BE44" s="138"/>
      <c r="BF44" s="92">
        <v>38</v>
      </c>
      <c r="BG44" s="120">
        <v>1564</v>
      </c>
      <c r="BH44" s="120">
        <v>398</v>
      </c>
      <c r="BI44" s="151">
        <f t="shared" si="7"/>
        <v>298.5</v>
      </c>
      <c r="BJ44" s="459">
        <v>24</v>
      </c>
      <c r="BK44" s="150">
        <v>79000</v>
      </c>
      <c r="BL44" s="149">
        <v>4.75</v>
      </c>
      <c r="BM44" s="120">
        <v>7</v>
      </c>
      <c r="BN44" s="120">
        <v>300</v>
      </c>
      <c r="BO44" s="139">
        <v>4.8</v>
      </c>
      <c r="BP44" s="120">
        <v>725</v>
      </c>
      <c r="BQ44" s="120">
        <v>11</v>
      </c>
      <c r="BR44" s="202"/>
      <c r="BS44" s="202"/>
      <c r="BT44" s="202"/>
    </row>
    <row r="45" spans="1:72">
      <c r="A45" s="133"/>
      <c r="B45" s="133"/>
      <c r="C45" s="133"/>
      <c r="D45" s="133"/>
      <c r="E45" s="133"/>
      <c r="F45" s="342" t="s">
        <v>242</v>
      </c>
      <c r="G45" s="344"/>
      <c r="H45" s="136" t="s">
        <v>243</v>
      </c>
      <c r="I45" s="136" t="s">
        <v>244</v>
      </c>
      <c r="J45" s="136" t="s">
        <v>245</v>
      </c>
      <c r="K45" s="452" t="s">
        <v>250</v>
      </c>
      <c r="L45" s="136" t="s">
        <v>246</v>
      </c>
      <c r="M45" s="136" t="s">
        <v>247</v>
      </c>
      <c r="N45" s="137"/>
      <c r="O45" s="133"/>
      <c r="P45" s="137"/>
      <c r="Q45" s="137"/>
      <c r="R45" s="137"/>
      <c r="S45" s="137"/>
      <c r="T45" s="137"/>
      <c r="U45" s="137"/>
      <c r="V45" s="137"/>
      <c r="W45" s="137"/>
      <c r="X45" s="137"/>
      <c r="Y45" s="137"/>
      <c r="Z45" s="342" t="s">
        <v>242</v>
      </c>
      <c r="AA45" s="344"/>
      <c r="AB45" s="136" t="s">
        <v>243</v>
      </c>
      <c r="AC45" s="136" t="s">
        <v>244</v>
      </c>
      <c r="AD45" s="136" t="s">
        <v>245</v>
      </c>
      <c r="AE45" s="136" t="s">
        <v>250</v>
      </c>
      <c r="AF45" s="136" t="s">
        <v>246</v>
      </c>
      <c r="AG45" s="136" t="s">
        <v>247</v>
      </c>
      <c r="AH45" s="137"/>
      <c r="AI45" s="133"/>
      <c r="AJ45" s="133"/>
      <c r="AK45" s="133"/>
      <c r="AL45" s="133"/>
      <c r="AM45" s="133"/>
      <c r="AN45" s="137"/>
      <c r="AO45" s="137"/>
      <c r="AP45" s="138"/>
      <c r="AQ45" s="92">
        <v>39</v>
      </c>
      <c r="AR45" s="120">
        <v>4344</v>
      </c>
      <c r="AS45" s="120">
        <v>254</v>
      </c>
      <c r="AT45" s="151">
        <f t="shared" si="6"/>
        <v>304.8</v>
      </c>
      <c r="AU45" s="459">
        <v>24</v>
      </c>
      <c r="AV45" s="150">
        <v>73000</v>
      </c>
      <c r="AW45" s="149">
        <v>4.75</v>
      </c>
      <c r="AX45" s="120">
        <v>7</v>
      </c>
      <c r="AY45" s="120">
        <v>1455</v>
      </c>
      <c r="AZ45" s="120">
        <v>24</v>
      </c>
      <c r="BA45" s="120">
        <v>354</v>
      </c>
      <c r="BB45" s="120">
        <v>18</v>
      </c>
      <c r="BC45" s="137"/>
      <c r="BD45" s="137"/>
      <c r="BE45" s="138"/>
      <c r="BF45" s="92">
        <v>39</v>
      </c>
      <c r="BG45" s="120">
        <v>1597</v>
      </c>
      <c r="BH45" s="120">
        <v>408</v>
      </c>
      <c r="BI45" s="151">
        <f t="shared" si="7"/>
        <v>306</v>
      </c>
      <c r="BJ45" s="459">
        <v>24</v>
      </c>
      <c r="BK45" s="150">
        <v>82000</v>
      </c>
      <c r="BL45" s="149">
        <v>4.75</v>
      </c>
      <c r="BM45" s="120">
        <v>7</v>
      </c>
      <c r="BN45" s="120">
        <v>300</v>
      </c>
      <c r="BO45" s="139">
        <v>4.8</v>
      </c>
      <c r="BP45" s="120">
        <v>725</v>
      </c>
      <c r="BQ45" s="120">
        <v>11</v>
      </c>
      <c r="BR45" s="202"/>
      <c r="BS45" s="202"/>
      <c r="BT45" s="202"/>
    </row>
    <row r="46" spans="1:72">
      <c r="A46" s="133"/>
      <c r="B46" s="133"/>
      <c r="C46" s="133"/>
      <c r="D46" s="133"/>
      <c r="E46" s="133"/>
      <c r="F46" s="95" t="s">
        <v>437</v>
      </c>
      <c r="G46" s="345"/>
      <c r="H46" s="90">
        <v>1</v>
      </c>
      <c r="I46" s="120">
        <v>3000</v>
      </c>
      <c r="J46" s="120">
        <v>260</v>
      </c>
      <c r="K46" s="120">
        <f>J46*1.8</f>
        <v>468</v>
      </c>
      <c r="L46" s="120"/>
      <c r="M46" s="149"/>
      <c r="N46" s="137"/>
      <c r="O46" s="133"/>
      <c r="P46" s="133"/>
      <c r="Q46" s="133"/>
      <c r="R46" s="133"/>
      <c r="S46" s="133"/>
      <c r="T46" s="133"/>
      <c r="U46" s="133"/>
      <c r="V46" s="133"/>
      <c r="W46" s="133"/>
      <c r="X46" s="137"/>
      <c r="Y46" s="133"/>
      <c r="Z46" s="95" t="s">
        <v>438</v>
      </c>
      <c r="AA46" s="345"/>
      <c r="AB46" s="92">
        <v>1</v>
      </c>
      <c r="AC46" s="120">
        <v>550</v>
      </c>
      <c r="AD46" s="120">
        <v>80</v>
      </c>
      <c r="AE46" s="151">
        <f t="shared" ref="AE46:AE53" si="9">AD46*1.7</f>
        <v>136</v>
      </c>
      <c r="AF46" s="120"/>
      <c r="AG46" s="149"/>
      <c r="AH46" s="137"/>
      <c r="AI46" s="133"/>
      <c r="AJ46" s="133"/>
      <c r="AK46" s="133"/>
      <c r="AL46" s="133"/>
      <c r="AM46" s="133"/>
      <c r="AN46" s="137"/>
      <c r="AO46" s="137"/>
      <c r="AP46" s="138"/>
      <c r="AQ46" s="92">
        <v>40</v>
      </c>
      <c r="AR46" s="460">
        <v>4453</v>
      </c>
      <c r="AS46" s="460">
        <v>259</v>
      </c>
      <c r="AT46" s="461">
        <f t="shared" si="6"/>
        <v>310.8</v>
      </c>
      <c r="AU46" s="462">
        <v>26</v>
      </c>
      <c r="AV46" s="463">
        <v>76000</v>
      </c>
      <c r="AW46" s="467">
        <v>5.5</v>
      </c>
      <c r="AX46" s="460">
        <v>8</v>
      </c>
      <c r="AY46" s="460">
        <v>1692</v>
      </c>
      <c r="AZ46" s="460">
        <v>25</v>
      </c>
      <c r="BA46" s="460">
        <v>414</v>
      </c>
      <c r="BB46" s="460">
        <v>20</v>
      </c>
      <c r="BC46" s="137"/>
      <c r="BD46" s="137"/>
      <c r="BE46" s="138"/>
      <c r="BF46" s="92">
        <v>40</v>
      </c>
      <c r="BG46" s="460">
        <v>1630</v>
      </c>
      <c r="BH46" s="460">
        <v>419</v>
      </c>
      <c r="BI46" s="461">
        <f t="shared" si="7"/>
        <v>314.25</v>
      </c>
      <c r="BJ46" s="469">
        <v>26</v>
      </c>
      <c r="BK46" s="463">
        <v>84000</v>
      </c>
      <c r="BL46" s="467">
        <v>5.5</v>
      </c>
      <c r="BM46" s="460">
        <v>8</v>
      </c>
      <c r="BN46" s="460">
        <v>325</v>
      </c>
      <c r="BO46" s="470">
        <v>5</v>
      </c>
      <c r="BP46" s="460">
        <v>819</v>
      </c>
      <c r="BQ46" s="460">
        <v>12</v>
      </c>
      <c r="BR46" s="202"/>
      <c r="BS46" s="202"/>
      <c r="BT46" s="202"/>
    </row>
    <row r="47" spans="1:72">
      <c r="A47" s="133"/>
      <c r="B47" s="133"/>
      <c r="C47" s="133"/>
      <c r="D47" s="133"/>
      <c r="E47" s="133"/>
      <c r="F47" s="95" t="s">
        <v>439</v>
      </c>
      <c r="G47" s="345"/>
      <c r="H47" s="90">
        <v>2</v>
      </c>
      <c r="I47" s="120">
        <v>3500</v>
      </c>
      <c r="J47" s="120">
        <v>290</v>
      </c>
      <c r="K47" s="120">
        <f t="shared" ref="K47:K54" si="10">J47*1.8</f>
        <v>522</v>
      </c>
      <c r="L47" s="150">
        <v>1200000</v>
      </c>
      <c r="M47" s="149">
        <v>0.5</v>
      </c>
      <c r="N47" s="137"/>
      <c r="O47" s="133"/>
      <c r="P47" s="137" t="s">
        <v>440</v>
      </c>
      <c r="Q47" s="137"/>
      <c r="R47" s="137" t="s">
        <v>441</v>
      </c>
      <c r="S47" s="137"/>
      <c r="T47" s="137"/>
      <c r="U47" s="137"/>
      <c r="V47" s="137"/>
      <c r="W47" s="137"/>
      <c r="X47" s="137"/>
      <c r="Y47" s="133"/>
      <c r="Z47" s="95" t="s">
        <v>442</v>
      </c>
      <c r="AA47" s="345"/>
      <c r="AB47" s="92">
        <v>2</v>
      </c>
      <c r="AC47" s="120">
        <v>610</v>
      </c>
      <c r="AD47" s="120">
        <v>88</v>
      </c>
      <c r="AE47" s="151">
        <f t="shared" si="9"/>
        <v>149.6</v>
      </c>
      <c r="AF47" s="150">
        <v>2500000</v>
      </c>
      <c r="AG47" s="149">
        <v>2.1666666666666701</v>
      </c>
      <c r="AH47" s="137"/>
      <c r="AI47" s="133"/>
      <c r="AJ47" s="133"/>
      <c r="AK47" s="133"/>
      <c r="AL47" s="133"/>
      <c r="AM47" s="133"/>
      <c r="AN47" s="137"/>
      <c r="AO47" s="137"/>
      <c r="AP47" s="138"/>
      <c r="AQ47" s="93">
        <v>41</v>
      </c>
      <c r="AR47" s="120">
        <v>4564</v>
      </c>
      <c r="AS47" s="120">
        <v>275</v>
      </c>
      <c r="AT47" s="464">
        <f t="shared" si="6"/>
        <v>330</v>
      </c>
      <c r="AU47" s="465">
        <v>26</v>
      </c>
      <c r="AV47" s="466">
        <v>80000</v>
      </c>
      <c r="AW47" s="149">
        <v>5.5</v>
      </c>
      <c r="AX47" s="120">
        <v>8</v>
      </c>
      <c r="AY47" s="120">
        <v>1692</v>
      </c>
      <c r="AZ47" s="120">
        <v>25</v>
      </c>
      <c r="BA47" s="120">
        <v>414</v>
      </c>
      <c r="BB47" s="120">
        <v>20</v>
      </c>
      <c r="BC47" s="137"/>
      <c r="BD47" s="137"/>
      <c r="BE47" s="138"/>
      <c r="BF47" s="93">
        <v>41</v>
      </c>
      <c r="BG47" s="120">
        <v>1664</v>
      </c>
      <c r="BH47" s="120">
        <v>429</v>
      </c>
      <c r="BI47" s="464">
        <f t="shared" si="7"/>
        <v>321.75</v>
      </c>
      <c r="BJ47" s="459">
        <v>26</v>
      </c>
      <c r="BK47" s="466">
        <v>89000</v>
      </c>
      <c r="BL47" s="149">
        <v>5.5</v>
      </c>
      <c r="BM47" s="120">
        <v>8</v>
      </c>
      <c r="BN47" s="120">
        <v>325</v>
      </c>
      <c r="BO47" s="139">
        <v>5</v>
      </c>
      <c r="BP47" s="120">
        <v>819</v>
      </c>
      <c r="BQ47" s="120">
        <v>12</v>
      </c>
      <c r="BR47" s="202"/>
      <c r="BS47" s="202"/>
      <c r="BT47" s="202"/>
    </row>
    <row r="48" spans="1:72">
      <c r="A48" s="133"/>
      <c r="B48" s="133"/>
      <c r="C48" s="133"/>
      <c r="D48" s="133"/>
      <c r="E48" s="133"/>
      <c r="F48" s="346" t="s">
        <v>279</v>
      </c>
      <c r="G48" s="347"/>
      <c r="H48" s="90">
        <v>3</v>
      </c>
      <c r="I48" s="120">
        <v>4000</v>
      </c>
      <c r="J48" s="120">
        <v>320</v>
      </c>
      <c r="K48" s="120">
        <f t="shared" si="10"/>
        <v>576</v>
      </c>
      <c r="L48" s="150">
        <v>1800000</v>
      </c>
      <c r="M48" s="149">
        <v>1</v>
      </c>
      <c r="N48" s="137"/>
      <c r="O48" s="133"/>
      <c r="P48" s="342" t="s">
        <v>248</v>
      </c>
      <c r="Q48" s="344"/>
      <c r="R48" s="136" t="s">
        <v>243</v>
      </c>
      <c r="S48" s="136" t="s">
        <v>244</v>
      </c>
      <c r="T48" s="136" t="s">
        <v>245</v>
      </c>
      <c r="U48" s="136" t="s">
        <v>443</v>
      </c>
      <c r="V48" s="136" t="s">
        <v>246</v>
      </c>
      <c r="W48" s="136" t="s">
        <v>247</v>
      </c>
      <c r="X48" s="137"/>
      <c r="Y48" s="133"/>
      <c r="Z48" s="346" t="s">
        <v>360</v>
      </c>
      <c r="AA48" s="347"/>
      <c r="AB48" s="92">
        <v>3</v>
      </c>
      <c r="AC48" s="120">
        <v>670</v>
      </c>
      <c r="AD48" s="120">
        <v>96</v>
      </c>
      <c r="AE48" s="151">
        <f t="shared" si="9"/>
        <v>163.19999999999999</v>
      </c>
      <c r="AF48" s="150">
        <v>3200000</v>
      </c>
      <c r="AG48" s="149">
        <v>3.5</v>
      </c>
      <c r="AH48" s="137"/>
      <c r="AI48" s="133"/>
      <c r="AJ48" s="133"/>
      <c r="AK48" s="133"/>
      <c r="AL48" s="133"/>
      <c r="AM48" s="133"/>
      <c r="AN48" s="137"/>
      <c r="AO48" s="137"/>
      <c r="AP48" s="138"/>
      <c r="AQ48" s="93">
        <v>42</v>
      </c>
      <c r="AR48" s="120">
        <v>4678</v>
      </c>
      <c r="AS48" s="120">
        <v>281</v>
      </c>
      <c r="AT48" s="151">
        <f t="shared" si="6"/>
        <v>337.2</v>
      </c>
      <c r="AU48" s="459">
        <v>26</v>
      </c>
      <c r="AV48" s="150">
        <v>85000</v>
      </c>
      <c r="AW48" s="149">
        <v>5.5</v>
      </c>
      <c r="AX48" s="120">
        <v>8</v>
      </c>
      <c r="AY48" s="120">
        <v>1692</v>
      </c>
      <c r="AZ48" s="120">
        <v>25</v>
      </c>
      <c r="BA48" s="120">
        <v>414</v>
      </c>
      <c r="BB48" s="120">
        <v>20</v>
      </c>
      <c r="BC48" s="137"/>
      <c r="BD48" s="137"/>
      <c r="BE48" s="138"/>
      <c r="BF48" s="93">
        <v>42</v>
      </c>
      <c r="BG48" s="120">
        <v>1699</v>
      </c>
      <c r="BH48" s="120">
        <v>440</v>
      </c>
      <c r="BI48" s="151">
        <f t="shared" si="7"/>
        <v>330</v>
      </c>
      <c r="BJ48" s="459">
        <v>26</v>
      </c>
      <c r="BK48" s="150">
        <v>93000</v>
      </c>
      <c r="BL48" s="149">
        <v>5.5</v>
      </c>
      <c r="BM48" s="120">
        <v>8</v>
      </c>
      <c r="BN48" s="120">
        <v>325</v>
      </c>
      <c r="BO48" s="139">
        <v>5</v>
      </c>
      <c r="BP48" s="120">
        <v>819</v>
      </c>
      <c r="BQ48" s="120">
        <v>12</v>
      </c>
      <c r="BR48" s="202"/>
      <c r="BS48" s="202"/>
      <c r="BT48" s="202"/>
    </row>
    <row r="49" spans="1:72">
      <c r="A49" s="133"/>
      <c r="B49" s="133"/>
      <c r="C49" s="133"/>
      <c r="D49" s="133"/>
      <c r="E49" s="133"/>
      <c r="F49" s="342" t="s">
        <v>287</v>
      </c>
      <c r="G49" s="344"/>
      <c r="H49" s="91">
        <v>4</v>
      </c>
      <c r="I49" s="120">
        <v>4500</v>
      </c>
      <c r="J49" s="120">
        <v>360</v>
      </c>
      <c r="K49" s="120">
        <f t="shared" si="10"/>
        <v>648</v>
      </c>
      <c r="L49" s="150">
        <v>2800000</v>
      </c>
      <c r="M49" s="149">
        <v>2</v>
      </c>
      <c r="N49" s="137"/>
      <c r="O49" s="133"/>
      <c r="P49" s="95" t="s">
        <v>444</v>
      </c>
      <c r="Q49" s="345"/>
      <c r="R49" s="91">
        <v>1</v>
      </c>
      <c r="S49" s="120">
        <v>1200</v>
      </c>
      <c r="T49" s="120">
        <v>75</v>
      </c>
      <c r="U49" s="120">
        <v>225</v>
      </c>
      <c r="V49" s="120"/>
      <c r="W49" s="149"/>
      <c r="X49" s="137"/>
      <c r="Y49" s="133"/>
      <c r="Z49" s="342" t="s">
        <v>287</v>
      </c>
      <c r="AA49" s="344"/>
      <c r="AB49" s="93">
        <v>4</v>
      </c>
      <c r="AC49" s="120">
        <v>730</v>
      </c>
      <c r="AD49" s="120">
        <v>104</v>
      </c>
      <c r="AE49" s="151">
        <f t="shared" si="9"/>
        <v>176.79999999999998</v>
      </c>
      <c r="AF49" s="150">
        <v>3800000</v>
      </c>
      <c r="AG49" s="149">
        <v>4</v>
      </c>
      <c r="AH49" s="137"/>
      <c r="AI49" s="133"/>
      <c r="AJ49" s="133"/>
      <c r="AK49" s="133"/>
      <c r="AL49" s="133"/>
      <c r="AM49" s="133"/>
      <c r="AN49" s="137"/>
      <c r="AO49" s="137"/>
      <c r="AP49" s="138"/>
      <c r="AQ49" s="93">
        <v>43</v>
      </c>
      <c r="AR49" s="120">
        <v>4795</v>
      </c>
      <c r="AS49" s="120">
        <v>287</v>
      </c>
      <c r="AT49" s="151">
        <f t="shared" si="6"/>
        <v>344.4</v>
      </c>
      <c r="AU49" s="459">
        <v>26</v>
      </c>
      <c r="AV49" s="150">
        <v>89000</v>
      </c>
      <c r="AW49" s="149">
        <v>5.5</v>
      </c>
      <c r="AX49" s="120">
        <v>8</v>
      </c>
      <c r="AY49" s="120">
        <v>1692</v>
      </c>
      <c r="AZ49" s="120">
        <v>25</v>
      </c>
      <c r="BA49" s="120">
        <v>414</v>
      </c>
      <c r="BB49" s="120">
        <v>20</v>
      </c>
      <c r="BC49" s="137"/>
      <c r="BD49" s="137"/>
      <c r="BE49" s="138"/>
      <c r="BF49" s="93">
        <v>43</v>
      </c>
      <c r="BG49" s="120">
        <v>1735</v>
      </c>
      <c r="BH49" s="120">
        <v>451</v>
      </c>
      <c r="BI49" s="151">
        <f t="shared" si="7"/>
        <v>338.25</v>
      </c>
      <c r="BJ49" s="459">
        <v>26</v>
      </c>
      <c r="BK49" s="150">
        <v>97000</v>
      </c>
      <c r="BL49" s="149">
        <v>5.5</v>
      </c>
      <c r="BM49" s="120">
        <v>8</v>
      </c>
      <c r="BN49" s="120">
        <v>325</v>
      </c>
      <c r="BO49" s="139">
        <v>5</v>
      </c>
      <c r="BP49" s="120">
        <v>819</v>
      </c>
      <c r="BQ49" s="120">
        <v>12</v>
      </c>
      <c r="BR49" s="202"/>
      <c r="BS49" s="202"/>
      <c r="BT49" s="202"/>
    </row>
    <row r="50" spans="1:72" ht="14.25" customHeight="1">
      <c r="A50" s="133"/>
      <c r="B50" s="133"/>
      <c r="C50" s="133"/>
      <c r="D50" s="133"/>
      <c r="E50" s="133"/>
      <c r="F50" s="95"/>
      <c r="G50" s="345"/>
      <c r="H50" s="92">
        <v>5</v>
      </c>
      <c r="I50" s="120">
        <v>5000</v>
      </c>
      <c r="J50" s="120">
        <v>410</v>
      </c>
      <c r="K50" s="120">
        <f t="shared" si="10"/>
        <v>738</v>
      </c>
      <c r="L50" s="150">
        <v>3200000</v>
      </c>
      <c r="M50" s="149">
        <v>3.5</v>
      </c>
      <c r="N50" s="137"/>
      <c r="O50" s="133"/>
      <c r="P50" s="95" t="s">
        <v>272</v>
      </c>
      <c r="Q50" s="345"/>
      <c r="R50" s="91">
        <v>2</v>
      </c>
      <c r="S50" s="120">
        <v>1300</v>
      </c>
      <c r="T50" s="120">
        <v>85</v>
      </c>
      <c r="U50" s="120">
        <v>255</v>
      </c>
      <c r="V50" s="150">
        <v>2000000</v>
      </c>
      <c r="W50" s="149">
        <v>2</v>
      </c>
      <c r="X50" s="137"/>
      <c r="Y50" s="133"/>
      <c r="Z50" s="95"/>
      <c r="AA50" s="345"/>
      <c r="AB50" s="93">
        <v>5</v>
      </c>
      <c r="AC50" s="120">
        <v>800</v>
      </c>
      <c r="AD50" s="120">
        <v>112</v>
      </c>
      <c r="AE50" s="151">
        <f t="shared" si="9"/>
        <v>190.4</v>
      </c>
      <c r="AF50" s="150">
        <v>5000000</v>
      </c>
      <c r="AG50" s="149">
        <v>7</v>
      </c>
      <c r="AH50" s="137"/>
      <c r="AI50" s="133"/>
      <c r="AJ50" s="133"/>
      <c r="AK50" s="133"/>
      <c r="AL50" s="133"/>
      <c r="AM50" s="133"/>
      <c r="AN50" s="137"/>
      <c r="AO50" s="137"/>
      <c r="AP50" s="138"/>
      <c r="AQ50" s="93">
        <v>44</v>
      </c>
      <c r="AR50" s="120">
        <v>4915</v>
      </c>
      <c r="AS50" s="120">
        <v>293</v>
      </c>
      <c r="AT50" s="151">
        <f t="shared" si="6"/>
        <v>351.59999999999997</v>
      </c>
      <c r="AU50" s="459">
        <v>26</v>
      </c>
      <c r="AV50" s="150">
        <v>94000</v>
      </c>
      <c r="AW50" s="149">
        <v>5.5</v>
      </c>
      <c r="AX50" s="120">
        <v>8</v>
      </c>
      <c r="AY50" s="120">
        <v>1692</v>
      </c>
      <c r="AZ50" s="120">
        <v>25</v>
      </c>
      <c r="BA50" s="120">
        <v>414</v>
      </c>
      <c r="BB50" s="120">
        <v>20</v>
      </c>
      <c r="BC50" s="137"/>
      <c r="BD50" s="137"/>
      <c r="BE50" s="138"/>
      <c r="BF50" s="93">
        <v>44</v>
      </c>
      <c r="BG50" s="120">
        <v>1771</v>
      </c>
      <c r="BH50" s="120">
        <v>462</v>
      </c>
      <c r="BI50" s="151">
        <f t="shared" si="7"/>
        <v>346.5</v>
      </c>
      <c r="BJ50" s="459">
        <v>26</v>
      </c>
      <c r="BK50" s="150">
        <v>101000</v>
      </c>
      <c r="BL50" s="149">
        <v>5.5</v>
      </c>
      <c r="BM50" s="120">
        <v>8</v>
      </c>
      <c r="BN50" s="120">
        <v>325</v>
      </c>
      <c r="BO50" s="139">
        <v>5</v>
      </c>
      <c r="BP50" s="120">
        <v>819</v>
      </c>
      <c r="BQ50" s="120">
        <v>12</v>
      </c>
      <c r="BR50" s="202"/>
      <c r="BS50" s="202"/>
      <c r="BT50" s="202"/>
    </row>
    <row r="51" spans="1:72" ht="14.25" customHeight="1">
      <c r="A51" s="133"/>
      <c r="B51" s="133"/>
      <c r="C51" s="133"/>
      <c r="D51" s="133"/>
      <c r="E51" s="133"/>
      <c r="F51" s="346"/>
      <c r="G51" s="347"/>
      <c r="H51" s="92">
        <v>6</v>
      </c>
      <c r="I51" s="120">
        <v>5500</v>
      </c>
      <c r="J51" s="120">
        <v>470</v>
      </c>
      <c r="K51" s="120">
        <f t="shared" si="10"/>
        <v>846</v>
      </c>
      <c r="L51" s="150">
        <v>4200000</v>
      </c>
      <c r="M51" s="149">
        <v>79</v>
      </c>
      <c r="N51" s="137"/>
      <c r="O51" s="133"/>
      <c r="P51" s="346" t="s">
        <v>445</v>
      </c>
      <c r="Q51" s="347"/>
      <c r="R51" s="92">
        <v>3</v>
      </c>
      <c r="S51" s="120">
        <v>1400</v>
      </c>
      <c r="T51" s="120">
        <v>95</v>
      </c>
      <c r="U51" s="120">
        <v>285</v>
      </c>
      <c r="V51" s="150">
        <v>2500000</v>
      </c>
      <c r="W51" s="149">
        <v>3.5</v>
      </c>
      <c r="X51" s="137"/>
      <c r="Y51" s="133"/>
      <c r="Z51" s="346"/>
      <c r="AA51" s="347"/>
      <c r="AB51" s="94">
        <v>6</v>
      </c>
      <c r="AC51" s="120">
        <v>900</v>
      </c>
      <c r="AD51" s="120">
        <v>120</v>
      </c>
      <c r="AE51" s="151">
        <f t="shared" si="9"/>
        <v>204</v>
      </c>
      <c r="AF51" s="150">
        <v>6500000</v>
      </c>
      <c r="AG51" s="149">
        <v>9</v>
      </c>
      <c r="AH51" s="137"/>
      <c r="AI51" s="133"/>
      <c r="AJ51" s="133"/>
      <c r="AK51" s="133"/>
      <c r="AL51" s="133"/>
      <c r="AM51" s="133"/>
      <c r="AN51" s="137"/>
      <c r="AO51" s="137"/>
      <c r="AP51" s="138"/>
      <c r="AQ51" s="93">
        <v>45</v>
      </c>
      <c r="AR51" s="120">
        <v>5038</v>
      </c>
      <c r="AS51" s="120">
        <v>299</v>
      </c>
      <c r="AT51" s="151">
        <f t="shared" si="6"/>
        <v>358.8</v>
      </c>
      <c r="AU51" s="459">
        <v>28</v>
      </c>
      <c r="AV51" s="150">
        <v>98000</v>
      </c>
      <c r="AW51" s="149">
        <v>5.75</v>
      </c>
      <c r="AX51" s="120">
        <v>9</v>
      </c>
      <c r="AY51" s="120">
        <v>1963</v>
      </c>
      <c r="AZ51" s="120">
        <v>26</v>
      </c>
      <c r="BA51" s="120">
        <v>478</v>
      </c>
      <c r="BB51" s="120">
        <v>22</v>
      </c>
      <c r="BC51" s="137"/>
      <c r="BD51" s="137"/>
      <c r="BE51" s="138"/>
      <c r="BF51" s="93">
        <v>45</v>
      </c>
      <c r="BG51" s="120">
        <v>1809</v>
      </c>
      <c r="BH51" s="120">
        <v>474</v>
      </c>
      <c r="BI51" s="151">
        <f t="shared" si="7"/>
        <v>355.5</v>
      </c>
      <c r="BJ51" s="459">
        <v>28</v>
      </c>
      <c r="BK51" s="150">
        <v>106000</v>
      </c>
      <c r="BL51" s="149">
        <v>5.75</v>
      </c>
      <c r="BM51" s="120">
        <v>9</v>
      </c>
      <c r="BN51" s="120">
        <v>350</v>
      </c>
      <c r="BO51" s="139">
        <v>5.2</v>
      </c>
      <c r="BP51" s="120">
        <v>920</v>
      </c>
      <c r="BQ51" s="120">
        <v>13</v>
      </c>
      <c r="BR51" s="202"/>
      <c r="BS51" s="202"/>
      <c r="BT51" s="202"/>
    </row>
    <row r="52" spans="1:72">
      <c r="A52" s="133"/>
      <c r="B52" s="133"/>
      <c r="C52" s="133"/>
      <c r="D52" s="133"/>
      <c r="E52" s="133"/>
      <c r="F52" s="95" t="s">
        <v>446</v>
      </c>
      <c r="G52" s="344"/>
      <c r="H52" s="93">
        <v>7</v>
      </c>
      <c r="I52" s="120">
        <v>5900</v>
      </c>
      <c r="J52" s="120">
        <v>540</v>
      </c>
      <c r="K52" s="120">
        <f t="shared" si="10"/>
        <v>972</v>
      </c>
      <c r="L52" s="150">
        <v>5200000</v>
      </c>
      <c r="M52" s="149">
        <v>6</v>
      </c>
      <c r="N52" s="137"/>
      <c r="O52" s="133"/>
      <c r="P52" s="342" t="s">
        <v>416</v>
      </c>
      <c r="Q52" s="344"/>
      <c r="R52" s="92">
        <v>4</v>
      </c>
      <c r="S52" s="120">
        <v>1500</v>
      </c>
      <c r="T52" s="120">
        <v>105</v>
      </c>
      <c r="U52" s="120">
        <v>315</v>
      </c>
      <c r="V52" s="150">
        <v>3400000</v>
      </c>
      <c r="W52" s="149">
        <v>5</v>
      </c>
      <c r="X52" s="137"/>
      <c r="Y52" s="133"/>
      <c r="Z52" s="95" t="s">
        <v>447</v>
      </c>
      <c r="AA52" s="345"/>
      <c r="AB52" s="100">
        <v>7</v>
      </c>
      <c r="AC52" s="120">
        <v>1000</v>
      </c>
      <c r="AD52" s="120">
        <v>128</v>
      </c>
      <c r="AE52" s="151">
        <f t="shared" si="9"/>
        <v>217.6</v>
      </c>
      <c r="AF52" s="150">
        <v>10000000</v>
      </c>
      <c r="AG52" s="149">
        <v>11.75</v>
      </c>
      <c r="AH52" s="137"/>
      <c r="AI52" s="133"/>
      <c r="AJ52" s="133"/>
      <c r="AK52" s="133"/>
      <c r="AL52" s="133"/>
      <c r="AM52" s="133"/>
      <c r="AN52" s="137"/>
      <c r="AO52" s="137"/>
      <c r="AP52" s="138"/>
      <c r="AQ52" s="93">
        <v>46</v>
      </c>
      <c r="AR52" s="120">
        <v>5164</v>
      </c>
      <c r="AS52" s="120">
        <v>305</v>
      </c>
      <c r="AT52" s="151">
        <f t="shared" si="6"/>
        <v>366</v>
      </c>
      <c r="AU52" s="459">
        <v>28</v>
      </c>
      <c r="AV52" s="150">
        <v>103000</v>
      </c>
      <c r="AW52" s="149">
        <v>5.75</v>
      </c>
      <c r="AX52" s="120">
        <v>9</v>
      </c>
      <c r="AY52" s="120">
        <v>1963</v>
      </c>
      <c r="AZ52" s="120">
        <v>26</v>
      </c>
      <c r="BA52" s="120">
        <v>478</v>
      </c>
      <c r="BB52" s="120">
        <v>22</v>
      </c>
      <c r="BC52" s="137"/>
      <c r="BD52" s="137"/>
      <c r="BE52" s="138"/>
      <c r="BF52" s="93">
        <v>46</v>
      </c>
      <c r="BG52" s="120">
        <v>1847</v>
      </c>
      <c r="BH52" s="120">
        <v>486</v>
      </c>
      <c r="BI52" s="151">
        <f t="shared" si="7"/>
        <v>364.5</v>
      </c>
      <c r="BJ52" s="459">
        <v>28</v>
      </c>
      <c r="BK52" s="150">
        <v>111000</v>
      </c>
      <c r="BL52" s="149">
        <v>5.75</v>
      </c>
      <c r="BM52" s="120">
        <v>9</v>
      </c>
      <c r="BN52" s="120">
        <v>350</v>
      </c>
      <c r="BO52" s="139">
        <v>5.2</v>
      </c>
      <c r="BP52" s="120">
        <v>920</v>
      </c>
      <c r="BQ52" s="120">
        <v>13</v>
      </c>
      <c r="BR52" s="202"/>
      <c r="BS52" s="202"/>
      <c r="BT52" s="202"/>
    </row>
    <row r="53" spans="1:72">
      <c r="A53" s="133"/>
      <c r="B53" s="133"/>
      <c r="C53" s="133"/>
      <c r="D53" s="133"/>
      <c r="E53" s="133"/>
      <c r="F53" s="95" t="s">
        <v>426</v>
      </c>
      <c r="G53" s="345"/>
      <c r="H53" s="94">
        <v>8</v>
      </c>
      <c r="I53" s="120">
        <v>6300</v>
      </c>
      <c r="J53" s="120">
        <v>610</v>
      </c>
      <c r="K53" s="120">
        <f t="shared" si="10"/>
        <v>1098</v>
      </c>
      <c r="L53" s="150">
        <v>7700000</v>
      </c>
      <c r="M53" s="149">
        <v>10</v>
      </c>
      <c r="N53" s="137"/>
      <c r="O53" s="133"/>
      <c r="P53" s="95"/>
      <c r="Q53" s="345"/>
      <c r="R53" s="93">
        <v>5</v>
      </c>
      <c r="S53" s="120">
        <v>1600</v>
      </c>
      <c r="T53" s="120">
        <v>115</v>
      </c>
      <c r="U53" s="120">
        <v>345</v>
      </c>
      <c r="V53" s="150">
        <v>4200000</v>
      </c>
      <c r="W53" s="149">
        <v>6.25</v>
      </c>
      <c r="X53" s="137"/>
      <c r="Y53" s="133"/>
      <c r="Z53" s="95" t="s">
        <v>316</v>
      </c>
      <c r="AA53" s="146"/>
      <c r="AB53" s="121">
        <v>8</v>
      </c>
      <c r="AC53" s="120">
        <v>1100</v>
      </c>
      <c r="AD53" s="120">
        <v>136</v>
      </c>
      <c r="AE53" s="151">
        <f t="shared" si="9"/>
        <v>231.2</v>
      </c>
      <c r="AF53" s="150">
        <v>16500000</v>
      </c>
      <c r="AG53" s="149">
        <v>16</v>
      </c>
      <c r="AH53" s="137"/>
      <c r="AI53" s="133"/>
      <c r="AJ53" s="133"/>
      <c r="AK53" s="133"/>
      <c r="AL53" s="133"/>
      <c r="AM53" s="133"/>
      <c r="AN53" s="137"/>
      <c r="AO53" s="137"/>
      <c r="AP53" s="138"/>
      <c r="AQ53" s="93">
        <v>47</v>
      </c>
      <c r="AR53" s="120">
        <v>5293</v>
      </c>
      <c r="AS53" s="120">
        <v>312</v>
      </c>
      <c r="AT53" s="151">
        <f t="shared" si="6"/>
        <v>374.4</v>
      </c>
      <c r="AU53" s="459">
        <v>28</v>
      </c>
      <c r="AV53" s="150">
        <v>109000</v>
      </c>
      <c r="AW53" s="149">
        <v>5.75</v>
      </c>
      <c r="AX53" s="120">
        <v>9</v>
      </c>
      <c r="AY53" s="120">
        <v>1963</v>
      </c>
      <c r="AZ53" s="120">
        <v>26</v>
      </c>
      <c r="BA53" s="120">
        <v>478</v>
      </c>
      <c r="BB53" s="120">
        <v>22</v>
      </c>
      <c r="BC53" s="137"/>
      <c r="BD53" s="137"/>
      <c r="BE53" s="138"/>
      <c r="BF53" s="93">
        <v>47</v>
      </c>
      <c r="BG53" s="120">
        <v>1885</v>
      </c>
      <c r="BH53" s="120">
        <v>498</v>
      </c>
      <c r="BI53" s="151">
        <f t="shared" si="7"/>
        <v>373.5</v>
      </c>
      <c r="BJ53" s="459">
        <v>28</v>
      </c>
      <c r="BK53" s="150">
        <v>116000</v>
      </c>
      <c r="BL53" s="149">
        <v>5.75</v>
      </c>
      <c r="BM53" s="120">
        <v>9</v>
      </c>
      <c r="BN53" s="120">
        <v>350</v>
      </c>
      <c r="BO53" s="139">
        <v>5.2</v>
      </c>
      <c r="BP53" s="120">
        <v>920</v>
      </c>
      <c r="BQ53" s="120">
        <v>13</v>
      </c>
      <c r="BR53" s="202"/>
      <c r="BS53" s="202"/>
      <c r="BT53" s="202"/>
    </row>
    <row r="54" spans="1:72">
      <c r="A54" s="133"/>
      <c r="B54" s="450"/>
      <c r="C54" s="133"/>
      <c r="D54" s="133"/>
      <c r="E54" s="133"/>
      <c r="F54" s="95" t="s">
        <v>448</v>
      </c>
      <c r="G54" s="345"/>
      <c r="H54" s="100">
        <v>9</v>
      </c>
      <c r="I54" s="120">
        <v>6700</v>
      </c>
      <c r="J54" s="120">
        <v>680</v>
      </c>
      <c r="K54" s="120">
        <f t="shared" si="10"/>
        <v>1224</v>
      </c>
      <c r="L54" s="150">
        <v>10500000</v>
      </c>
      <c r="M54" s="149">
        <v>11.25</v>
      </c>
      <c r="N54" s="137"/>
      <c r="O54" s="133"/>
      <c r="P54" s="346"/>
      <c r="Q54" s="347"/>
      <c r="R54" s="94">
        <v>6</v>
      </c>
      <c r="S54" s="120">
        <v>1700</v>
      </c>
      <c r="T54" s="120">
        <v>125</v>
      </c>
      <c r="U54" s="120">
        <v>375</v>
      </c>
      <c r="V54" s="150">
        <v>6300000</v>
      </c>
      <c r="W54" s="149">
        <v>8.25</v>
      </c>
      <c r="X54" s="137"/>
      <c r="Y54" s="133"/>
      <c r="Z54" s="95" t="s">
        <v>324</v>
      </c>
      <c r="AA54" s="391"/>
      <c r="AB54" s="122">
        <v>9</v>
      </c>
      <c r="AC54" s="120">
        <v>1250</v>
      </c>
      <c r="AD54" s="120">
        <v>144</v>
      </c>
      <c r="AE54" s="151">
        <f t="shared" ref="AE54" si="11">AD54*1.7</f>
        <v>244.79999999999998</v>
      </c>
      <c r="AF54" s="150">
        <v>16500001</v>
      </c>
      <c r="AG54" s="149">
        <v>17</v>
      </c>
      <c r="AH54" s="137"/>
      <c r="AI54" s="133"/>
      <c r="AJ54" s="133"/>
      <c r="AK54" s="133"/>
      <c r="AL54" s="133"/>
      <c r="AM54" s="133"/>
      <c r="AN54" s="137"/>
      <c r="AO54" s="137"/>
      <c r="AP54" s="138"/>
      <c r="AQ54" s="93">
        <v>48</v>
      </c>
      <c r="AR54" s="120">
        <v>5425</v>
      </c>
      <c r="AS54" s="120">
        <v>318</v>
      </c>
      <c r="AT54" s="151">
        <f t="shared" si="6"/>
        <v>381.59999999999997</v>
      </c>
      <c r="AU54" s="459">
        <v>28</v>
      </c>
      <c r="AV54" s="150">
        <v>114000</v>
      </c>
      <c r="AW54" s="149">
        <v>5.75</v>
      </c>
      <c r="AX54" s="120">
        <v>9</v>
      </c>
      <c r="AY54" s="120">
        <v>1963</v>
      </c>
      <c r="AZ54" s="120">
        <v>26</v>
      </c>
      <c r="BA54" s="120">
        <v>478</v>
      </c>
      <c r="BB54" s="120">
        <v>22</v>
      </c>
      <c r="BC54" s="137"/>
      <c r="BD54" s="137"/>
      <c r="BE54" s="138"/>
      <c r="BF54" s="93">
        <v>48</v>
      </c>
      <c r="BG54" s="120">
        <v>1925</v>
      </c>
      <c r="BH54" s="120">
        <v>510</v>
      </c>
      <c r="BI54" s="151">
        <f t="shared" si="7"/>
        <v>382.5</v>
      </c>
      <c r="BJ54" s="459">
        <v>28</v>
      </c>
      <c r="BK54" s="150">
        <v>122000</v>
      </c>
      <c r="BL54" s="149">
        <v>5.75</v>
      </c>
      <c r="BM54" s="120">
        <v>9</v>
      </c>
      <c r="BN54" s="120">
        <v>350</v>
      </c>
      <c r="BO54" s="139">
        <v>5.2</v>
      </c>
      <c r="BP54" s="120">
        <v>920</v>
      </c>
      <c r="BQ54" s="120">
        <v>13</v>
      </c>
      <c r="BR54" s="202"/>
      <c r="BS54" s="202"/>
      <c r="BT54" s="202"/>
    </row>
    <row r="55" spans="1:72">
      <c r="A55" s="133"/>
      <c r="B55" s="133"/>
      <c r="C55" s="133"/>
      <c r="D55" s="133"/>
      <c r="E55" s="133"/>
      <c r="F55" s="133"/>
      <c r="G55" s="133"/>
      <c r="H55" s="133"/>
      <c r="I55" s="133"/>
      <c r="J55" s="133"/>
      <c r="K55" s="133"/>
      <c r="L55" s="133"/>
      <c r="M55" s="133"/>
      <c r="N55" s="133"/>
      <c r="O55" s="133"/>
      <c r="P55" s="95" t="s">
        <v>449</v>
      </c>
      <c r="Q55" s="344"/>
      <c r="R55" s="100">
        <v>7</v>
      </c>
      <c r="S55" s="120">
        <v>1800</v>
      </c>
      <c r="T55" s="120">
        <v>135</v>
      </c>
      <c r="U55" s="120">
        <v>405</v>
      </c>
      <c r="V55" s="150">
        <v>9000000</v>
      </c>
      <c r="W55" s="149">
        <v>10.5</v>
      </c>
      <c r="X55" s="137"/>
      <c r="Y55" s="133"/>
      <c r="Z55" s="133"/>
      <c r="AA55" s="364"/>
      <c r="AB55" s="95" t="s">
        <v>450</v>
      </c>
      <c r="AC55" s="133"/>
      <c r="AD55" s="133"/>
      <c r="AE55" s="133"/>
      <c r="AF55" s="133"/>
      <c r="AG55" s="133"/>
      <c r="AH55" s="133"/>
      <c r="AI55" s="133"/>
      <c r="AJ55" s="133"/>
      <c r="AK55" s="133"/>
      <c r="AL55" s="133"/>
      <c r="AM55" s="133"/>
      <c r="AN55" s="137"/>
      <c r="AO55" s="137"/>
      <c r="AP55" s="138"/>
      <c r="AQ55" s="93">
        <v>49</v>
      </c>
      <c r="AR55" s="120">
        <v>5561</v>
      </c>
      <c r="AS55" s="120">
        <v>325</v>
      </c>
      <c r="AT55" s="151">
        <f t="shared" si="6"/>
        <v>390</v>
      </c>
      <c r="AU55" s="459">
        <v>28</v>
      </c>
      <c r="AV55" s="150">
        <v>119000</v>
      </c>
      <c r="AW55" s="149">
        <v>5.75</v>
      </c>
      <c r="AX55" s="120">
        <v>9</v>
      </c>
      <c r="AY55" s="120">
        <v>1963</v>
      </c>
      <c r="AZ55" s="120">
        <v>26</v>
      </c>
      <c r="BA55" s="120">
        <v>478</v>
      </c>
      <c r="BB55" s="120">
        <v>22</v>
      </c>
      <c r="BC55" s="137"/>
      <c r="BD55" s="137"/>
      <c r="BE55" s="138"/>
      <c r="BF55" s="93">
        <v>49</v>
      </c>
      <c r="BG55" s="120">
        <v>1965</v>
      </c>
      <c r="BH55" s="120">
        <v>523</v>
      </c>
      <c r="BI55" s="151">
        <f t="shared" si="7"/>
        <v>392.25</v>
      </c>
      <c r="BJ55" s="459">
        <v>28</v>
      </c>
      <c r="BK55" s="150">
        <v>127000</v>
      </c>
      <c r="BL55" s="149">
        <v>5.75</v>
      </c>
      <c r="BM55" s="120">
        <v>9</v>
      </c>
      <c r="BN55" s="120">
        <v>350</v>
      </c>
      <c r="BO55" s="139">
        <v>5.2</v>
      </c>
      <c r="BP55" s="120">
        <v>920</v>
      </c>
      <c r="BQ55" s="120">
        <v>13</v>
      </c>
      <c r="BR55" s="202"/>
      <c r="BS55" s="202"/>
      <c r="BT55" s="202"/>
    </row>
    <row r="56" spans="1:72">
      <c r="A56" s="133"/>
      <c r="B56" s="133"/>
      <c r="C56" s="133"/>
      <c r="D56" s="133"/>
      <c r="E56" s="133"/>
      <c r="F56" s="137" t="s">
        <v>451</v>
      </c>
      <c r="G56" s="133"/>
      <c r="H56" s="137" t="s">
        <v>452</v>
      </c>
      <c r="I56" s="133"/>
      <c r="J56" s="133"/>
      <c r="K56" s="133"/>
      <c r="L56" s="133"/>
      <c r="M56" s="133"/>
      <c r="N56" s="133"/>
      <c r="O56" s="133"/>
      <c r="P56" s="95" t="s">
        <v>453</v>
      </c>
      <c r="Q56" s="146"/>
      <c r="R56" s="121">
        <v>8</v>
      </c>
      <c r="S56" s="120">
        <v>1900</v>
      </c>
      <c r="T56" s="120">
        <v>145</v>
      </c>
      <c r="U56" s="120">
        <v>435</v>
      </c>
      <c r="V56" s="150">
        <v>16000000</v>
      </c>
      <c r="W56" s="149">
        <v>15.75</v>
      </c>
      <c r="X56" s="137"/>
      <c r="Y56" s="133"/>
      <c r="Z56" s="133"/>
      <c r="AA56" s="133"/>
      <c r="AB56" s="365" t="s">
        <v>454</v>
      </c>
      <c r="AC56" s="133"/>
      <c r="AD56" s="133"/>
      <c r="AE56" s="133"/>
      <c r="AF56" s="133"/>
      <c r="AG56" s="133"/>
      <c r="AH56" s="133"/>
      <c r="AI56" s="133"/>
      <c r="AJ56" s="133"/>
      <c r="AK56" s="133"/>
      <c r="AL56" s="133"/>
      <c r="AM56" s="133"/>
      <c r="AN56" s="137"/>
      <c r="AO56" s="137"/>
      <c r="AP56" s="138"/>
      <c r="AQ56" s="93">
        <v>50</v>
      </c>
      <c r="AR56" s="460">
        <v>5700</v>
      </c>
      <c r="AS56" s="460">
        <v>332</v>
      </c>
      <c r="AT56" s="461">
        <f t="shared" si="6"/>
        <v>398.4</v>
      </c>
      <c r="AU56" s="462">
        <v>30</v>
      </c>
      <c r="AV56" s="463">
        <v>125000</v>
      </c>
      <c r="AW56" s="467">
        <v>5.75</v>
      </c>
      <c r="AX56" s="460">
        <v>10</v>
      </c>
      <c r="AY56" s="460">
        <v>2263</v>
      </c>
      <c r="AZ56" s="460">
        <v>27</v>
      </c>
      <c r="BA56" s="460">
        <v>478</v>
      </c>
      <c r="BB56" s="460">
        <v>24</v>
      </c>
      <c r="BC56" s="137"/>
      <c r="BD56" s="137"/>
      <c r="BE56" s="138"/>
      <c r="BF56" s="93">
        <v>50</v>
      </c>
      <c r="BG56" s="460">
        <v>2007</v>
      </c>
      <c r="BH56" s="460">
        <v>536</v>
      </c>
      <c r="BI56" s="461">
        <f t="shared" si="7"/>
        <v>402</v>
      </c>
      <c r="BJ56" s="469">
        <v>30</v>
      </c>
      <c r="BK56" s="463">
        <v>132000</v>
      </c>
      <c r="BL56" s="467">
        <v>5.75</v>
      </c>
      <c r="BM56" s="460">
        <v>10</v>
      </c>
      <c r="BN56" s="460">
        <v>375</v>
      </c>
      <c r="BO56" s="470">
        <v>5.4</v>
      </c>
      <c r="BP56" s="460">
        <v>1020</v>
      </c>
      <c r="BQ56" s="460">
        <v>14</v>
      </c>
      <c r="BR56" s="202"/>
      <c r="BS56" s="202"/>
      <c r="BT56" s="202"/>
    </row>
    <row r="57" spans="1:72">
      <c r="A57" s="133"/>
      <c r="B57" s="133"/>
      <c r="C57" s="133"/>
      <c r="D57" s="133"/>
      <c r="E57" s="133"/>
      <c r="F57" s="342" t="s">
        <v>248</v>
      </c>
      <c r="G57" s="344"/>
      <c r="H57" s="451" t="s">
        <v>243</v>
      </c>
      <c r="I57" s="453" t="s">
        <v>244</v>
      </c>
      <c r="J57" s="453" t="s">
        <v>245</v>
      </c>
      <c r="K57" s="453" t="s">
        <v>250</v>
      </c>
      <c r="L57" s="454" t="s">
        <v>455</v>
      </c>
      <c r="M57" s="453" t="s">
        <v>246</v>
      </c>
      <c r="N57" s="453" t="s">
        <v>247</v>
      </c>
      <c r="O57" s="133"/>
      <c r="P57" s="95" t="s">
        <v>456</v>
      </c>
      <c r="Q57" s="364"/>
      <c r="R57" s="95" t="s">
        <v>457</v>
      </c>
      <c r="S57" s="133"/>
      <c r="T57" s="133"/>
      <c r="U57" s="133"/>
      <c r="V57" s="133"/>
      <c r="W57" s="133"/>
      <c r="X57" s="137"/>
      <c r="Y57" s="133"/>
      <c r="Z57" s="133"/>
      <c r="AA57" s="133"/>
      <c r="AB57" s="133"/>
      <c r="AC57" s="133"/>
      <c r="AD57" s="133"/>
      <c r="AE57" s="133"/>
      <c r="AF57" s="133"/>
      <c r="AG57" s="133"/>
      <c r="AH57" s="133"/>
      <c r="AI57" s="133"/>
      <c r="AJ57" s="133"/>
      <c r="AK57" s="133"/>
      <c r="AL57" s="133"/>
      <c r="AM57" s="133"/>
      <c r="AN57" s="137"/>
      <c r="AO57" s="321"/>
      <c r="AP57" s="138"/>
      <c r="AQ57" s="94">
        <v>51</v>
      </c>
      <c r="AR57" s="120">
        <v>5843</v>
      </c>
      <c r="AS57" s="120">
        <v>339</v>
      </c>
      <c r="AT57" s="464">
        <f t="shared" si="6"/>
        <v>406.8</v>
      </c>
      <c r="AU57" s="465">
        <v>30</v>
      </c>
      <c r="AV57" s="466">
        <v>130000</v>
      </c>
      <c r="AW57" s="149">
        <v>6.25</v>
      </c>
      <c r="AX57" s="120">
        <v>10</v>
      </c>
      <c r="AY57" s="120">
        <v>2263</v>
      </c>
      <c r="AZ57" s="120">
        <v>27</v>
      </c>
      <c r="BA57" s="120">
        <v>478</v>
      </c>
      <c r="BB57" s="120">
        <v>24</v>
      </c>
      <c r="BC57" s="137"/>
      <c r="BD57" s="137"/>
      <c r="BE57" s="138"/>
      <c r="BF57" s="94">
        <v>51</v>
      </c>
      <c r="BG57" s="120">
        <v>2058</v>
      </c>
      <c r="BH57" s="120">
        <v>547</v>
      </c>
      <c r="BI57" s="464">
        <f t="shared" si="7"/>
        <v>410.25</v>
      </c>
      <c r="BJ57" s="459">
        <v>30</v>
      </c>
      <c r="BK57" s="466">
        <v>138000</v>
      </c>
      <c r="BL57" s="149">
        <v>6.25</v>
      </c>
      <c r="BM57" s="120">
        <v>10</v>
      </c>
      <c r="BN57" s="120">
        <v>375</v>
      </c>
      <c r="BO57" s="139">
        <v>5.4</v>
      </c>
      <c r="BP57" s="120">
        <v>1020</v>
      </c>
      <c r="BQ57" s="120">
        <v>14</v>
      </c>
      <c r="BR57" s="202"/>
      <c r="BS57" s="202"/>
      <c r="BT57" s="202"/>
    </row>
    <row r="58" spans="1:72">
      <c r="A58" s="133"/>
      <c r="B58" s="133"/>
      <c r="C58" s="133"/>
      <c r="D58" s="133"/>
      <c r="E58" s="133"/>
      <c r="F58" s="95" t="s">
        <v>402</v>
      </c>
      <c r="G58" s="345"/>
      <c r="H58" s="93">
        <v>1</v>
      </c>
      <c r="I58" s="453">
        <v>3200</v>
      </c>
      <c r="J58" s="453">
        <v>240</v>
      </c>
      <c r="K58" s="453">
        <f t="shared" ref="K58:K63" si="12">J58*3.5</f>
        <v>840</v>
      </c>
      <c r="L58" s="453" t="s">
        <v>458</v>
      </c>
      <c r="M58" s="453"/>
      <c r="N58" s="455"/>
      <c r="O58" s="133"/>
      <c r="P58" s="133"/>
      <c r="Q58" s="133"/>
      <c r="R58" s="365" t="s">
        <v>459</v>
      </c>
      <c r="S58" s="133"/>
      <c r="T58" s="133"/>
      <c r="U58" s="133"/>
      <c r="V58" s="133"/>
      <c r="W58" s="133"/>
      <c r="X58" s="137"/>
      <c r="Y58" s="133"/>
      <c r="Z58" s="133"/>
      <c r="AA58" s="133"/>
      <c r="AB58" s="133"/>
      <c r="AC58" s="133"/>
      <c r="AD58" s="133"/>
      <c r="AE58" s="133"/>
      <c r="AF58" s="133"/>
      <c r="AG58" s="133"/>
      <c r="AH58" s="133"/>
      <c r="AI58" s="133"/>
      <c r="AJ58" s="133"/>
      <c r="AK58" s="133"/>
      <c r="AL58" s="133"/>
      <c r="AM58" s="133"/>
      <c r="AN58" s="137"/>
      <c r="AO58" s="137"/>
      <c r="AP58" s="138"/>
      <c r="AQ58" s="94">
        <v>52</v>
      </c>
      <c r="AR58" s="120">
        <v>5990</v>
      </c>
      <c r="AS58" s="120">
        <v>346</v>
      </c>
      <c r="AT58" s="151">
        <f t="shared" si="6"/>
        <v>415.2</v>
      </c>
      <c r="AU58" s="459">
        <v>30</v>
      </c>
      <c r="AV58" s="150">
        <v>135000</v>
      </c>
      <c r="AW58" s="149">
        <v>6.25</v>
      </c>
      <c r="AX58" s="120">
        <v>10</v>
      </c>
      <c r="AY58" s="120">
        <v>2263</v>
      </c>
      <c r="AZ58" s="120">
        <v>27</v>
      </c>
      <c r="BA58" s="120">
        <v>478</v>
      </c>
      <c r="BB58" s="120">
        <v>24</v>
      </c>
      <c r="BC58" s="137"/>
      <c r="BD58" s="137"/>
      <c r="BE58" s="138"/>
      <c r="BF58" s="94">
        <v>52</v>
      </c>
      <c r="BG58" s="120">
        <v>2110</v>
      </c>
      <c r="BH58" s="120">
        <v>558</v>
      </c>
      <c r="BI58" s="151">
        <f t="shared" si="7"/>
        <v>418.5</v>
      </c>
      <c r="BJ58" s="459">
        <v>30</v>
      </c>
      <c r="BK58" s="150">
        <v>143000</v>
      </c>
      <c r="BL58" s="149">
        <v>6.25</v>
      </c>
      <c r="BM58" s="120">
        <v>10</v>
      </c>
      <c r="BN58" s="120">
        <v>375</v>
      </c>
      <c r="BO58" s="139">
        <v>5.4</v>
      </c>
      <c r="BP58" s="120">
        <v>1020</v>
      </c>
      <c r="BQ58" s="120">
        <v>14</v>
      </c>
      <c r="BR58" s="202"/>
      <c r="BS58" s="202"/>
      <c r="BT58" s="202"/>
    </row>
    <row r="59" spans="1:72">
      <c r="A59" s="133"/>
      <c r="B59" s="133"/>
      <c r="C59" s="133"/>
      <c r="D59" s="133"/>
      <c r="E59" s="133"/>
      <c r="F59" s="95" t="s">
        <v>460</v>
      </c>
      <c r="G59" s="345"/>
      <c r="H59" s="93">
        <v>2</v>
      </c>
      <c r="I59" s="120">
        <v>3700</v>
      </c>
      <c r="J59" s="120">
        <v>270</v>
      </c>
      <c r="K59" s="120">
        <f t="shared" si="12"/>
        <v>945</v>
      </c>
      <c r="L59" s="120" t="s">
        <v>461</v>
      </c>
      <c r="M59" s="150">
        <v>6300000</v>
      </c>
      <c r="N59" s="149">
        <v>5.5</v>
      </c>
      <c r="O59" s="133"/>
      <c r="P59" s="137" t="s">
        <v>462</v>
      </c>
      <c r="Q59" s="133"/>
      <c r="R59" s="133"/>
      <c r="S59" s="133"/>
      <c r="T59" s="133"/>
      <c r="U59" s="133"/>
      <c r="V59" s="133"/>
      <c r="W59" s="133"/>
      <c r="X59" s="137"/>
      <c r="Y59" s="133"/>
      <c r="Z59" s="137" t="s">
        <v>463</v>
      </c>
      <c r="AA59" s="202"/>
      <c r="AB59" s="137" t="s">
        <v>464</v>
      </c>
      <c r="AC59" s="133"/>
      <c r="AD59" s="133"/>
      <c r="AE59" s="133"/>
      <c r="AF59" s="133"/>
      <c r="AG59" s="133"/>
      <c r="AH59" s="133"/>
      <c r="AI59" s="133"/>
      <c r="AJ59" s="133"/>
      <c r="AK59" s="133"/>
      <c r="AL59" s="133"/>
      <c r="AM59" s="133"/>
      <c r="AN59" s="137"/>
      <c r="AO59" s="137"/>
      <c r="AP59" s="138"/>
      <c r="AQ59" s="94">
        <v>53</v>
      </c>
      <c r="AR59" s="120">
        <v>6140</v>
      </c>
      <c r="AS59" s="120">
        <v>353</v>
      </c>
      <c r="AT59" s="151">
        <f t="shared" si="6"/>
        <v>423.59999999999997</v>
      </c>
      <c r="AU59" s="459">
        <v>30</v>
      </c>
      <c r="AV59" s="150">
        <v>140000</v>
      </c>
      <c r="AW59" s="149">
        <v>6.25</v>
      </c>
      <c r="AX59" s="120">
        <v>10</v>
      </c>
      <c r="AY59" s="120">
        <v>2263</v>
      </c>
      <c r="AZ59" s="120">
        <v>27</v>
      </c>
      <c r="BA59" s="120">
        <v>478</v>
      </c>
      <c r="BB59" s="120">
        <v>24</v>
      </c>
      <c r="BC59" s="137"/>
      <c r="BD59" s="137"/>
      <c r="BE59" s="138"/>
      <c r="BF59" s="94">
        <v>53</v>
      </c>
      <c r="BG59" s="120">
        <v>2163</v>
      </c>
      <c r="BH59" s="120">
        <v>570</v>
      </c>
      <c r="BI59" s="151">
        <f t="shared" si="7"/>
        <v>427.5</v>
      </c>
      <c r="BJ59" s="459">
        <v>30</v>
      </c>
      <c r="BK59" s="150">
        <v>148000</v>
      </c>
      <c r="BL59" s="149">
        <v>6.25</v>
      </c>
      <c r="BM59" s="120">
        <v>10</v>
      </c>
      <c r="BN59" s="120">
        <v>375</v>
      </c>
      <c r="BO59" s="139">
        <v>5.4</v>
      </c>
      <c r="BP59" s="120">
        <v>1020</v>
      </c>
      <c r="BQ59" s="120">
        <v>14</v>
      </c>
      <c r="BR59" s="202"/>
      <c r="BS59" s="202"/>
      <c r="BT59" s="202"/>
    </row>
    <row r="60" spans="1:72">
      <c r="A60" s="133"/>
      <c r="B60" s="133"/>
      <c r="C60" s="133"/>
      <c r="D60" s="133"/>
      <c r="E60" s="133"/>
      <c r="F60" s="346" t="s">
        <v>465</v>
      </c>
      <c r="G60" s="347"/>
      <c r="H60" s="94">
        <v>3</v>
      </c>
      <c r="I60" s="120">
        <v>4200</v>
      </c>
      <c r="J60" s="120">
        <v>300</v>
      </c>
      <c r="K60" s="120">
        <f t="shared" si="12"/>
        <v>1050</v>
      </c>
      <c r="L60" s="120" t="s">
        <v>466</v>
      </c>
      <c r="M60" s="150">
        <v>7700000</v>
      </c>
      <c r="N60" s="149">
        <v>9.75</v>
      </c>
      <c r="O60" s="133"/>
      <c r="P60" s="342" t="s">
        <v>242</v>
      </c>
      <c r="Q60" s="344"/>
      <c r="R60" s="451" t="s">
        <v>243</v>
      </c>
      <c r="S60" s="453" t="s">
        <v>244</v>
      </c>
      <c r="T60" s="453" t="s">
        <v>245</v>
      </c>
      <c r="U60" s="453" t="s">
        <v>467</v>
      </c>
      <c r="V60" s="453" t="s">
        <v>246</v>
      </c>
      <c r="W60" s="453" t="s">
        <v>247</v>
      </c>
      <c r="X60" s="137"/>
      <c r="Y60" s="133"/>
      <c r="Z60" s="456" t="s">
        <v>249</v>
      </c>
      <c r="AA60" s="457"/>
      <c r="AB60" s="458" t="s">
        <v>243</v>
      </c>
      <c r="AC60" s="458" t="s">
        <v>244</v>
      </c>
      <c r="AD60" s="458" t="s">
        <v>353</v>
      </c>
      <c r="AE60" s="458" t="s">
        <v>468</v>
      </c>
      <c r="AF60" s="458" t="s">
        <v>469</v>
      </c>
      <c r="AG60" s="133"/>
      <c r="AH60" s="133"/>
      <c r="AI60" s="133"/>
      <c r="AJ60" s="133"/>
      <c r="AK60" s="133"/>
      <c r="AL60" s="133"/>
      <c r="AM60" s="133"/>
      <c r="AN60" s="137"/>
      <c r="AO60" s="137"/>
      <c r="AP60" s="138"/>
      <c r="AQ60" s="94">
        <v>54</v>
      </c>
      <c r="AR60" s="120">
        <v>6294</v>
      </c>
      <c r="AS60" s="120">
        <v>361</v>
      </c>
      <c r="AT60" s="151">
        <f t="shared" si="6"/>
        <v>433.2</v>
      </c>
      <c r="AU60" s="459">
        <v>30</v>
      </c>
      <c r="AV60" s="150">
        <v>146000</v>
      </c>
      <c r="AW60" s="149">
        <v>6.25</v>
      </c>
      <c r="AX60" s="120">
        <v>10</v>
      </c>
      <c r="AY60" s="120">
        <v>2263</v>
      </c>
      <c r="AZ60" s="120">
        <v>27</v>
      </c>
      <c r="BA60" s="120">
        <v>478</v>
      </c>
      <c r="BB60" s="120">
        <v>24</v>
      </c>
      <c r="BC60" s="137"/>
      <c r="BD60" s="137"/>
      <c r="BE60" s="138"/>
      <c r="BF60" s="94">
        <v>54</v>
      </c>
      <c r="BG60" s="120">
        <v>2218</v>
      </c>
      <c r="BH60" s="120">
        <v>582</v>
      </c>
      <c r="BI60" s="151">
        <f t="shared" si="7"/>
        <v>436.5</v>
      </c>
      <c r="BJ60" s="459">
        <v>30</v>
      </c>
      <c r="BK60" s="150">
        <v>154000</v>
      </c>
      <c r="BL60" s="149">
        <v>6.25</v>
      </c>
      <c r="BM60" s="120">
        <v>10</v>
      </c>
      <c r="BN60" s="120">
        <v>375</v>
      </c>
      <c r="BO60" s="139">
        <v>5.4</v>
      </c>
      <c r="BP60" s="120">
        <v>1020</v>
      </c>
      <c r="BQ60" s="120">
        <v>14</v>
      </c>
      <c r="BR60" s="202"/>
      <c r="BS60" s="202"/>
      <c r="BT60" s="202"/>
    </row>
    <row r="61" spans="1:72">
      <c r="A61" s="133"/>
      <c r="B61" s="133"/>
      <c r="C61" s="133"/>
      <c r="D61" s="133"/>
      <c r="E61" s="133"/>
      <c r="F61" s="342" t="s">
        <v>470</v>
      </c>
      <c r="G61" s="344"/>
      <c r="H61" s="100">
        <v>4</v>
      </c>
      <c r="I61" s="120">
        <v>4500</v>
      </c>
      <c r="J61" s="120">
        <v>330</v>
      </c>
      <c r="K61" s="120">
        <f t="shared" si="12"/>
        <v>1155</v>
      </c>
      <c r="L61" s="120" t="s">
        <v>471</v>
      </c>
      <c r="M61" s="150">
        <v>12000000</v>
      </c>
      <c r="N61" s="149">
        <v>12</v>
      </c>
      <c r="O61" s="133"/>
      <c r="P61" s="95" t="s">
        <v>437</v>
      </c>
      <c r="Q61" s="345"/>
      <c r="R61" s="94">
        <v>1</v>
      </c>
      <c r="S61" s="453">
        <v>2900</v>
      </c>
      <c r="T61" s="453">
        <v>230</v>
      </c>
      <c r="U61" s="453">
        <v>8</v>
      </c>
      <c r="V61" s="453"/>
      <c r="W61" s="455"/>
      <c r="X61" s="137"/>
      <c r="Y61" s="133"/>
      <c r="Z61" s="142" t="s">
        <v>472</v>
      </c>
      <c r="AA61" s="364"/>
      <c r="AB61" s="94">
        <v>1</v>
      </c>
      <c r="AC61" s="123">
        <v>300</v>
      </c>
      <c r="AD61" s="123">
        <v>56</v>
      </c>
      <c r="AE61" s="123">
        <f>AD61*4</f>
        <v>224</v>
      </c>
      <c r="AF61" s="123">
        <f>AD61*2</f>
        <v>112</v>
      </c>
      <c r="AG61" s="133"/>
      <c r="AH61" s="133"/>
      <c r="AI61" s="133"/>
      <c r="AJ61" s="133"/>
      <c r="AK61" s="133"/>
      <c r="AL61" s="133"/>
      <c r="AM61" s="133"/>
      <c r="AN61" s="137"/>
      <c r="AO61" s="137"/>
      <c r="AP61" s="138"/>
      <c r="AQ61" s="94">
        <v>55</v>
      </c>
      <c r="AR61" s="120">
        <v>6452</v>
      </c>
      <c r="AS61" s="120">
        <v>361</v>
      </c>
      <c r="AT61" s="151">
        <f t="shared" si="6"/>
        <v>433.2</v>
      </c>
      <c r="AU61" s="459">
        <v>32</v>
      </c>
      <c r="AV61" s="150">
        <v>151000</v>
      </c>
      <c r="AW61" s="149">
        <v>6.25</v>
      </c>
      <c r="AX61" s="120">
        <v>11</v>
      </c>
      <c r="AY61" s="120">
        <v>2592</v>
      </c>
      <c r="AZ61" s="120">
        <v>28</v>
      </c>
      <c r="BA61" s="120">
        <v>548</v>
      </c>
      <c r="BB61" s="120">
        <v>26</v>
      </c>
      <c r="BC61" s="137"/>
      <c r="BD61" s="137"/>
      <c r="BE61" s="138"/>
      <c r="BF61" s="94">
        <v>55</v>
      </c>
      <c r="BG61" s="120">
        <v>2274</v>
      </c>
      <c r="BH61" s="120">
        <v>594</v>
      </c>
      <c r="BI61" s="151">
        <f t="shared" si="7"/>
        <v>445.5</v>
      </c>
      <c r="BJ61" s="459">
        <v>32</v>
      </c>
      <c r="BK61" s="150">
        <v>159000</v>
      </c>
      <c r="BL61" s="149">
        <v>6.25</v>
      </c>
      <c r="BM61" s="120">
        <v>11</v>
      </c>
      <c r="BN61" s="120">
        <v>400</v>
      </c>
      <c r="BO61" s="139">
        <v>5.6</v>
      </c>
      <c r="BP61" s="120">
        <v>1120</v>
      </c>
      <c r="BQ61" s="120">
        <v>15</v>
      </c>
      <c r="BR61" s="202"/>
      <c r="BS61" s="202"/>
      <c r="BT61" s="202"/>
    </row>
    <row r="62" spans="1:72">
      <c r="A62" s="133"/>
      <c r="B62" s="133"/>
      <c r="C62" s="133"/>
      <c r="D62" s="133"/>
      <c r="E62" s="133"/>
      <c r="F62" s="95" t="s">
        <v>473</v>
      </c>
      <c r="G62" s="345"/>
      <c r="H62" s="121">
        <v>5</v>
      </c>
      <c r="I62" s="120">
        <v>4800</v>
      </c>
      <c r="J62" s="120">
        <v>360</v>
      </c>
      <c r="K62" s="120">
        <f t="shared" si="12"/>
        <v>1260</v>
      </c>
      <c r="L62" s="120" t="s">
        <v>474</v>
      </c>
      <c r="M62" s="150">
        <v>18000000</v>
      </c>
      <c r="N62" s="149">
        <v>17</v>
      </c>
      <c r="O62" s="133"/>
      <c r="P62" s="95" t="s">
        <v>272</v>
      </c>
      <c r="Q62" s="345"/>
      <c r="R62" s="94">
        <v>2</v>
      </c>
      <c r="S62" s="120">
        <v>3200</v>
      </c>
      <c r="T62" s="120">
        <v>250</v>
      </c>
      <c r="U62" s="120">
        <v>9</v>
      </c>
      <c r="V62" s="150">
        <v>7700000</v>
      </c>
      <c r="W62" s="149">
        <v>7.5</v>
      </c>
      <c r="X62" s="137"/>
      <c r="Y62" s="133"/>
      <c r="Z62" s="142" t="s">
        <v>280</v>
      </c>
      <c r="AA62" s="364"/>
      <c r="AB62" s="94">
        <v>2</v>
      </c>
      <c r="AC62" s="123">
        <v>350</v>
      </c>
      <c r="AD62" s="123">
        <v>64</v>
      </c>
      <c r="AE62" s="123">
        <f>AD62*4</f>
        <v>256</v>
      </c>
      <c r="AF62" s="123">
        <f>AD62*2</f>
        <v>128</v>
      </c>
      <c r="AG62" s="133"/>
      <c r="AH62" s="133"/>
      <c r="AI62" s="133"/>
      <c r="AJ62" s="133"/>
      <c r="AK62" s="133"/>
      <c r="AL62" s="133"/>
      <c r="AM62" s="133"/>
      <c r="AN62" s="137"/>
      <c r="AO62" s="137"/>
      <c r="AP62" s="138"/>
      <c r="AQ62" s="94">
        <v>56</v>
      </c>
      <c r="AR62" s="120">
        <v>6614</v>
      </c>
      <c r="AS62" s="120">
        <v>377</v>
      </c>
      <c r="AT62" s="151">
        <f t="shared" si="6"/>
        <v>452.4</v>
      </c>
      <c r="AU62" s="459">
        <v>32</v>
      </c>
      <c r="AV62" s="150">
        <v>158000</v>
      </c>
      <c r="AW62" s="149">
        <v>6.25</v>
      </c>
      <c r="AX62" s="120">
        <v>11</v>
      </c>
      <c r="AY62" s="120">
        <v>2592</v>
      </c>
      <c r="AZ62" s="120">
        <v>28</v>
      </c>
      <c r="BA62" s="120">
        <v>548</v>
      </c>
      <c r="BB62" s="120">
        <v>26</v>
      </c>
      <c r="BC62" s="137"/>
      <c r="BD62" s="137"/>
      <c r="BE62" s="138"/>
      <c r="BF62" s="94">
        <v>56</v>
      </c>
      <c r="BG62" s="120">
        <v>2331</v>
      </c>
      <c r="BH62" s="120">
        <v>606</v>
      </c>
      <c r="BI62" s="151">
        <f t="shared" si="7"/>
        <v>454.5</v>
      </c>
      <c r="BJ62" s="459">
        <v>32</v>
      </c>
      <c r="BK62" s="150">
        <v>166000</v>
      </c>
      <c r="BL62" s="149">
        <v>6.25</v>
      </c>
      <c r="BM62" s="120">
        <v>11</v>
      </c>
      <c r="BN62" s="120">
        <v>400</v>
      </c>
      <c r="BO62" s="139">
        <v>5.6</v>
      </c>
      <c r="BP62" s="120">
        <v>1120</v>
      </c>
      <c r="BQ62" s="120">
        <v>15</v>
      </c>
      <c r="BR62" s="202"/>
      <c r="BS62" s="202"/>
      <c r="BT62" s="202"/>
    </row>
    <row r="63" spans="1:72">
      <c r="A63" s="133"/>
      <c r="B63" s="133"/>
      <c r="C63" s="133"/>
      <c r="D63" s="133"/>
      <c r="E63" s="133"/>
      <c r="F63" s="346" t="s">
        <v>475</v>
      </c>
      <c r="G63" s="347"/>
      <c r="H63" s="122">
        <v>6</v>
      </c>
      <c r="I63" s="120">
        <v>5100</v>
      </c>
      <c r="J63" s="120">
        <v>390</v>
      </c>
      <c r="K63" s="120">
        <f t="shared" si="12"/>
        <v>1365</v>
      </c>
      <c r="L63" s="120" t="s">
        <v>476</v>
      </c>
      <c r="M63" s="150">
        <v>20000000</v>
      </c>
      <c r="N63" s="149">
        <v>18</v>
      </c>
      <c r="O63" s="133"/>
      <c r="P63" s="346" t="s">
        <v>281</v>
      </c>
      <c r="Q63" s="347"/>
      <c r="R63" s="100">
        <v>3</v>
      </c>
      <c r="S63" s="120">
        <v>3500</v>
      </c>
      <c r="T63" s="120">
        <v>270</v>
      </c>
      <c r="U63" s="120">
        <v>10</v>
      </c>
      <c r="V63" s="150">
        <v>11200000</v>
      </c>
      <c r="W63" s="149">
        <v>12</v>
      </c>
      <c r="X63" s="137"/>
      <c r="Y63" s="133"/>
      <c r="Z63" s="142" t="s">
        <v>477</v>
      </c>
      <c r="AA63" s="364"/>
      <c r="AB63" s="100">
        <v>3</v>
      </c>
      <c r="AC63" s="123">
        <v>400</v>
      </c>
      <c r="AD63" s="123">
        <v>72</v>
      </c>
      <c r="AE63" s="123">
        <f>AD63*4</f>
        <v>288</v>
      </c>
      <c r="AF63" s="123">
        <f>AD63*2</f>
        <v>144</v>
      </c>
      <c r="AG63" s="133"/>
      <c r="AH63" s="133"/>
      <c r="AI63" s="133"/>
      <c r="AJ63" s="133"/>
      <c r="AK63" s="133"/>
      <c r="AL63" s="133"/>
      <c r="AM63" s="133"/>
      <c r="AN63" s="137"/>
      <c r="AO63" s="137"/>
      <c r="AP63" s="138"/>
      <c r="AQ63" s="94">
        <v>57</v>
      </c>
      <c r="AR63" s="120">
        <v>6780</v>
      </c>
      <c r="AS63" s="120">
        <v>385</v>
      </c>
      <c r="AT63" s="151">
        <f t="shared" si="6"/>
        <v>462</v>
      </c>
      <c r="AU63" s="459">
        <v>32</v>
      </c>
      <c r="AV63" s="150">
        <v>165000</v>
      </c>
      <c r="AW63" s="149">
        <v>6.25</v>
      </c>
      <c r="AX63" s="120">
        <v>11</v>
      </c>
      <c r="AY63" s="120">
        <v>2592</v>
      </c>
      <c r="AZ63" s="120">
        <v>28</v>
      </c>
      <c r="BA63" s="120">
        <v>548</v>
      </c>
      <c r="BB63" s="120">
        <v>26</v>
      </c>
      <c r="BC63" s="137"/>
      <c r="BD63" s="137"/>
      <c r="BE63" s="138"/>
      <c r="BF63" s="94">
        <v>57</v>
      </c>
      <c r="BG63" s="120">
        <v>2390</v>
      </c>
      <c r="BH63" s="120">
        <v>619</v>
      </c>
      <c r="BI63" s="151">
        <f t="shared" si="7"/>
        <v>464.25</v>
      </c>
      <c r="BJ63" s="459">
        <v>32</v>
      </c>
      <c r="BK63" s="150">
        <v>172000</v>
      </c>
      <c r="BL63" s="149">
        <v>6.25</v>
      </c>
      <c r="BM63" s="120">
        <v>11</v>
      </c>
      <c r="BN63" s="120">
        <v>400</v>
      </c>
      <c r="BO63" s="139">
        <v>5.6</v>
      </c>
      <c r="BP63" s="120">
        <v>1120</v>
      </c>
      <c r="BQ63" s="120">
        <v>15</v>
      </c>
      <c r="BR63" s="202"/>
      <c r="BS63" s="202"/>
      <c r="BT63" s="202"/>
    </row>
    <row r="64" spans="1:72">
      <c r="A64" s="133"/>
      <c r="B64" s="133"/>
      <c r="C64" s="133"/>
      <c r="D64" s="133"/>
      <c r="E64" s="133"/>
      <c r="F64" s="95" t="s">
        <v>478</v>
      </c>
      <c r="G64" s="344"/>
      <c r="H64" s="137" t="s">
        <v>479</v>
      </c>
      <c r="I64" s="120"/>
      <c r="J64" s="120"/>
      <c r="K64" s="120"/>
      <c r="L64" s="137"/>
      <c r="M64" s="418"/>
      <c r="N64" s="120"/>
      <c r="O64" s="133"/>
      <c r="P64" s="342" t="s">
        <v>287</v>
      </c>
      <c r="Q64" s="344"/>
      <c r="R64" s="121">
        <v>4</v>
      </c>
      <c r="S64" s="120">
        <v>3700</v>
      </c>
      <c r="T64" s="120">
        <v>290</v>
      </c>
      <c r="U64" s="120">
        <v>11</v>
      </c>
      <c r="V64" s="150">
        <v>17100000</v>
      </c>
      <c r="W64" s="149">
        <v>17</v>
      </c>
      <c r="X64" s="137"/>
      <c r="Y64" s="133"/>
      <c r="Z64" s="456" t="s">
        <v>480</v>
      </c>
      <c r="AA64" s="457"/>
      <c r="AB64" s="121">
        <v>4</v>
      </c>
      <c r="AC64" s="123">
        <v>450</v>
      </c>
      <c r="AD64" s="123">
        <v>78</v>
      </c>
      <c r="AE64" s="123">
        <f>AD64*4</f>
        <v>312</v>
      </c>
      <c r="AF64" s="123">
        <f>AD64*2</f>
        <v>156</v>
      </c>
      <c r="AG64" s="133"/>
      <c r="AH64" s="133"/>
      <c r="AI64" s="133"/>
      <c r="AJ64" s="133"/>
      <c r="AK64" s="133"/>
      <c r="AL64" s="133"/>
      <c r="AM64" s="133"/>
      <c r="AN64" s="137"/>
      <c r="AO64" s="137"/>
      <c r="AP64" s="138"/>
      <c r="AQ64" s="94">
        <v>58</v>
      </c>
      <c r="AR64" s="120">
        <v>6950</v>
      </c>
      <c r="AS64" s="120">
        <v>393</v>
      </c>
      <c r="AT64" s="151">
        <f t="shared" si="6"/>
        <v>471.59999999999997</v>
      </c>
      <c r="AU64" s="459">
        <v>32</v>
      </c>
      <c r="AV64" s="150">
        <v>172000</v>
      </c>
      <c r="AW64" s="149">
        <v>6.25</v>
      </c>
      <c r="AX64" s="120">
        <v>11</v>
      </c>
      <c r="AY64" s="120">
        <v>2592</v>
      </c>
      <c r="AZ64" s="120">
        <v>28</v>
      </c>
      <c r="BA64" s="120">
        <v>548</v>
      </c>
      <c r="BB64" s="120">
        <v>26</v>
      </c>
      <c r="BC64" s="137"/>
      <c r="BD64" s="137"/>
      <c r="BE64" s="138"/>
      <c r="BF64" s="94">
        <v>58</v>
      </c>
      <c r="BG64" s="120">
        <v>2450</v>
      </c>
      <c r="BH64" s="120">
        <v>632</v>
      </c>
      <c r="BI64" s="151">
        <f t="shared" si="7"/>
        <v>474</v>
      </c>
      <c r="BJ64" s="459">
        <v>32</v>
      </c>
      <c r="BK64" s="150">
        <v>179000</v>
      </c>
      <c r="BL64" s="149">
        <v>6.25</v>
      </c>
      <c r="BM64" s="120">
        <v>11</v>
      </c>
      <c r="BN64" s="120">
        <v>400</v>
      </c>
      <c r="BO64" s="139">
        <v>5.6</v>
      </c>
      <c r="BP64" s="120">
        <v>1120</v>
      </c>
      <c r="BQ64" s="120">
        <v>15</v>
      </c>
      <c r="BR64" s="202"/>
      <c r="BS64" s="202"/>
      <c r="BT64" s="202"/>
    </row>
    <row r="65" spans="1:72" ht="14.25" customHeight="1">
      <c r="A65" s="133"/>
      <c r="B65" s="133"/>
      <c r="C65" s="133"/>
      <c r="D65" s="133"/>
      <c r="E65" s="133"/>
      <c r="F65" s="95" t="s">
        <v>481</v>
      </c>
      <c r="G65" s="345"/>
      <c r="H65" s="137" t="s">
        <v>482</v>
      </c>
      <c r="I65" s="120"/>
      <c r="J65" s="120"/>
      <c r="K65" s="120"/>
      <c r="L65" s="137"/>
      <c r="M65" s="418"/>
      <c r="N65" s="120"/>
      <c r="O65" s="133"/>
      <c r="P65" s="95" t="s">
        <v>483</v>
      </c>
      <c r="Q65" s="345"/>
      <c r="R65" s="401"/>
      <c r="S65" s="120"/>
      <c r="T65" s="137"/>
      <c r="U65" s="120"/>
      <c r="V65" s="137"/>
      <c r="W65" s="418"/>
      <c r="X65" s="120"/>
      <c r="Y65" s="133"/>
      <c r="Z65" s="142" t="s">
        <v>376</v>
      </c>
      <c r="AA65" s="364"/>
      <c r="AB65" s="133"/>
      <c r="AC65" s="133"/>
      <c r="AD65" s="133"/>
      <c r="AE65" s="133"/>
      <c r="AF65" s="133"/>
      <c r="AG65" s="133"/>
      <c r="AH65" s="133"/>
      <c r="AI65" s="133"/>
      <c r="AJ65" s="133"/>
      <c r="AK65" s="133"/>
      <c r="AL65" s="133"/>
      <c r="AM65" s="133"/>
      <c r="AN65" s="137"/>
      <c r="AO65" s="137"/>
      <c r="AP65" s="138"/>
      <c r="AQ65" s="94">
        <v>59</v>
      </c>
      <c r="AR65" s="120">
        <v>7124</v>
      </c>
      <c r="AS65" s="120">
        <v>401</v>
      </c>
      <c r="AT65" s="151">
        <f t="shared" si="6"/>
        <v>481.2</v>
      </c>
      <c r="AU65" s="459">
        <v>32</v>
      </c>
      <c r="AV65" s="150">
        <v>180000</v>
      </c>
      <c r="AW65" s="149">
        <v>6.25</v>
      </c>
      <c r="AX65" s="120">
        <v>11</v>
      </c>
      <c r="AY65" s="120">
        <v>2592</v>
      </c>
      <c r="AZ65" s="120">
        <v>28</v>
      </c>
      <c r="BA65" s="120">
        <v>548</v>
      </c>
      <c r="BB65" s="120">
        <v>26</v>
      </c>
      <c r="BC65" s="137"/>
      <c r="BD65" s="137"/>
      <c r="BE65" s="138"/>
      <c r="BF65" s="94">
        <v>59</v>
      </c>
      <c r="BG65" s="120">
        <v>2512</v>
      </c>
      <c r="BH65" s="120">
        <v>645</v>
      </c>
      <c r="BI65" s="151">
        <f t="shared" si="7"/>
        <v>483.75</v>
      </c>
      <c r="BJ65" s="459">
        <v>32</v>
      </c>
      <c r="BK65" s="150">
        <v>186000</v>
      </c>
      <c r="BL65" s="149">
        <v>6.25</v>
      </c>
      <c r="BM65" s="120">
        <v>11</v>
      </c>
      <c r="BN65" s="120">
        <v>400</v>
      </c>
      <c r="BO65" s="139">
        <v>5.6</v>
      </c>
      <c r="BP65" s="120">
        <v>1120</v>
      </c>
      <c r="BQ65" s="120">
        <v>15</v>
      </c>
      <c r="BR65" s="202"/>
      <c r="BS65" s="202"/>
      <c r="BT65" s="202"/>
    </row>
    <row r="66" spans="1:72" ht="15" customHeight="1">
      <c r="A66" s="133"/>
      <c r="B66" s="133"/>
      <c r="C66" s="133"/>
      <c r="D66" s="133"/>
      <c r="E66" s="133"/>
      <c r="F66" s="95" t="s">
        <v>484</v>
      </c>
      <c r="G66" s="133"/>
      <c r="H66" s="365" t="s">
        <v>485</v>
      </c>
      <c r="I66" s="133"/>
      <c r="J66" s="133"/>
      <c r="K66" s="133"/>
      <c r="L66" s="133"/>
      <c r="M66" s="133"/>
      <c r="N66" s="133"/>
      <c r="O66" s="133"/>
      <c r="P66" s="346"/>
      <c r="Q66" s="347"/>
      <c r="R66" s="137"/>
      <c r="S66" s="120"/>
      <c r="T66" s="120"/>
      <c r="U66" s="120"/>
      <c r="V66" s="137"/>
      <c r="W66" s="418"/>
      <c r="X66" s="120"/>
      <c r="Y66" s="133"/>
      <c r="Z66" s="419" t="s">
        <v>486</v>
      </c>
      <c r="AA66" s="472"/>
      <c r="AB66" s="95" t="s">
        <v>487</v>
      </c>
      <c r="AC66" s="133"/>
      <c r="AD66" s="133"/>
      <c r="AE66" s="133"/>
      <c r="AF66" s="133"/>
      <c r="AG66" s="133"/>
      <c r="AH66" s="133"/>
      <c r="AI66" s="133"/>
      <c r="AJ66" s="133"/>
      <c r="AK66" s="133"/>
      <c r="AL66" s="133"/>
      <c r="AM66" s="133"/>
      <c r="AN66" s="137"/>
      <c r="AO66" s="137"/>
      <c r="AP66" s="138"/>
      <c r="AQ66" s="94">
        <v>60</v>
      </c>
      <c r="AR66" s="120">
        <v>7303</v>
      </c>
      <c r="AS66" s="120">
        <v>410</v>
      </c>
      <c r="AT66" s="151">
        <f t="shared" si="6"/>
        <v>492</v>
      </c>
      <c r="AU66" s="459">
        <v>34</v>
      </c>
      <c r="AV66" s="150">
        <v>187000</v>
      </c>
      <c r="AW66" s="149">
        <v>6.25</v>
      </c>
      <c r="AX66" s="120">
        <v>12</v>
      </c>
      <c r="AY66" s="120">
        <v>2592</v>
      </c>
      <c r="AZ66" s="120">
        <v>29</v>
      </c>
      <c r="BA66" s="120">
        <v>618</v>
      </c>
      <c r="BB66" s="120">
        <v>28</v>
      </c>
      <c r="BC66" s="137"/>
      <c r="BD66" s="137"/>
      <c r="BE66" s="138"/>
      <c r="BF66" s="94">
        <v>60</v>
      </c>
      <c r="BG66" s="120">
        <v>2575</v>
      </c>
      <c r="BH66" s="120">
        <v>658</v>
      </c>
      <c r="BI66" s="151">
        <f t="shared" si="7"/>
        <v>493.5</v>
      </c>
      <c r="BJ66" s="459">
        <v>34</v>
      </c>
      <c r="BK66" s="150">
        <v>192000</v>
      </c>
      <c r="BL66" s="149">
        <v>6.25</v>
      </c>
      <c r="BM66" s="120">
        <v>12</v>
      </c>
      <c r="BN66" s="120">
        <v>425</v>
      </c>
      <c r="BO66" s="139">
        <v>5.8</v>
      </c>
      <c r="BP66" s="120">
        <v>1220</v>
      </c>
      <c r="BQ66" s="120">
        <v>16</v>
      </c>
      <c r="BR66" s="202"/>
      <c r="BS66" s="202"/>
      <c r="BT66" s="202"/>
    </row>
    <row r="67" spans="1:72">
      <c r="A67" s="133"/>
      <c r="B67" s="133"/>
      <c r="C67" s="137"/>
      <c r="D67" s="133"/>
      <c r="E67" s="133"/>
      <c r="F67" s="133"/>
      <c r="G67" s="133"/>
      <c r="H67" s="133"/>
      <c r="I67" s="133"/>
      <c r="J67" s="133"/>
      <c r="K67" s="133"/>
      <c r="L67" s="133"/>
      <c r="M67" s="133"/>
      <c r="N67" s="133"/>
      <c r="O67" s="133"/>
      <c r="P67" s="95" t="s">
        <v>488</v>
      </c>
      <c r="Q67" s="344"/>
      <c r="R67" s="95" t="s">
        <v>489</v>
      </c>
      <c r="S67" s="120"/>
      <c r="T67" s="120"/>
      <c r="U67" s="120"/>
      <c r="V67" s="137"/>
      <c r="W67" s="418"/>
      <c r="X67" s="120"/>
      <c r="Y67" s="133"/>
      <c r="Z67" s="142" t="s">
        <v>490</v>
      </c>
      <c r="AA67" s="364"/>
      <c r="AB67" s="95" t="s">
        <v>491</v>
      </c>
      <c r="AC67" s="133"/>
      <c r="AD67" s="133"/>
      <c r="AE67" s="133"/>
      <c r="AF67" s="133"/>
      <c r="AG67" s="133"/>
      <c r="AH67" s="133"/>
      <c r="AI67" s="133"/>
      <c r="AJ67" s="133"/>
      <c r="AK67" s="133"/>
      <c r="AL67" s="133"/>
      <c r="AM67" s="133"/>
      <c r="AN67" s="137"/>
      <c r="AO67" s="137"/>
      <c r="AP67" s="138"/>
      <c r="AQ67" s="94">
        <v>61</v>
      </c>
      <c r="AR67" s="120">
        <v>7486</v>
      </c>
      <c r="AS67" s="120">
        <v>418</v>
      </c>
      <c r="AT67" s="151">
        <f t="shared" si="6"/>
        <v>501.59999999999997</v>
      </c>
      <c r="AU67" s="459">
        <v>34</v>
      </c>
      <c r="AV67" s="150">
        <v>193000</v>
      </c>
      <c r="AW67" s="149">
        <v>6.25</v>
      </c>
      <c r="AX67" s="120">
        <v>12</v>
      </c>
      <c r="AY67" s="120">
        <v>2592</v>
      </c>
      <c r="AZ67" s="120">
        <v>29</v>
      </c>
      <c r="BA67" s="120">
        <v>618</v>
      </c>
      <c r="BB67" s="120">
        <v>28</v>
      </c>
      <c r="BC67" s="137"/>
      <c r="BD67" s="137"/>
      <c r="BE67" s="138"/>
      <c r="BF67" s="94">
        <v>61</v>
      </c>
      <c r="BG67" s="120">
        <v>2639</v>
      </c>
      <c r="BH67" s="120">
        <v>671</v>
      </c>
      <c r="BI67" s="151">
        <f t="shared" si="7"/>
        <v>503.25</v>
      </c>
      <c r="BJ67" s="459">
        <v>34</v>
      </c>
      <c r="BK67" s="150">
        <v>198000</v>
      </c>
      <c r="BL67" s="149">
        <v>6.25</v>
      </c>
      <c r="BM67" s="120">
        <v>12</v>
      </c>
      <c r="BN67" s="120">
        <v>425</v>
      </c>
      <c r="BO67" s="139">
        <v>5.8</v>
      </c>
      <c r="BP67" s="120">
        <v>1220</v>
      </c>
      <c r="BQ67" s="120">
        <v>16</v>
      </c>
      <c r="BR67" s="202"/>
      <c r="BS67" s="202"/>
      <c r="BT67" s="202"/>
    </row>
    <row r="68" spans="1:72">
      <c r="A68" s="133"/>
      <c r="B68" s="133"/>
      <c r="C68" s="137"/>
      <c r="D68" s="133"/>
      <c r="E68" s="133"/>
      <c r="F68" s="133"/>
      <c r="G68" s="133"/>
      <c r="H68" s="133"/>
      <c r="I68" s="133"/>
      <c r="J68" s="133"/>
      <c r="K68" s="133"/>
      <c r="L68" s="133"/>
      <c r="M68" s="133"/>
      <c r="N68" s="133"/>
      <c r="O68" s="133"/>
      <c r="P68" s="95" t="s">
        <v>426</v>
      </c>
      <c r="Q68" s="345"/>
      <c r="R68" s="95" t="s">
        <v>492</v>
      </c>
      <c r="S68" s="120"/>
      <c r="T68" s="120"/>
      <c r="U68" s="120"/>
      <c r="V68" s="137"/>
      <c r="W68" s="418"/>
      <c r="X68" s="120"/>
      <c r="Y68" s="133"/>
      <c r="Z68" s="95" t="s">
        <v>493</v>
      </c>
      <c r="AA68" s="133"/>
      <c r="AB68" s="436"/>
      <c r="AC68" s="133"/>
      <c r="AD68" s="133"/>
      <c r="AE68" s="133"/>
      <c r="AF68" s="133"/>
      <c r="AG68" s="133"/>
      <c r="AH68" s="133"/>
      <c r="AI68" s="133"/>
      <c r="AJ68" s="133"/>
      <c r="AK68" s="133"/>
      <c r="AL68" s="133"/>
      <c r="AM68" s="133"/>
      <c r="AN68" s="137"/>
      <c r="AO68" s="137"/>
      <c r="AP68" s="138"/>
      <c r="AQ68" s="94">
        <v>62</v>
      </c>
      <c r="AR68" s="120">
        <v>7673</v>
      </c>
      <c r="AS68" s="120">
        <v>426</v>
      </c>
      <c r="AT68" s="151">
        <f t="shared" si="6"/>
        <v>511.2</v>
      </c>
      <c r="AU68" s="459">
        <v>34</v>
      </c>
      <c r="AV68" s="150">
        <v>200000</v>
      </c>
      <c r="AW68" s="149">
        <v>6.25</v>
      </c>
      <c r="AX68" s="120">
        <v>12</v>
      </c>
      <c r="AY68" s="120">
        <v>2592</v>
      </c>
      <c r="AZ68" s="120">
        <v>29</v>
      </c>
      <c r="BA68" s="120">
        <v>618</v>
      </c>
      <c r="BB68" s="120">
        <v>28</v>
      </c>
      <c r="BC68" s="137"/>
      <c r="BD68" s="137"/>
      <c r="BE68" s="138"/>
      <c r="BF68" s="94">
        <v>62</v>
      </c>
      <c r="BG68" s="120">
        <v>2705</v>
      </c>
      <c r="BH68" s="120">
        <v>684</v>
      </c>
      <c r="BI68" s="151">
        <f t="shared" si="7"/>
        <v>513</v>
      </c>
      <c r="BJ68" s="459">
        <v>34</v>
      </c>
      <c r="BK68" s="150">
        <v>203000</v>
      </c>
      <c r="BL68" s="149">
        <v>6.25</v>
      </c>
      <c r="BM68" s="120">
        <v>12</v>
      </c>
      <c r="BN68" s="120">
        <v>425</v>
      </c>
      <c r="BO68" s="139">
        <v>5.8</v>
      </c>
      <c r="BP68" s="120">
        <v>1220</v>
      </c>
      <c r="BQ68" s="120">
        <v>16</v>
      </c>
      <c r="BR68" s="202"/>
      <c r="BS68" s="202"/>
      <c r="BT68" s="202"/>
    </row>
    <row r="69" spans="1:72">
      <c r="A69" s="133"/>
      <c r="B69" s="133"/>
      <c r="C69" s="137"/>
      <c r="D69" s="133"/>
      <c r="E69" s="133"/>
      <c r="F69" s="137" t="s">
        <v>494</v>
      </c>
      <c r="G69" s="137"/>
      <c r="H69" s="137" t="s">
        <v>495</v>
      </c>
      <c r="I69" s="133"/>
      <c r="J69" s="133"/>
      <c r="K69" s="133"/>
      <c r="L69" s="133"/>
      <c r="M69" s="133"/>
      <c r="N69" s="133"/>
      <c r="O69" s="133"/>
      <c r="P69" s="95" t="s">
        <v>496</v>
      </c>
      <c r="Q69" s="133"/>
      <c r="R69" s="436"/>
      <c r="S69" s="133"/>
      <c r="T69" s="133"/>
      <c r="U69" s="133"/>
      <c r="V69" s="133"/>
      <c r="W69" s="133"/>
      <c r="X69" s="133"/>
      <c r="Y69" s="133"/>
      <c r="Z69" s="133"/>
      <c r="AA69" s="133"/>
      <c r="AB69" s="133"/>
      <c r="AC69" s="133"/>
      <c r="AD69" s="133"/>
      <c r="AE69" s="133"/>
      <c r="AF69" s="133"/>
      <c r="AG69" s="133"/>
      <c r="AH69" s="133"/>
      <c r="AI69" s="133"/>
      <c r="AJ69" s="133"/>
      <c r="AK69" s="133"/>
      <c r="AL69" s="133"/>
      <c r="AM69" s="133"/>
      <c r="AN69" s="137"/>
      <c r="AO69" s="137"/>
      <c r="AP69" s="138"/>
      <c r="AQ69" s="94">
        <v>63</v>
      </c>
      <c r="AR69" s="120">
        <v>7865</v>
      </c>
      <c r="AS69" s="120">
        <v>435</v>
      </c>
      <c r="AT69" s="151">
        <f t="shared" si="6"/>
        <v>522</v>
      </c>
      <c r="AU69" s="459">
        <v>34</v>
      </c>
      <c r="AV69" s="150">
        <v>206000</v>
      </c>
      <c r="AW69" s="149">
        <v>6.25</v>
      </c>
      <c r="AX69" s="120">
        <v>12</v>
      </c>
      <c r="AY69" s="120">
        <v>2592</v>
      </c>
      <c r="AZ69" s="120">
        <v>29</v>
      </c>
      <c r="BA69" s="120">
        <v>618</v>
      </c>
      <c r="BB69" s="120">
        <v>28</v>
      </c>
      <c r="BC69" s="137"/>
      <c r="BD69" s="137"/>
      <c r="BE69" s="138"/>
      <c r="BF69" s="94">
        <v>63</v>
      </c>
      <c r="BG69" s="120">
        <v>2773</v>
      </c>
      <c r="BH69" s="120">
        <v>698</v>
      </c>
      <c r="BI69" s="151">
        <f t="shared" si="7"/>
        <v>523.5</v>
      </c>
      <c r="BJ69" s="459">
        <v>34</v>
      </c>
      <c r="BK69" s="150">
        <v>208000</v>
      </c>
      <c r="BL69" s="149">
        <v>6.25</v>
      </c>
      <c r="BM69" s="120">
        <v>12</v>
      </c>
      <c r="BN69" s="120">
        <v>425</v>
      </c>
      <c r="BO69" s="139">
        <v>5.8</v>
      </c>
      <c r="BP69" s="120">
        <v>1220</v>
      </c>
      <c r="BQ69" s="120">
        <v>16</v>
      </c>
      <c r="BR69" s="202"/>
      <c r="BS69" s="202"/>
      <c r="BT69" s="202"/>
    </row>
    <row r="70" spans="1:72">
      <c r="A70" s="133"/>
      <c r="B70" s="133"/>
      <c r="C70" s="137"/>
      <c r="D70" s="133"/>
      <c r="E70" s="133"/>
      <c r="F70" s="342" t="s">
        <v>248</v>
      </c>
      <c r="G70" s="344"/>
      <c r="H70" s="136" t="s">
        <v>243</v>
      </c>
      <c r="I70" s="136" t="s">
        <v>244</v>
      </c>
      <c r="J70" s="136" t="s">
        <v>245</v>
      </c>
      <c r="K70" s="136" t="s">
        <v>250</v>
      </c>
      <c r="L70" s="136" t="s">
        <v>345</v>
      </c>
      <c r="M70" s="136" t="s">
        <v>246</v>
      </c>
      <c r="N70" s="136" t="s">
        <v>247</v>
      </c>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7"/>
      <c r="AO70" s="202"/>
      <c r="AP70" s="138"/>
      <c r="AQ70" s="94">
        <v>64</v>
      </c>
      <c r="AR70" s="120">
        <v>8062</v>
      </c>
      <c r="AS70" s="120">
        <v>444</v>
      </c>
      <c r="AT70" s="151">
        <f t="shared" si="6"/>
        <v>532.79999999999995</v>
      </c>
      <c r="AU70" s="459">
        <v>34</v>
      </c>
      <c r="AV70" s="150">
        <v>211000</v>
      </c>
      <c r="AW70" s="149">
        <v>6.25</v>
      </c>
      <c r="AX70" s="120">
        <v>12</v>
      </c>
      <c r="AY70" s="120">
        <v>2592</v>
      </c>
      <c r="AZ70" s="120">
        <v>29</v>
      </c>
      <c r="BA70" s="120">
        <v>618</v>
      </c>
      <c r="BB70" s="120">
        <v>28</v>
      </c>
      <c r="BC70" s="137"/>
      <c r="BD70" s="137"/>
      <c r="BE70" s="138"/>
      <c r="BF70" s="94">
        <v>64</v>
      </c>
      <c r="BG70" s="120">
        <v>2842</v>
      </c>
      <c r="BH70" s="120">
        <v>712</v>
      </c>
      <c r="BI70" s="151">
        <f t="shared" si="7"/>
        <v>534</v>
      </c>
      <c r="BJ70" s="459">
        <v>34</v>
      </c>
      <c r="BK70" s="150">
        <v>213000</v>
      </c>
      <c r="BL70" s="149">
        <v>6.25</v>
      </c>
      <c r="BM70" s="120">
        <v>12</v>
      </c>
      <c r="BN70" s="120">
        <v>425</v>
      </c>
      <c r="BO70" s="139">
        <v>5.8</v>
      </c>
      <c r="BP70" s="120">
        <v>1220</v>
      </c>
      <c r="BQ70" s="120">
        <v>16</v>
      </c>
      <c r="BR70" s="202"/>
      <c r="BS70" s="202"/>
      <c r="BT70" s="202"/>
    </row>
    <row r="71" spans="1:72">
      <c r="A71" s="133"/>
      <c r="B71" s="133"/>
      <c r="C71" s="137"/>
      <c r="D71" s="133"/>
      <c r="E71" s="133"/>
      <c r="F71" s="95" t="s">
        <v>497</v>
      </c>
      <c r="G71" s="345"/>
      <c r="H71" s="100">
        <v>1</v>
      </c>
      <c r="I71" s="120">
        <v>4100</v>
      </c>
      <c r="J71" s="120">
        <v>340</v>
      </c>
      <c r="K71" s="151">
        <f>J71*1.2</f>
        <v>408</v>
      </c>
      <c r="L71" s="120">
        <v>700</v>
      </c>
      <c r="M71" s="120"/>
      <c r="N71" s="149"/>
      <c r="O71" s="133"/>
      <c r="P71" s="137" t="s">
        <v>498</v>
      </c>
      <c r="Q71" s="137"/>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7"/>
      <c r="AO71" s="202"/>
      <c r="AP71" s="138"/>
      <c r="AQ71" s="94">
        <v>65</v>
      </c>
      <c r="AR71" s="460">
        <v>8264</v>
      </c>
      <c r="AS71" s="460">
        <v>453</v>
      </c>
      <c r="AT71" s="461">
        <f t="shared" si="6"/>
        <v>543.6</v>
      </c>
      <c r="AU71" s="462">
        <v>36</v>
      </c>
      <c r="AV71" s="463">
        <v>216000</v>
      </c>
      <c r="AW71" s="149">
        <v>6.25</v>
      </c>
      <c r="AX71" s="460">
        <v>13</v>
      </c>
      <c r="AY71" s="460">
        <v>2980</v>
      </c>
      <c r="AZ71" s="460">
        <v>30</v>
      </c>
      <c r="BA71" s="460">
        <v>694</v>
      </c>
      <c r="BB71" s="460">
        <v>30</v>
      </c>
      <c r="BC71" s="137"/>
      <c r="BD71" s="137"/>
      <c r="BE71" s="138"/>
      <c r="BF71" s="94">
        <v>65</v>
      </c>
      <c r="BG71" s="460">
        <v>2913</v>
      </c>
      <c r="BH71" s="460">
        <v>726</v>
      </c>
      <c r="BI71" s="461">
        <f t="shared" si="7"/>
        <v>544.5</v>
      </c>
      <c r="BJ71" s="469">
        <v>36</v>
      </c>
      <c r="BK71" s="463">
        <v>219000</v>
      </c>
      <c r="BL71" s="149">
        <v>6.25</v>
      </c>
      <c r="BM71" s="460">
        <v>13</v>
      </c>
      <c r="BN71" s="460">
        <v>450</v>
      </c>
      <c r="BO71" s="470">
        <v>6</v>
      </c>
      <c r="BP71" s="460">
        <v>1300</v>
      </c>
      <c r="BQ71" s="460">
        <v>17</v>
      </c>
      <c r="BR71" s="202"/>
      <c r="BS71" s="202"/>
      <c r="BT71" s="202"/>
    </row>
    <row r="72" spans="1:72">
      <c r="A72" s="133"/>
      <c r="B72" s="133"/>
      <c r="C72" s="137"/>
      <c r="D72" s="133"/>
      <c r="E72" s="133"/>
      <c r="F72" s="95" t="s">
        <v>282</v>
      </c>
      <c r="G72" s="345"/>
      <c r="H72" s="100">
        <v>2</v>
      </c>
      <c r="I72" s="120">
        <v>4400</v>
      </c>
      <c r="J72" s="120">
        <v>370</v>
      </c>
      <c r="K72" s="151">
        <f>J72*1.2</f>
        <v>444</v>
      </c>
      <c r="L72" s="120">
        <v>800</v>
      </c>
      <c r="M72" s="150">
        <v>12000000</v>
      </c>
      <c r="N72" s="149">
        <v>11.25</v>
      </c>
      <c r="O72" s="133"/>
      <c r="P72" s="342" t="s">
        <v>248</v>
      </c>
      <c r="Q72" s="344"/>
      <c r="R72" s="136" t="s">
        <v>243</v>
      </c>
      <c r="S72" s="136" t="s">
        <v>244</v>
      </c>
      <c r="T72" s="395" t="s">
        <v>245</v>
      </c>
      <c r="U72" s="395" t="s">
        <v>250</v>
      </c>
      <c r="V72" s="395" t="s">
        <v>499</v>
      </c>
      <c r="W72" s="395" t="s">
        <v>500</v>
      </c>
      <c r="X72" s="136" t="s">
        <v>246</v>
      </c>
      <c r="Y72" s="136" t="s">
        <v>247</v>
      </c>
      <c r="Z72" s="133"/>
      <c r="AA72" s="133"/>
      <c r="AB72" s="133"/>
      <c r="AC72" s="133"/>
      <c r="AD72" s="133"/>
      <c r="AE72" s="133"/>
      <c r="AF72" s="133"/>
      <c r="AG72" s="133"/>
      <c r="AH72" s="133"/>
      <c r="AI72" s="133"/>
      <c r="AJ72" s="133"/>
      <c r="AK72" s="133"/>
      <c r="AL72" s="133"/>
      <c r="AM72" s="133"/>
      <c r="AN72" s="137"/>
      <c r="AO72" s="202"/>
      <c r="AP72" s="138"/>
      <c r="AQ72" s="100">
        <v>66</v>
      </c>
      <c r="AR72" s="120">
        <v>8470</v>
      </c>
      <c r="AS72" s="120">
        <v>462</v>
      </c>
      <c r="AT72" s="464">
        <f t="shared" si="6"/>
        <v>554.4</v>
      </c>
      <c r="AU72" s="465">
        <v>36</v>
      </c>
      <c r="AV72" s="466">
        <v>225000</v>
      </c>
      <c r="AW72" s="468">
        <v>6.75</v>
      </c>
      <c r="AX72" s="120">
        <v>13</v>
      </c>
      <c r="AY72" s="120">
        <v>2980</v>
      </c>
      <c r="AZ72" s="120">
        <v>30</v>
      </c>
      <c r="BA72" s="120">
        <v>694</v>
      </c>
      <c r="BB72" s="120">
        <v>30</v>
      </c>
      <c r="BC72" s="137"/>
      <c r="BD72" s="137"/>
      <c r="BE72" s="138"/>
      <c r="BF72" s="100">
        <v>66</v>
      </c>
      <c r="BG72" s="120">
        <v>2980</v>
      </c>
      <c r="BH72" s="120">
        <v>739</v>
      </c>
      <c r="BI72" s="464">
        <f t="shared" si="7"/>
        <v>554.25</v>
      </c>
      <c r="BJ72" s="459">
        <v>36</v>
      </c>
      <c r="BK72" s="466">
        <v>228000</v>
      </c>
      <c r="BL72" s="468">
        <v>6.75</v>
      </c>
      <c r="BM72" s="120">
        <v>13</v>
      </c>
      <c r="BN72" s="120">
        <v>450</v>
      </c>
      <c r="BO72" s="139">
        <v>6</v>
      </c>
      <c r="BP72" s="120">
        <v>1300</v>
      </c>
      <c r="BQ72" s="120">
        <v>17</v>
      </c>
      <c r="BR72" s="202"/>
      <c r="BS72" s="202"/>
      <c r="BT72" s="202"/>
    </row>
    <row r="73" spans="1:72">
      <c r="A73" s="133"/>
      <c r="B73" s="133"/>
      <c r="C73" s="137"/>
      <c r="D73" s="133"/>
      <c r="E73" s="133"/>
      <c r="F73" s="346" t="s">
        <v>445</v>
      </c>
      <c r="G73" s="347"/>
      <c r="H73" s="121">
        <v>3</v>
      </c>
      <c r="I73" s="120">
        <v>4700</v>
      </c>
      <c r="J73" s="120">
        <v>400</v>
      </c>
      <c r="K73" s="151">
        <f>J73*1.2</f>
        <v>480</v>
      </c>
      <c r="L73" s="120">
        <v>900</v>
      </c>
      <c r="M73" s="150">
        <v>16500000</v>
      </c>
      <c r="N73" s="149">
        <v>16</v>
      </c>
      <c r="O73" s="133"/>
      <c r="P73" s="95" t="s">
        <v>501</v>
      </c>
      <c r="Q73" s="345"/>
      <c r="R73" s="121">
        <v>1</v>
      </c>
      <c r="S73" s="120">
        <v>7200</v>
      </c>
      <c r="T73" s="120">
        <v>180</v>
      </c>
      <c r="U73" s="120">
        <v>270</v>
      </c>
      <c r="V73" s="120">
        <v>75</v>
      </c>
      <c r="W73" s="151">
        <f>V73*0.25</f>
        <v>18.75</v>
      </c>
      <c r="X73" s="120"/>
      <c r="Y73" s="149"/>
      <c r="Z73" s="133"/>
      <c r="AA73" s="133"/>
      <c r="AB73" s="133"/>
      <c r="AC73" s="133"/>
      <c r="AD73" s="133"/>
      <c r="AE73" s="133"/>
      <c r="AF73" s="133"/>
      <c r="AG73" s="133"/>
      <c r="AH73" s="133"/>
      <c r="AI73" s="133"/>
      <c r="AJ73" s="133"/>
      <c r="AK73" s="133"/>
      <c r="AL73" s="133"/>
      <c r="AM73" s="133"/>
      <c r="AN73" s="137"/>
      <c r="AO73" s="202"/>
      <c r="AP73" s="138"/>
      <c r="AQ73" s="100">
        <v>67</v>
      </c>
      <c r="AR73" s="120">
        <v>8680</v>
      </c>
      <c r="AS73" s="120">
        <v>471</v>
      </c>
      <c r="AT73" s="151">
        <f t="shared" si="6"/>
        <v>565.19999999999993</v>
      </c>
      <c r="AU73" s="459">
        <v>36</v>
      </c>
      <c r="AV73" s="150">
        <v>234000</v>
      </c>
      <c r="AW73" s="149">
        <v>6.75</v>
      </c>
      <c r="AX73" s="120">
        <v>13</v>
      </c>
      <c r="AY73" s="120">
        <v>2980</v>
      </c>
      <c r="AZ73" s="120">
        <v>30</v>
      </c>
      <c r="BA73" s="120">
        <v>694</v>
      </c>
      <c r="BB73" s="120">
        <v>30</v>
      </c>
      <c r="BC73" s="137"/>
      <c r="BD73" s="137"/>
      <c r="BE73" s="138"/>
      <c r="BF73" s="100">
        <v>67</v>
      </c>
      <c r="BG73" s="120">
        <v>3040</v>
      </c>
      <c r="BH73" s="120">
        <v>751</v>
      </c>
      <c r="BI73" s="151">
        <f t="shared" si="7"/>
        <v>563.25</v>
      </c>
      <c r="BJ73" s="459">
        <v>36</v>
      </c>
      <c r="BK73" s="150">
        <v>237000</v>
      </c>
      <c r="BL73" s="149">
        <v>6.75</v>
      </c>
      <c r="BM73" s="120">
        <v>13</v>
      </c>
      <c r="BN73" s="120">
        <v>450</v>
      </c>
      <c r="BO73" s="139">
        <v>6</v>
      </c>
      <c r="BP73" s="120">
        <v>1300</v>
      </c>
      <c r="BQ73" s="120">
        <v>17</v>
      </c>
      <c r="BR73" s="202"/>
      <c r="BS73" s="202"/>
      <c r="BT73" s="202"/>
    </row>
    <row r="74" spans="1:72">
      <c r="A74" s="133"/>
      <c r="B74" s="133"/>
      <c r="C74" s="137"/>
      <c r="D74" s="133"/>
      <c r="E74" s="133"/>
      <c r="F74" s="342" t="s">
        <v>287</v>
      </c>
      <c r="G74" s="344"/>
      <c r="H74" s="133"/>
      <c r="I74" s="133"/>
      <c r="J74" s="133"/>
      <c r="K74" s="133"/>
      <c r="L74" s="133"/>
      <c r="M74" s="133"/>
      <c r="N74" s="133"/>
      <c r="O74" s="133"/>
      <c r="P74" s="95" t="s">
        <v>405</v>
      </c>
      <c r="Q74" s="345"/>
      <c r="R74" s="121">
        <v>2</v>
      </c>
      <c r="S74" s="120">
        <v>7700</v>
      </c>
      <c r="T74" s="120">
        <v>200</v>
      </c>
      <c r="U74" s="120">
        <v>300</v>
      </c>
      <c r="V74" s="120">
        <v>100</v>
      </c>
      <c r="W74" s="151">
        <f t="shared" ref="W74:W75" si="13">V74*0.25</f>
        <v>25</v>
      </c>
      <c r="X74" s="150">
        <v>12000000</v>
      </c>
      <c r="Y74" s="149">
        <v>17.5</v>
      </c>
      <c r="Z74" s="133"/>
      <c r="AA74" s="133"/>
      <c r="AB74" s="133"/>
      <c r="AC74" s="133"/>
      <c r="AD74" s="133"/>
      <c r="AE74" s="133"/>
      <c r="AF74" s="133"/>
      <c r="AG74" s="133"/>
      <c r="AH74" s="133"/>
      <c r="AI74" s="133"/>
      <c r="AJ74" s="133"/>
      <c r="AK74" s="133"/>
      <c r="AL74" s="133"/>
      <c r="AM74" s="133"/>
      <c r="AN74" s="137"/>
      <c r="AO74" s="202"/>
      <c r="AP74" s="138"/>
      <c r="AQ74" s="100">
        <v>68</v>
      </c>
      <c r="AR74" s="120">
        <v>8890</v>
      </c>
      <c r="AS74" s="120">
        <v>480</v>
      </c>
      <c r="AT74" s="151">
        <f t="shared" si="6"/>
        <v>576</v>
      </c>
      <c r="AU74" s="459">
        <v>36</v>
      </c>
      <c r="AV74" s="150">
        <v>243000</v>
      </c>
      <c r="AW74" s="149">
        <v>6.75</v>
      </c>
      <c r="AX74" s="120">
        <v>13</v>
      </c>
      <c r="AY74" s="120">
        <v>2980</v>
      </c>
      <c r="AZ74" s="120">
        <v>30</v>
      </c>
      <c r="BA74" s="120">
        <v>694</v>
      </c>
      <c r="BB74" s="120">
        <v>30</v>
      </c>
      <c r="BC74" s="137"/>
      <c r="BD74" s="137"/>
      <c r="BE74" s="138"/>
      <c r="BF74" s="100">
        <v>68</v>
      </c>
      <c r="BG74" s="120">
        <v>3095</v>
      </c>
      <c r="BH74" s="120">
        <v>762</v>
      </c>
      <c r="BI74" s="151">
        <f t="shared" si="7"/>
        <v>571.5</v>
      </c>
      <c r="BJ74" s="459">
        <v>36</v>
      </c>
      <c r="BK74" s="150">
        <v>246000</v>
      </c>
      <c r="BL74" s="149">
        <v>6.75</v>
      </c>
      <c r="BM74" s="120">
        <v>13</v>
      </c>
      <c r="BN74" s="120">
        <v>450</v>
      </c>
      <c r="BO74" s="139">
        <v>6</v>
      </c>
      <c r="BP74" s="120">
        <v>1300</v>
      </c>
      <c r="BQ74" s="120">
        <v>17</v>
      </c>
      <c r="BR74" s="202"/>
      <c r="BS74" s="202"/>
      <c r="BT74" s="202"/>
    </row>
    <row r="75" spans="1:72">
      <c r="A75" s="133"/>
      <c r="B75" s="133"/>
      <c r="C75" s="137"/>
      <c r="D75" s="133"/>
      <c r="E75" s="133"/>
      <c r="F75" s="95" t="s">
        <v>502</v>
      </c>
      <c r="G75" s="345"/>
      <c r="H75" s="133"/>
      <c r="I75" s="133"/>
      <c r="J75" s="133"/>
      <c r="K75" s="133"/>
      <c r="L75" s="133"/>
      <c r="M75" s="133"/>
      <c r="N75" s="133"/>
      <c r="O75" s="133"/>
      <c r="P75" s="346" t="s">
        <v>445</v>
      </c>
      <c r="Q75" s="347"/>
      <c r="R75" s="122">
        <v>3</v>
      </c>
      <c r="S75" s="120">
        <v>8200</v>
      </c>
      <c r="T75" s="120">
        <v>220</v>
      </c>
      <c r="U75" s="120">
        <v>330</v>
      </c>
      <c r="V75" s="120">
        <v>125</v>
      </c>
      <c r="W75" s="151">
        <f t="shared" si="13"/>
        <v>31.25</v>
      </c>
      <c r="X75" s="150">
        <v>16500000</v>
      </c>
      <c r="Y75" s="149">
        <v>19</v>
      </c>
      <c r="Z75" s="133"/>
      <c r="AA75" s="133"/>
      <c r="AB75" s="133"/>
      <c r="AC75" s="133"/>
      <c r="AD75" s="133"/>
      <c r="AE75" s="133"/>
      <c r="AF75" s="133"/>
      <c r="AG75" s="133"/>
      <c r="AH75" s="133"/>
      <c r="AI75" s="133"/>
      <c r="AJ75" s="133"/>
      <c r="AK75" s="133"/>
      <c r="AL75" s="133"/>
      <c r="AM75" s="133"/>
      <c r="AN75" s="137"/>
      <c r="AO75" s="202"/>
      <c r="AP75" s="138"/>
      <c r="AQ75" s="100">
        <v>69</v>
      </c>
      <c r="AR75" s="120">
        <v>9100</v>
      </c>
      <c r="AS75" s="120">
        <v>490</v>
      </c>
      <c r="AT75" s="151">
        <f t="shared" si="6"/>
        <v>588</v>
      </c>
      <c r="AU75" s="459">
        <v>36</v>
      </c>
      <c r="AV75" s="150">
        <v>252000</v>
      </c>
      <c r="AW75" s="149">
        <v>6.75</v>
      </c>
      <c r="AX75" s="120">
        <v>13</v>
      </c>
      <c r="AY75" s="120">
        <v>2980</v>
      </c>
      <c r="AZ75" s="120">
        <v>30</v>
      </c>
      <c r="BA75" s="120">
        <v>694</v>
      </c>
      <c r="BB75" s="120">
        <v>30</v>
      </c>
      <c r="BC75" s="137"/>
      <c r="BD75" s="137"/>
      <c r="BE75" s="138"/>
      <c r="BF75" s="100">
        <v>69</v>
      </c>
      <c r="BG75" s="120">
        <v>3145</v>
      </c>
      <c r="BH75" s="120">
        <v>772</v>
      </c>
      <c r="BI75" s="151">
        <f t="shared" si="7"/>
        <v>579</v>
      </c>
      <c r="BJ75" s="459">
        <v>36</v>
      </c>
      <c r="BK75" s="150">
        <v>255000</v>
      </c>
      <c r="BL75" s="149">
        <v>6.75</v>
      </c>
      <c r="BM75" s="120">
        <v>13</v>
      </c>
      <c r="BN75" s="120">
        <v>450</v>
      </c>
      <c r="BO75" s="139">
        <v>6</v>
      </c>
      <c r="BP75" s="120">
        <v>1300</v>
      </c>
      <c r="BQ75" s="120">
        <v>17</v>
      </c>
      <c r="BR75" s="202"/>
      <c r="BS75" s="202"/>
      <c r="BT75" s="202"/>
    </row>
    <row r="76" spans="1:72">
      <c r="A76" s="133"/>
      <c r="B76" s="133"/>
      <c r="C76" s="133"/>
      <c r="D76" s="133"/>
      <c r="E76" s="133"/>
      <c r="F76" s="348" t="s">
        <v>503</v>
      </c>
      <c r="G76" s="347"/>
      <c r="H76" s="133"/>
      <c r="I76" s="133"/>
      <c r="J76" s="133"/>
      <c r="K76" s="133"/>
      <c r="L76" s="133"/>
      <c r="M76" s="133"/>
      <c r="N76" s="133"/>
      <c r="O76" s="133"/>
      <c r="P76" s="342" t="s">
        <v>287</v>
      </c>
      <c r="Q76" s="344"/>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7"/>
      <c r="AO76" s="202"/>
      <c r="AP76" s="138"/>
      <c r="AQ76" s="100">
        <v>70</v>
      </c>
      <c r="AR76" s="120">
        <v>9300</v>
      </c>
      <c r="AS76" s="120">
        <v>500</v>
      </c>
      <c r="AT76" s="151">
        <f t="shared" si="6"/>
        <v>600</v>
      </c>
      <c r="AU76" s="459">
        <v>38</v>
      </c>
      <c r="AV76" s="150">
        <v>261000</v>
      </c>
      <c r="AW76" s="149">
        <v>7.25</v>
      </c>
      <c r="AX76" s="120">
        <v>14</v>
      </c>
      <c r="AY76" s="120">
        <v>3850</v>
      </c>
      <c r="AZ76" s="120">
        <v>31</v>
      </c>
      <c r="BA76" s="120">
        <v>846</v>
      </c>
      <c r="BB76" s="120">
        <v>32</v>
      </c>
      <c r="BC76" s="137"/>
      <c r="BD76" s="137"/>
      <c r="BE76" s="138"/>
      <c r="BF76" s="100">
        <v>70</v>
      </c>
      <c r="BG76" s="120">
        <v>3190</v>
      </c>
      <c r="BH76" s="120">
        <v>781</v>
      </c>
      <c r="BI76" s="151">
        <f t="shared" si="7"/>
        <v>585.75</v>
      </c>
      <c r="BJ76" s="459">
        <v>38</v>
      </c>
      <c r="BK76" s="150">
        <v>266000</v>
      </c>
      <c r="BL76" s="149">
        <v>7.25</v>
      </c>
      <c r="BM76" s="120">
        <v>14</v>
      </c>
      <c r="BN76" s="120">
        <v>475</v>
      </c>
      <c r="BO76" s="139">
        <v>6.2</v>
      </c>
      <c r="BP76" s="120">
        <v>1370</v>
      </c>
      <c r="BQ76" s="120">
        <v>18</v>
      </c>
      <c r="BR76" s="202"/>
      <c r="BS76" s="202"/>
      <c r="BT76" s="202"/>
    </row>
    <row r="77" spans="1:72">
      <c r="A77" s="133"/>
      <c r="B77" s="133"/>
      <c r="C77" s="133"/>
      <c r="D77" s="133"/>
      <c r="E77" s="133"/>
      <c r="F77" s="95" t="s">
        <v>446</v>
      </c>
      <c r="G77" s="344"/>
      <c r="H77" s="133"/>
      <c r="I77" s="133"/>
      <c r="J77" s="133"/>
      <c r="K77" s="133"/>
      <c r="L77" s="133"/>
      <c r="M77" s="133"/>
      <c r="N77" s="133"/>
      <c r="O77" s="133"/>
      <c r="P77" s="142" t="s">
        <v>504</v>
      </c>
      <c r="Q77" s="345"/>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7"/>
      <c r="AO77" s="202"/>
      <c r="AP77" s="138"/>
      <c r="AQ77" s="100">
        <v>71</v>
      </c>
      <c r="AR77" s="120">
        <v>9500</v>
      </c>
      <c r="AS77" s="120">
        <v>510</v>
      </c>
      <c r="AT77" s="151">
        <f t="shared" si="6"/>
        <v>612</v>
      </c>
      <c r="AU77" s="459">
        <v>38</v>
      </c>
      <c r="AV77" s="150">
        <v>267000</v>
      </c>
      <c r="AW77" s="149">
        <v>7.25</v>
      </c>
      <c r="AX77" s="120">
        <v>14</v>
      </c>
      <c r="AY77" s="120">
        <v>3850</v>
      </c>
      <c r="AZ77" s="120">
        <v>31</v>
      </c>
      <c r="BA77" s="120">
        <v>846</v>
      </c>
      <c r="BB77" s="120">
        <v>32</v>
      </c>
      <c r="BC77" s="137"/>
      <c r="BD77" s="137"/>
      <c r="BE77" s="138"/>
      <c r="BF77" s="100">
        <v>71</v>
      </c>
      <c r="BG77" s="120">
        <v>3230</v>
      </c>
      <c r="BH77" s="120">
        <v>789</v>
      </c>
      <c r="BI77" s="151">
        <f t="shared" si="7"/>
        <v>591.75</v>
      </c>
      <c r="BJ77" s="459">
        <v>38</v>
      </c>
      <c r="BK77" s="150">
        <v>269000</v>
      </c>
      <c r="BL77" s="149">
        <v>7.25</v>
      </c>
      <c r="BM77" s="120">
        <v>14</v>
      </c>
      <c r="BN77" s="120">
        <v>475</v>
      </c>
      <c r="BO77" s="139">
        <v>6.2</v>
      </c>
      <c r="BP77" s="120">
        <v>1370</v>
      </c>
      <c r="BQ77" s="120">
        <v>18</v>
      </c>
      <c r="BR77" s="202"/>
      <c r="BS77" s="202"/>
      <c r="BT77" s="202"/>
    </row>
    <row r="78" spans="1:72">
      <c r="A78" s="133"/>
      <c r="B78" s="133"/>
      <c r="C78" s="133"/>
      <c r="D78" s="133"/>
      <c r="E78" s="133"/>
      <c r="F78" s="95" t="s">
        <v>505</v>
      </c>
      <c r="G78" s="345"/>
      <c r="H78" s="133"/>
      <c r="I78" s="133"/>
      <c r="J78" s="133"/>
      <c r="K78" s="133"/>
      <c r="L78" s="133"/>
      <c r="M78" s="133"/>
      <c r="N78" s="133"/>
      <c r="O78" s="133"/>
      <c r="P78" s="142" t="s">
        <v>506</v>
      </c>
      <c r="Q78" s="347"/>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7"/>
      <c r="AO78" s="202"/>
      <c r="AP78" s="138"/>
      <c r="AQ78" s="100">
        <v>72</v>
      </c>
      <c r="AR78" s="120">
        <v>9700</v>
      </c>
      <c r="AS78" s="120">
        <v>520</v>
      </c>
      <c r="AT78" s="151">
        <f t="shared" si="6"/>
        <v>624</v>
      </c>
      <c r="AU78" s="459">
        <v>38</v>
      </c>
      <c r="AV78" s="150">
        <v>270000</v>
      </c>
      <c r="AW78" s="149">
        <v>7.25</v>
      </c>
      <c r="AX78" s="120">
        <v>14</v>
      </c>
      <c r="AY78" s="120">
        <v>3850</v>
      </c>
      <c r="AZ78" s="120">
        <v>31</v>
      </c>
      <c r="BA78" s="120">
        <v>846</v>
      </c>
      <c r="BB78" s="120">
        <v>32</v>
      </c>
      <c r="BC78" s="137"/>
      <c r="BD78" s="137"/>
      <c r="BE78" s="138"/>
      <c r="BF78" s="100">
        <v>72</v>
      </c>
      <c r="BG78" s="120">
        <v>3270</v>
      </c>
      <c r="BH78" s="120">
        <v>796</v>
      </c>
      <c r="BI78" s="151">
        <f t="shared" si="7"/>
        <v>597</v>
      </c>
      <c r="BJ78" s="459">
        <v>38</v>
      </c>
      <c r="BK78" s="150">
        <v>278000</v>
      </c>
      <c r="BL78" s="149">
        <v>7.25</v>
      </c>
      <c r="BM78" s="120">
        <v>14</v>
      </c>
      <c r="BN78" s="120">
        <v>475</v>
      </c>
      <c r="BO78" s="139">
        <v>6.2</v>
      </c>
      <c r="BP78" s="120">
        <v>1370</v>
      </c>
      <c r="BQ78" s="120">
        <v>18</v>
      </c>
      <c r="BR78" s="202"/>
      <c r="BS78" s="202"/>
      <c r="BT78" s="202"/>
    </row>
    <row r="79" spans="1:72">
      <c r="A79" s="133"/>
      <c r="B79" s="133"/>
      <c r="C79" s="133"/>
      <c r="D79" s="133"/>
      <c r="E79" s="133"/>
      <c r="F79" s="95" t="s">
        <v>507</v>
      </c>
      <c r="G79" s="137"/>
      <c r="H79" s="436"/>
      <c r="I79" s="133"/>
      <c r="J79" s="133"/>
      <c r="K79" s="133"/>
      <c r="L79" s="133"/>
      <c r="M79" s="133"/>
      <c r="N79" s="133"/>
      <c r="O79" s="133"/>
      <c r="P79" s="471" t="s">
        <v>508</v>
      </c>
      <c r="Q79" s="344"/>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7"/>
      <c r="AO79" s="202"/>
      <c r="AP79" s="138"/>
      <c r="AQ79" s="100">
        <v>73</v>
      </c>
      <c r="AR79" s="120">
        <v>9900</v>
      </c>
      <c r="AS79" s="120">
        <v>530</v>
      </c>
      <c r="AT79" s="151">
        <f t="shared" si="6"/>
        <v>636</v>
      </c>
      <c r="AU79" s="459">
        <v>38</v>
      </c>
      <c r="AV79" s="150">
        <v>279000</v>
      </c>
      <c r="AW79" s="149">
        <v>7.25</v>
      </c>
      <c r="AX79" s="120">
        <v>14</v>
      </c>
      <c r="AY79" s="120">
        <v>3850</v>
      </c>
      <c r="AZ79" s="120">
        <v>31</v>
      </c>
      <c r="BA79" s="120">
        <v>846</v>
      </c>
      <c r="BB79" s="120">
        <v>32</v>
      </c>
      <c r="BC79" s="137"/>
      <c r="BD79" s="137"/>
      <c r="BE79" s="138"/>
      <c r="BF79" s="100">
        <v>73</v>
      </c>
      <c r="BG79" s="120">
        <v>3310</v>
      </c>
      <c r="BH79" s="120">
        <v>802</v>
      </c>
      <c r="BI79" s="151">
        <f t="shared" si="7"/>
        <v>601.5</v>
      </c>
      <c r="BJ79" s="459">
        <v>38</v>
      </c>
      <c r="BK79" s="150">
        <v>283000</v>
      </c>
      <c r="BL79" s="149">
        <v>7.25</v>
      </c>
      <c r="BM79" s="120">
        <v>14</v>
      </c>
      <c r="BN79" s="120">
        <v>475</v>
      </c>
      <c r="BO79" s="139">
        <v>6.2</v>
      </c>
      <c r="BP79" s="120">
        <v>1370</v>
      </c>
      <c r="BQ79" s="120">
        <v>18</v>
      </c>
      <c r="BR79" s="202"/>
      <c r="BS79" s="202"/>
      <c r="BT79" s="202"/>
    </row>
    <row r="80" spans="1:72">
      <c r="A80" s="133"/>
      <c r="B80" s="133"/>
      <c r="C80" s="133"/>
      <c r="D80" s="133"/>
      <c r="E80" s="133"/>
      <c r="F80" s="133"/>
      <c r="G80" s="133"/>
      <c r="H80" s="133"/>
      <c r="I80" s="133"/>
      <c r="J80" s="133"/>
      <c r="K80" s="133"/>
      <c r="L80" s="133"/>
      <c r="M80" s="133"/>
      <c r="N80" s="133"/>
      <c r="O80" s="133"/>
      <c r="P80" s="95" t="s">
        <v>481</v>
      </c>
      <c r="Q80" s="345"/>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7"/>
      <c r="AO80" s="202"/>
      <c r="AP80" s="138"/>
      <c r="AQ80" s="100">
        <v>74</v>
      </c>
      <c r="AR80" s="120">
        <v>10100</v>
      </c>
      <c r="AS80" s="120">
        <v>540</v>
      </c>
      <c r="AT80" s="151">
        <f t="shared" si="6"/>
        <v>648</v>
      </c>
      <c r="AU80" s="459">
        <v>38</v>
      </c>
      <c r="AV80" s="150">
        <v>284000</v>
      </c>
      <c r="AW80" s="149">
        <v>7.25</v>
      </c>
      <c r="AX80" s="120">
        <v>14</v>
      </c>
      <c r="AY80" s="120">
        <v>3850</v>
      </c>
      <c r="AZ80" s="120">
        <v>31</v>
      </c>
      <c r="BA80" s="120">
        <v>846</v>
      </c>
      <c r="BB80" s="120">
        <v>32</v>
      </c>
      <c r="BC80" s="137"/>
      <c r="BD80" s="137"/>
      <c r="BE80" s="138"/>
      <c r="BF80" s="100">
        <v>74</v>
      </c>
      <c r="BG80" s="120">
        <v>3350</v>
      </c>
      <c r="BH80" s="120">
        <v>808</v>
      </c>
      <c r="BI80" s="151">
        <f t="shared" si="7"/>
        <v>606</v>
      </c>
      <c r="BJ80" s="459">
        <v>38</v>
      </c>
      <c r="BK80" s="150">
        <v>288000</v>
      </c>
      <c r="BL80" s="149">
        <v>7.25</v>
      </c>
      <c r="BM80" s="120">
        <v>14</v>
      </c>
      <c r="BN80" s="120">
        <v>475</v>
      </c>
      <c r="BO80" s="139">
        <v>6.2</v>
      </c>
      <c r="BP80" s="120">
        <v>1370</v>
      </c>
      <c r="BQ80" s="120">
        <v>18</v>
      </c>
      <c r="BR80" s="202"/>
      <c r="BS80" s="202"/>
      <c r="BT80" s="202"/>
    </row>
    <row r="81" spans="1:72">
      <c r="A81" s="133"/>
      <c r="B81" s="133"/>
      <c r="C81" s="133"/>
      <c r="D81" s="521" t="s">
        <v>509</v>
      </c>
      <c r="E81" s="521"/>
      <c r="F81" s="133"/>
      <c r="G81" s="133"/>
      <c r="H81" s="133"/>
      <c r="I81" s="133"/>
      <c r="J81" s="133"/>
      <c r="K81" s="133"/>
      <c r="L81" s="133"/>
      <c r="M81" s="133"/>
      <c r="N81" s="133"/>
      <c r="O81" s="142"/>
      <c r="P81" s="95" t="s">
        <v>510</v>
      </c>
      <c r="Q81" s="137"/>
      <c r="R81" s="447" t="s">
        <v>511</v>
      </c>
      <c r="S81" s="133"/>
      <c r="T81" s="133"/>
      <c r="U81" s="133"/>
      <c r="V81" s="133"/>
      <c r="W81" s="133"/>
      <c r="X81" s="133"/>
      <c r="Y81" s="133"/>
      <c r="Z81" s="133"/>
      <c r="AA81" s="133"/>
      <c r="AB81" s="133"/>
      <c r="AC81" s="133"/>
      <c r="AD81" s="133"/>
      <c r="AE81" s="133"/>
      <c r="AF81" s="133"/>
      <c r="AG81" s="133"/>
      <c r="AH81" s="133"/>
      <c r="AI81" s="133"/>
      <c r="AJ81" s="133"/>
      <c r="AK81" s="133"/>
      <c r="AL81" s="133"/>
      <c r="AM81" s="133"/>
      <c r="AN81" s="137"/>
      <c r="AO81" s="137"/>
      <c r="AP81" s="138"/>
      <c r="AQ81" s="100">
        <v>75</v>
      </c>
      <c r="AR81" s="120">
        <v>10300</v>
      </c>
      <c r="AS81" s="120">
        <v>550</v>
      </c>
      <c r="AT81" s="151">
        <f t="shared" si="6"/>
        <v>660</v>
      </c>
      <c r="AU81" s="459">
        <v>40</v>
      </c>
      <c r="AV81" s="150">
        <v>289000</v>
      </c>
      <c r="AW81" s="149">
        <v>7.25</v>
      </c>
      <c r="AX81" s="120">
        <v>15</v>
      </c>
      <c r="AY81" s="120">
        <v>4300</v>
      </c>
      <c r="AZ81" s="120">
        <v>32</v>
      </c>
      <c r="BA81" s="120">
        <v>922</v>
      </c>
      <c r="BB81" s="120">
        <v>34</v>
      </c>
      <c r="BC81" s="137"/>
      <c r="BD81" s="137"/>
      <c r="BE81" s="138"/>
      <c r="BF81" s="100">
        <v>75</v>
      </c>
      <c r="BG81" s="482">
        <v>3390</v>
      </c>
      <c r="BH81" s="482">
        <v>814</v>
      </c>
      <c r="BI81" s="483">
        <f t="shared" si="7"/>
        <v>610.5</v>
      </c>
      <c r="BJ81" s="462">
        <v>40</v>
      </c>
      <c r="BK81" s="463">
        <v>297000</v>
      </c>
      <c r="BL81" s="149">
        <v>7.25</v>
      </c>
      <c r="BM81" s="482">
        <v>15</v>
      </c>
      <c r="BN81" s="482">
        <v>500</v>
      </c>
      <c r="BO81" s="484">
        <v>6.4</v>
      </c>
      <c r="BP81" s="482">
        <v>1430</v>
      </c>
      <c r="BQ81" s="482">
        <v>19</v>
      </c>
      <c r="BR81" s="202"/>
      <c r="BS81" s="202"/>
      <c r="BT81" s="202"/>
    </row>
    <row r="82" spans="1:72">
      <c r="A82" s="133"/>
      <c r="B82" s="133"/>
      <c r="C82" s="133"/>
      <c r="D82" s="532"/>
      <c r="E82" s="532"/>
      <c r="F82" s="383"/>
      <c r="G82" s="359"/>
      <c r="H82" s="359"/>
      <c r="I82" s="359"/>
      <c r="J82" s="359"/>
      <c r="K82" s="359"/>
      <c r="L82" s="359"/>
      <c r="M82" s="359"/>
      <c r="N82" s="359"/>
      <c r="O82" s="359"/>
      <c r="P82" s="359"/>
      <c r="Q82" s="359"/>
      <c r="R82" s="359"/>
      <c r="S82" s="359"/>
      <c r="T82" s="359"/>
      <c r="U82" s="359"/>
      <c r="V82" s="359"/>
      <c r="W82" s="359"/>
      <c r="X82" s="359"/>
      <c r="Y82" s="359"/>
      <c r="Z82" s="359"/>
      <c r="AA82" s="359"/>
      <c r="AB82" s="359"/>
      <c r="AC82" s="359"/>
      <c r="AD82" s="359"/>
      <c r="AE82" s="359"/>
      <c r="AF82" s="359"/>
      <c r="AG82" s="359"/>
      <c r="AH82" s="359"/>
      <c r="AI82" s="359"/>
      <c r="AJ82" s="359"/>
      <c r="AK82" s="133"/>
      <c r="AL82" s="133"/>
      <c r="AM82" s="133"/>
      <c r="AN82" s="137"/>
      <c r="AO82" s="137"/>
      <c r="AP82" s="138"/>
      <c r="AQ82" s="121">
        <v>76</v>
      </c>
      <c r="AR82" s="475">
        <v>10490</v>
      </c>
      <c r="AS82" s="475">
        <v>559</v>
      </c>
      <c r="AT82" s="476">
        <f t="shared" si="6"/>
        <v>670.8</v>
      </c>
      <c r="AU82" s="465">
        <v>40</v>
      </c>
      <c r="AV82" s="466">
        <v>300000</v>
      </c>
      <c r="AW82" s="468">
        <v>8</v>
      </c>
      <c r="AX82" s="475">
        <v>15</v>
      </c>
      <c r="AY82" s="475">
        <v>4300</v>
      </c>
      <c r="AZ82" s="475">
        <v>32</v>
      </c>
      <c r="BA82" s="475">
        <v>922</v>
      </c>
      <c r="BB82" s="475">
        <v>34</v>
      </c>
      <c r="BC82" s="137"/>
      <c r="BD82" s="137"/>
      <c r="BE82" s="138"/>
      <c r="BF82" s="121">
        <v>76</v>
      </c>
      <c r="BG82" s="475">
        <v>3425</v>
      </c>
      <c r="BH82" s="475">
        <v>820</v>
      </c>
      <c r="BI82" s="476">
        <f t="shared" si="7"/>
        <v>615</v>
      </c>
      <c r="BJ82" s="465">
        <v>40</v>
      </c>
      <c r="BK82" s="466">
        <v>302000</v>
      </c>
      <c r="BL82" s="468">
        <v>8</v>
      </c>
      <c r="BM82" s="475">
        <v>15</v>
      </c>
      <c r="BN82" s="475">
        <v>500</v>
      </c>
      <c r="BO82" s="485">
        <v>6.4</v>
      </c>
      <c r="BP82" s="475">
        <v>1430</v>
      </c>
      <c r="BQ82" s="475">
        <v>19</v>
      </c>
      <c r="BR82" s="202"/>
      <c r="BS82" s="202"/>
      <c r="BT82" s="202"/>
    </row>
    <row r="83" spans="1:72">
      <c r="A83" s="133"/>
      <c r="B83" s="133"/>
      <c r="C83" s="133"/>
      <c r="D83" s="137" t="s">
        <v>231</v>
      </c>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c r="AD83" s="133"/>
      <c r="AE83" s="133"/>
      <c r="AF83" s="133"/>
      <c r="AG83" s="133"/>
      <c r="AH83" s="133"/>
      <c r="AI83" s="133"/>
      <c r="AJ83" s="133"/>
      <c r="AK83" s="133"/>
      <c r="AL83" s="133"/>
      <c r="AM83" s="133"/>
      <c r="AN83" s="137"/>
      <c r="AO83" s="137"/>
      <c r="AP83" s="138"/>
      <c r="AQ83" s="121">
        <v>77</v>
      </c>
      <c r="AR83" s="120">
        <v>10680</v>
      </c>
      <c r="AS83" s="120">
        <v>568</v>
      </c>
      <c r="AT83" s="151">
        <f t="shared" si="6"/>
        <v>681.6</v>
      </c>
      <c r="AU83" s="459">
        <v>40</v>
      </c>
      <c r="AV83" s="150">
        <v>305000</v>
      </c>
      <c r="AW83" s="149">
        <v>8</v>
      </c>
      <c r="AX83" s="120">
        <v>15</v>
      </c>
      <c r="AY83" s="120">
        <v>4300</v>
      </c>
      <c r="AZ83" s="120">
        <v>32</v>
      </c>
      <c r="BA83" s="120">
        <v>922</v>
      </c>
      <c r="BB83" s="120">
        <v>34</v>
      </c>
      <c r="BC83" s="137"/>
      <c r="BD83" s="137"/>
      <c r="BE83" s="138"/>
      <c r="BF83" s="121">
        <v>77</v>
      </c>
      <c r="BG83" s="120">
        <v>3460</v>
      </c>
      <c r="BH83" s="120">
        <v>825</v>
      </c>
      <c r="BI83" s="151">
        <f t="shared" si="7"/>
        <v>618.75</v>
      </c>
      <c r="BJ83" s="459">
        <v>40</v>
      </c>
      <c r="BK83" s="150">
        <v>308000</v>
      </c>
      <c r="BL83" s="149">
        <v>8</v>
      </c>
      <c r="BM83" s="120">
        <v>15</v>
      </c>
      <c r="BN83" s="120">
        <v>500</v>
      </c>
      <c r="BO83" s="139">
        <v>6.4</v>
      </c>
      <c r="BP83" s="120">
        <v>1430</v>
      </c>
      <c r="BQ83" s="120">
        <v>19</v>
      </c>
      <c r="BR83" s="202"/>
      <c r="BS83" s="202"/>
      <c r="BT83" s="202"/>
    </row>
    <row r="84" spans="1:72" ht="14.6">
      <c r="A84" s="133"/>
      <c r="B84" s="133"/>
      <c r="C84" s="133"/>
      <c r="D84" s="435" t="s">
        <v>512</v>
      </c>
      <c r="E84" s="133"/>
      <c r="F84" s="137"/>
      <c r="G84" s="137"/>
      <c r="H84" s="137"/>
      <c r="I84" s="137"/>
      <c r="J84" s="137"/>
      <c r="K84" s="137"/>
      <c r="L84" s="137"/>
      <c r="M84" s="137"/>
      <c r="N84" s="137"/>
      <c r="O84" s="137"/>
      <c r="P84" s="137"/>
      <c r="Q84" s="137"/>
      <c r="R84" s="137"/>
      <c r="S84" s="137"/>
      <c r="T84" s="137"/>
      <c r="U84" s="137"/>
      <c r="V84" s="137"/>
      <c r="W84" s="137"/>
      <c r="X84" s="137"/>
      <c r="Y84" s="137"/>
      <c r="Z84" s="137"/>
      <c r="AA84" s="137"/>
      <c r="AB84" s="133"/>
      <c r="AC84" s="133"/>
      <c r="AD84" s="133"/>
      <c r="AE84" s="133"/>
      <c r="AF84" s="133"/>
      <c r="AG84" s="133"/>
      <c r="AH84" s="133"/>
      <c r="AI84" s="133"/>
      <c r="AJ84" s="133"/>
      <c r="AK84" s="133"/>
      <c r="AL84" s="133"/>
      <c r="AM84" s="133"/>
      <c r="AN84" s="137"/>
      <c r="AO84" s="137"/>
      <c r="AP84" s="138"/>
      <c r="AQ84" s="121">
        <v>78</v>
      </c>
      <c r="AR84" s="120">
        <v>10870</v>
      </c>
      <c r="AS84" s="120">
        <v>577</v>
      </c>
      <c r="AT84" s="151">
        <f t="shared" si="6"/>
        <v>692.4</v>
      </c>
      <c r="AU84" s="459">
        <v>40</v>
      </c>
      <c r="AV84" s="150">
        <v>310000</v>
      </c>
      <c r="AW84" s="149">
        <v>8</v>
      </c>
      <c r="AX84" s="120">
        <v>15</v>
      </c>
      <c r="AY84" s="120">
        <v>4300</v>
      </c>
      <c r="AZ84" s="120">
        <v>32</v>
      </c>
      <c r="BA84" s="120">
        <v>922</v>
      </c>
      <c r="BB84" s="120">
        <f t="shared" ref="BB84:BB91" si="14">AX84*2+4</f>
        <v>34</v>
      </c>
      <c r="BC84" s="137"/>
      <c r="BD84" s="137"/>
      <c r="BE84" s="138"/>
      <c r="BF84" s="121">
        <v>78</v>
      </c>
      <c r="BG84" s="120">
        <v>3495</v>
      </c>
      <c r="BH84" s="120">
        <v>830</v>
      </c>
      <c r="BI84" s="151">
        <f t="shared" si="7"/>
        <v>622.5</v>
      </c>
      <c r="BJ84" s="459">
        <v>40</v>
      </c>
      <c r="BK84" s="150">
        <v>314000</v>
      </c>
      <c r="BL84" s="149">
        <v>8</v>
      </c>
      <c r="BM84" s="120">
        <v>15</v>
      </c>
      <c r="BN84" s="120">
        <v>500</v>
      </c>
      <c r="BO84" s="139">
        <v>6.4</v>
      </c>
      <c r="BP84" s="120">
        <v>1430</v>
      </c>
      <c r="BQ84" s="120">
        <v>19</v>
      </c>
      <c r="BR84" s="202"/>
      <c r="BS84" s="202"/>
      <c r="BT84" s="202"/>
    </row>
    <row r="85" spans="1:72" ht="14.6">
      <c r="A85" s="133"/>
      <c r="B85" s="133"/>
      <c r="C85" s="133"/>
      <c r="D85" s="435" t="s">
        <v>513</v>
      </c>
      <c r="E85" s="133"/>
      <c r="F85" s="137" t="s">
        <v>514</v>
      </c>
      <c r="G85" s="137"/>
      <c r="H85" s="137" t="s">
        <v>515</v>
      </c>
      <c r="I85" s="137"/>
      <c r="J85" s="137"/>
      <c r="K85" s="137"/>
      <c r="L85" s="137"/>
      <c r="M85" s="137"/>
      <c r="N85" s="133"/>
      <c r="O85" s="133"/>
      <c r="P85" s="137" t="s">
        <v>516</v>
      </c>
      <c r="Q85" s="137"/>
      <c r="R85" s="137"/>
      <c r="S85" s="137"/>
      <c r="T85" s="137"/>
      <c r="U85" s="137"/>
      <c r="V85" s="137"/>
      <c r="W85" s="137"/>
      <c r="X85" s="133"/>
      <c r="Y85" s="137"/>
      <c r="Z85" s="137" t="s">
        <v>517</v>
      </c>
      <c r="AA85" s="137"/>
      <c r="AB85" s="137"/>
      <c r="AC85" s="137"/>
      <c r="AD85" s="137"/>
      <c r="AE85" s="137"/>
      <c r="AF85" s="137"/>
      <c r="AG85" s="137"/>
      <c r="AH85" s="137"/>
      <c r="AI85" s="133"/>
      <c r="AJ85" s="133"/>
      <c r="AK85" s="133"/>
      <c r="AL85" s="133"/>
      <c r="AM85" s="133"/>
      <c r="AN85" s="137"/>
      <c r="AO85" s="137"/>
      <c r="AP85" s="138"/>
      <c r="AQ85" s="121">
        <v>79</v>
      </c>
      <c r="AR85" s="120">
        <v>11060</v>
      </c>
      <c r="AS85" s="120">
        <v>586</v>
      </c>
      <c r="AT85" s="151">
        <f t="shared" si="6"/>
        <v>703.19999999999993</v>
      </c>
      <c r="AU85" s="459">
        <v>40</v>
      </c>
      <c r="AV85" s="150">
        <v>315000</v>
      </c>
      <c r="AW85" s="149">
        <v>8</v>
      </c>
      <c r="AX85" s="120">
        <v>15</v>
      </c>
      <c r="AY85" s="120">
        <v>4300</v>
      </c>
      <c r="AZ85" s="120">
        <v>32</v>
      </c>
      <c r="BA85" s="120">
        <v>922</v>
      </c>
      <c r="BB85" s="120">
        <f t="shared" si="14"/>
        <v>34</v>
      </c>
      <c r="BC85" s="137"/>
      <c r="BD85" s="137"/>
      <c r="BE85" s="138"/>
      <c r="BF85" s="121">
        <v>79</v>
      </c>
      <c r="BG85" s="120">
        <v>3530</v>
      </c>
      <c r="BH85" s="120">
        <v>835</v>
      </c>
      <c r="BI85" s="151">
        <f t="shared" si="7"/>
        <v>626.25</v>
      </c>
      <c r="BJ85" s="459">
        <v>40</v>
      </c>
      <c r="BK85" s="150">
        <v>319000</v>
      </c>
      <c r="BL85" s="149">
        <v>8</v>
      </c>
      <c r="BM85" s="120">
        <v>15</v>
      </c>
      <c r="BN85" s="120">
        <v>500</v>
      </c>
      <c r="BO85" s="139">
        <v>6.4</v>
      </c>
      <c r="BP85" s="120">
        <v>1430</v>
      </c>
      <c r="BQ85" s="120">
        <v>19</v>
      </c>
      <c r="BR85" s="202"/>
      <c r="BS85" s="202"/>
      <c r="BT85" s="202"/>
    </row>
    <row r="86" spans="1:72" ht="14.6">
      <c r="A86" s="133"/>
      <c r="B86" s="133"/>
      <c r="C86" s="133"/>
      <c r="D86" s="435" t="s">
        <v>518</v>
      </c>
      <c r="E86" s="133"/>
      <c r="F86" s="134" t="s">
        <v>248</v>
      </c>
      <c r="G86" s="135"/>
      <c r="H86" s="136" t="s">
        <v>243</v>
      </c>
      <c r="I86" s="136" t="s">
        <v>244</v>
      </c>
      <c r="J86" s="136" t="s">
        <v>245</v>
      </c>
      <c r="K86" s="136" t="s">
        <v>246</v>
      </c>
      <c r="L86" s="136" t="s">
        <v>247</v>
      </c>
      <c r="M86" s="137"/>
      <c r="N86" s="133"/>
      <c r="O86" s="133"/>
      <c r="P86" s="134" t="s">
        <v>249</v>
      </c>
      <c r="Q86" s="135"/>
      <c r="R86" s="136" t="s">
        <v>243</v>
      </c>
      <c r="S86" s="136" t="s">
        <v>244</v>
      </c>
      <c r="T86" s="136" t="s">
        <v>245</v>
      </c>
      <c r="U86" s="136" t="s">
        <v>246</v>
      </c>
      <c r="V86" s="136" t="s">
        <v>247</v>
      </c>
      <c r="W86" s="137"/>
      <c r="X86" s="133"/>
      <c r="Y86" s="137"/>
      <c r="Z86" s="134" t="s">
        <v>242</v>
      </c>
      <c r="AA86" s="135"/>
      <c r="AB86" s="136" t="s">
        <v>243</v>
      </c>
      <c r="AC86" s="136" t="s">
        <v>244</v>
      </c>
      <c r="AD86" s="136" t="s">
        <v>245</v>
      </c>
      <c r="AE86" s="136" t="s">
        <v>250</v>
      </c>
      <c r="AF86" s="136" t="s">
        <v>246</v>
      </c>
      <c r="AG86" s="136" t="s">
        <v>247</v>
      </c>
      <c r="AH86" s="137"/>
      <c r="AI86" s="133"/>
      <c r="AJ86" s="133"/>
      <c r="AK86" s="133"/>
      <c r="AL86" s="133"/>
      <c r="AM86" s="133"/>
      <c r="AN86" s="137"/>
      <c r="AO86" s="137"/>
      <c r="AP86" s="138"/>
      <c r="AQ86" s="121">
        <v>80</v>
      </c>
      <c r="AR86" s="120">
        <v>11250</v>
      </c>
      <c r="AS86" s="120">
        <v>595</v>
      </c>
      <c r="AT86" s="151">
        <f t="shared" si="6"/>
        <v>714</v>
      </c>
      <c r="AU86" s="459">
        <v>42</v>
      </c>
      <c r="AV86" s="150">
        <v>320000</v>
      </c>
      <c r="AW86" s="467">
        <v>8</v>
      </c>
      <c r="AX86" s="120">
        <v>16</v>
      </c>
      <c r="AY86" s="120">
        <v>4700</v>
      </c>
      <c r="AZ86" s="120">
        <v>33</v>
      </c>
      <c r="BA86" s="120">
        <v>990</v>
      </c>
      <c r="BB86" s="120">
        <f t="shared" si="14"/>
        <v>36</v>
      </c>
      <c r="BC86" s="137"/>
      <c r="BD86" s="137"/>
      <c r="BE86" s="138"/>
      <c r="BF86" s="121">
        <v>80</v>
      </c>
      <c r="BG86" s="120">
        <v>3565</v>
      </c>
      <c r="BH86" s="120">
        <v>840</v>
      </c>
      <c r="BI86" s="151">
        <f t="shared" si="7"/>
        <v>630</v>
      </c>
      <c r="BJ86" s="459">
        <v>42</v>
      </c>
      <c r="BK86" s="150">
        <v>325000</v>
      </c>
      <c r="BL86" s="467">
        <v>8</v>
      </c>
      <c r="BM86" s="120">
        <v>16</v>
      </c>
      <c r="BN86" s="120">
        <v>525</v>
      </c>
      <c r="BO86" s="484">
        <v>6.6</v>
      </c>
      <c r="BP86" s="120">
        <v>1480</v>
      </c>
      <c r="BQ86" s="120">
        <v>20</v>
      </c>
      <c r="BR86" s="202"/>
      <c r="BS86" s="202"/>
      <c r="BT86" s="202"/>
    </row>
    <row r="87" spans="1:72" ht="14.6">
      <c r="A87" s="133"/>
      <c r="B87" s="133"/>
      <c r="C87" s="133"/>
      <c r="D87" s="435" t="s">
        <v>519</v>
      </c>
      <c r="E87" s="133"/>
      <c r="F87" s="137" t="s">
        <v>444</v>
      </c>
      <c r="G87" s="138"/>
      <c r="H87" s="99">
        <v>1</v>
      </c>
      <c r="I87" s="120">
        <v>55</v>
      </c>
      <c r="J87" s="120">
        <v>38</v>
      </c>
      <c r="K87" s="120"/>
      <c r="L87" s="120"/>
      <c r="M87" s="137"/>
      <c r="N87" s="133"/>
      <c r="O87" s="133"/>
      <c r="P87" s="137" t="s">
        <v>438</v>
      </c>
      <c r="Q87" s="138"/>
      <c r="R87" s="99">
        <v>1</v>
      </c>
      <c r="S87" s="120">
        <v>270</v>
      </c>
      <c r="T87" s="120">
        <v>60</v>
      </c>
      <c r="U87" s="120"/>
      <c r="V87" s="120"/>
      <c r="W87" s="137"/>
      <c r="X87" s="133"/>
      <c r="Y87" s="137"/>
      <c r="Z87" s="137" t="s">
        <v>349</v>
      </c>
      <c r="AA87" s="138"/>
      <c r="AB87" s="90">
        <v>1</v>
      </c>
      <c r="AC87" s="120">
        <v>750</v>
      </c>
      <c r="AD87" s="120">
        <v>94</v>
      </c>
      <c r="AE87" s="120">
        <f>AD87*1.8</f>
        <v>169.20000000000002</v>
      </c>
      <c r="AF87" s="120"/>
      <c r="AG87" s="120"/>
      <c r="AH87" s="137"/>
      <c r="AI87" s="133"/>
      <c r="AJ87" s="133"/>
      <c r="AK87" s="133"/>
      <c r="AL87" s="133"/>
      <c r="AM87" s="133"/>
      <c r="AN87" s="137"/>
      <c r="AO87" s="137"/>
      <c r="AP87" s="137"/>
      <c r="AQ87" s="113">
        <v>81</v>
      </c>
      <c r="AR87" s="475">
        <v>11400</v>
      </c>
      <c r="AS87" s="475">
        <v>603</v>
      </c>
      <c r="AT87" s="476">
        <f t="shared" ref="AT87:AT91" si="15">AS87*1.2</f>
        <v>723.6</v>
      </c>
      <c r="AU87" s="465">
        <v>42</v>
      </c>
      <c r="AV87" s="466">
        <v>330000</v>
      </c>
      <c r="AW87" s="149">
        <v>8</v>
      </c>
      <c r="AX87" s="475">
        <v>16</v>
      </c>
      <c r="AY87" s="475">
        <v>4700</v>
      </c>
      <c r="AZ87" s="475">
        <v>33</v>
      </c>
      <c r="BA87" s="475">
        <v>990</v>
      </c>
      <c r="BB87" s="475">
        <f t="shared" si="14"/>
        <v>36</v>
      </c>
      <c r="BC87" s="137"/>
      <c r="BD87" s="137"/>
      <c r="BE87" s="138"/>
      <c r="BF87" s="122">
        <v>81</v>
      </c>
      <c r="BG87" s="475">
        <v>3600</v>
      </c>
      <c r="BH87" s="475">
        <v>844</v>
      </c>
      <c r="BI87" s="476">
        <f t="shared" ref="BI87:BI91" si="16">BH87*0.75</f>
        <v>633</v>
      </c>
      <c r="BJ87" s="465">
        <v>42</v>
      </c>
      <c r="BK87" s="466">
        <v>334000</v>
      </c>
      <c r="BL87" s="149">
        <v>8</v>
      </c>
      <c r="BM87" s="475">
        <v>16</v>
      </c>
      <c r="BN87" s="475">
        <v>525</v>
      </c>
      <c r="BO87" s="139">
        <v>6.6</v>
      </c>
      <c r="BP87" s="475">
        <v>1480</v>
      </c>
      <c r="BQ87" s="475">
        <v>20</v>
      </c>
      <c r="BR87" s="202"/>
      <c r="BS87" s="202"/>
      <c r="BT87" s="202"/>
    </row>
    <row r="88" spans="1:72" ht="14.6">
      <c r="A88" s="133"/>
      <c r="B88" s="133"/>
      <c r="C88" s="133"/>
      <c r="D88" s="435" t="s">
        <v>520</v>
      </c>
      <c r="E88" s="133"/>
      <c r="F88" s="137" t="s">
        <v>272</v>
      </c>
      <c r="G88" s="138"/>
      <c r="H88" s="99">
        <v>2</v>
      </c>
      <c r="I88" s="120">
        <v>60</v>
      </c>
      <c r="J88" s="120">
        <v>41</v>
      </c>
      <c r="K88" s="120">
        <v>3000</v>
      </c>
      <c r="L88" s="149">
        <v>0.33333333333333298</v>
      </c>
      <c r="M88" s="137"/>
      <c r="N88" s="133"/>
      <c r="O88" s="133"/>
      <c r="P88" s="137" t="s">
        <v>272</v>
      </c>
      <c r="Q88" s="138"/>
      <c r="R88" s="99">
        <v>2</v>
      </c>
      <c r="S88" s="120">
        <v>312</v>
      </c>
      <c r="T88" s="120">
        <v>70</v>
      </c>
      <c r="U88" s="120">
        <v>5000</v>
      </c>
      <c r="V88" s="149">
        <v>0.41666666666666702</v>
      </c>
      <c r="W88" s="137"/>
      <c r="X88" s="133"/>
      <c r="Y88" s="137"/>
      <c r="Z88" s="137" t="s">
        <v>439</v>
      </c>
      <c r="AA88" s="138"/>
      <c r="AB88" s="90">
        <v>2</v>
      </c>
      <c r="AC88" s="120">
        <v>850</v>
      </c>
      <c r="AD88" s="120">
        <v>116</v>
      </c>
      <c r="AE88" s="120">
        <f t="shared" ref="AE88:AE95" si="17">AD88*1.8</f>
        <v>208.8</v>
      </c>
      <c r="AF88" s="150">
        <v>8000</v>
      </c>
      <c r="AG88" s="149">
        <v>1</v>
      </c>
      <c r="AH88" s="137"/>
      <c r="AI88" s="133"/>
      <c r="AJ88" s="133"/>
      <c r="AK88" s="133"/>
      <c r="AL88" s="133"/>
      <c r="AM88" s="133"/>
      <c r="AN88" s="137"/>
      <c r="AO88" s="137"/>
      <c r="AP88" s="137"/>
      <c r="AQ88" s="113">
        <v>82</v>
      </c>
      <c r="AR88" s="120">
        <v>11550</v>
      </c>
      <c r="AS88" s="120">
        <v>611</v>
      </c>
      <c r="AT88" s="151">
        <f t="shared" si="15"/>
        <v>733.19999999999993</v>
      </c>
      <c r="AU88" s="459">
        <v>42</v>
      </c>
      <c r="AV88" s="150">
        <v>335000</v>
      </c>
      <c r="AW88" s="149">
        <v>8</v>
      </c>
      <c r="AX88" s="120">
        <v>16</v>
      </c>
      <c r="AY88" s="120">
        <v>4700</v>
      </c>
      <c r="AZ88" s="120">
        <v>33</v>
      </c>
      <c r="BA88" s="120">
        <v>990</v>
      </c>
      <c r="BB88" s="120">
        <f t="shared" si="14"/>
        <v>36</v>
      </c>
      <c r="BC88" s="137"/>
      <c r="BD88" s="137"/>
      <c r="BE88" s="138"/>
      <c r="BF88" s="122">
        <v>82</v>
      </c>
      <c r="BG88" s="120">
        <v>3630</v>
      </c>
      <c r="BH88" s="120">
        <v>848</v>
      </c>
      <c r="BI88" s="151">
        <f t="shared" si="16"/>
        <v>636</v>
      </c>
      <c r="BJ88" s="459">
        <v>42</v>
      </c>
      <c r="BK88" s="150">
        <v>338000</v>
      </c>
      <c r="BL88" s="149">
        <v>8</v>
      </c>
      <c r="BM88" s="120">
        <v>16</v>
      </c>
      <c r="BN88" s="120">
        <v>525</v>
      </c>
      <c r="BO88" s="139">
        <v>6.6</v>
      </c>
      <c r="BP88" s="120">
        <v>1480</v>
      </c>
      <c r="BQ88" s="120">
        <v>20</v>
      </c>
      <c r="BR88" s="202"/>
      <c r="BS88" s="202"/>
      <c r="BT88" s="202"/>
    </row>
    <row r="89" spans="1:72" ht="14.6">
      <c r="A89" s="133"/>
      <c r="B89" s="133"/>
      <c r="C89" s="133"/>
      <c r="D89" s="435" t="s">
        <v>521</v>
      </c>
      <c r="E89" s="133"/>
      <c r="F89" s="140" t="s">
        <v>360</v>
      </c>
      <c r="G89" s="143"/>
      <c r="H89" s="90">
        <v>3</v>
      </c>
      <c r="I89" s="120">
        <v>66</v>
      </c>
      <c r="J89" s="120">
        <v>44</v>
      </c>
      <c r="K89" s="120">
        <v>7000</v>
      </c>
      <c r="L89" s="149">
        <v>0.66666666666666696</v>
      </c>
      <c r="M89" s="137"/>
      <c r="N89" s="133"/>
      <c r="O89" s="133"/>
      <c r="P89" s="140" t="s">
        <v>280</v>
      </c>
      <c r="Q89" s="143"/>
      <c r="R89" s="90">
        <v>3</v>
      </c>
      <c r="S89" s="120">
        <v>370</v>
      </c>
      <c r="T89" s="120">
        <v>80</v>
      </c>
      <c r="U89" s="120">
        <v>9000</v>
      </c>
      <c r="V89" s="149">
        <v>0.83333333333333304</v>
      </c>
      <c r="W89" s="137"/>
      <c r="X89" s="133"/>
      <c r="Y89" s="137"/>
      <c r="Z89" s="140" t="s">
        <v>280</v>
      </c>
      <c r="AA89" s="143"/>
      <c r="AB89" s="91">
        <v>3</v>
      </c>
      <c r="AC89" s="120">
        <v>950</v>
      </c>
      <c r="AD89" s="120">
        <v>119</v>
      </c>
      <c r="AE89" s="120">
        <f t="shared" si="17"/>
        <v>214.20000000000002</v>
      </c>
      <c r="AF89" s="150">
        <v>12000</v>
      </c>
      <c r="AG89" s="149">
        <v>2</v>
      </c>
      <c r="AH89" s="137"/>
      <c r="AI89" s="133"/>
      <c r="AJ89" s="133"/>
      <c r="AK89" s="133"/>
      <c r="AL89" s="133"/>
      <c r="AM89" s="133"/>
      <c r="AN89" s="137"/>
      <c r="AO89" s="137"/>
      <c r="AP89" s="137"/>
      <c r="AQ89" s="113">
        <v>83</v>
      </c>
      <c r="AR89" s="120">
        <v>11700</v>
      </c>
      <c r="AS89" s="120">
        <v>619</v>
      </c>
      <c r="AT89" s="151">
        <f t="shared" si="15"/>
        <v>742.8</v>
      </c>
      <c r="AU89" s="459">
        <v>42</v>
      </c>
      <c r="AV89" s="150">
        <v>340000</v>
      </c>
      <c r="AW89" s="149">
        <v>8</v>
      </c>
      <c r="AX89" s="120">
        <v>16</v>
      </c>
      <c r="AY89" s="120">
        <v>4700</v>
      </c>
      <c r="AZ89" s="120">
        <v>33</v>
      </c>
      <c r="BA89" s="120">
        <v>990</v>
      </c>
      <c r="BB89" s="120">
        <f t="shared" si="14"/>
        <v>36</v>
      </c>
      <c r="BC89" s="137"/>
      <c r="BD89" s="137"/>
      <c r="BE89" s="138"/>
      <c r="BF89" s="122">
        <v>83</v>
      </c>
      <c r="BG89" s="120">
        <v>3660</v>
      </c>
      <c r="BH89" s="120">
        <v>852</v>
      </c>
      <c r="BI89" s="151">
        <f t="shared" si="16"/>
        <v>639</v>
      </c>
      <c r="BJ89" s="459">
        <v>42</v>
      </c>
      <c r="BK89" s="150">
        <v>342000</v>
      </c>
      <c r="BL89" s="149">
        <v>8</v>
      </c>
      <c r="BM89" s="120">
        <v>16</v>
      </c>
      <c r="BN89" s="120">
        <v>525</v>
      </c>
      <c r="BO89" s="139">
        <v>6.6</v>
      </c>
      <c r="BP89" s="120">
        <v>1480</v>
      </c>
      <c r="BQ89" s="120">
        <v>20</v>
      </c>
      <c r="BR89" s="202"/>
      <c r="BS89" s="202"/>
      <c r="BT89" s="202"/>
    </row>
    <row r="90" spans="1:72" ht="14.6">
      <c r="A90" s="133"/>
      <c r="B90" s="133"/>
      <c r="C90" s="133"/>
      <c r="D90" s="435" t="s">
        <v>522</v>
      </c>
      <c r="E90" s="133"/>
      <c r="F90" s="134" t="s">
        <v>287</v>
      </c>
      <c r="G90" s="135"/>
      <c r="H90" s="90">
        <v>4</v>
      </c>
      <c r="I90" s="120">
        <v>72</v>
      </c>
      <c r="J90" s="120">
        <v>47</v>
      </c>
      <c r="K90" s="150">
        <v>15000</v>
      </c>
      <c r="L90" s="149">
        <v>1</v>
      </c>
      <c r="M90" s="137"/>
      <c r="N90" s="133"/>
      <c r="O90" s="133"/>
      <c r="P90" s="134" t="s">
        <v>287</v>
      </c>
      <c r="Q90" s="135"/>
      <c r="R90" s="90">
        <v>4</v>
      </c>
      <c r="S90" s="120">
        <v>430</v>
      </c>
      <c r="T90" s="120">
        <v>92</v>
      </c>
      <c r="U90" s="150">
        <v>16000</v>
      </c>
      <c r="V90" s="149">
        <v>1.25</v>
      </c>
      <c r="W90" s="137"/>
      <c r="X90" s="133"/>
      <c r="Y90" s="137"/>
      <c r="Z90" s="134" t="s">
        <v>523</v>
      </c>
      <c r="AA90" s="135"/>
      <c r="AB90" s="91">
        <v>4</v>
      </c>
      <c r="AC90" s="120">
        <v>1050</v>
      </c>
      <c r="AD90" s="120">
        <v>133</v>
      </c>
      <c r="AE90" s="120">
        <f t="shared" si="17"/>
        <v>239.4</v>
      </c>
      <c r="AF90" s="150">
        <v>25000</v>
      </c>
      <c r="AG90" s="149">
        <v>3</v>
      </c>
      <c r="AH90" s="137"/>
      <c r="AI90" s="133"/>
      <c r="AJ90" s="133"/>
      <c r="AK90" s="133"/>
      <c r="AL90" s="133"/>
      <c r="AM90" s="133"/>
      <c r="AN90" s="137"/>
      <c r="AO90" s="137"/>
      <c r="AP90" s="137"/>
      <c r="AQ90" s="113">
        <v>84</v>
      </c>
      <c r="AR90" s="120">
        <v>11850</v>
      </c>
      <c r="AS90" s="120">
        <v>627</v>
      </c>
      <c r="AT90" s="151">
        <f t="shared" si="15"/>
        <v>752.4</v>
      </c>
      <c r="AU90" s="459">
        <v>42</v>
      </c>
      <c r="AV90" s="150">
        <v>345000</v>
      </c>
      <c r="AW90" s="149">
        <v>8</v>
      </c>
      <c r="AX90" s="120">
        <v>16</v>
      </c>
      <c r="AY90" s="120">
        <v>4700</v>
      </c>
      <c r="AZ90" s="120">
        <v>33</v>
      </c>
      <c r="BA90" s="120">
        <v>990</v>
      </c>
      <c r="BB90" s="120">
        <f t="shared" si="14"/>
        <v>36</v>
      </c>
      <c r="BC90" s="137"/>
      <c r="BD90" s="137"/>
      <c r="BE90" s="138"/>
      <c r="BF90" s="122">
        <v>84</v>
      </c>
      <c r="BG90" s="120">
        <v>3690</v>
      </c>
      <c r="BH90" s="120">
        <v>856</v>
      </c>
      <c r="BI90" s="151">
        <f t="shared" si="16"/>
        <v>642</v>
      </c>
      <c r="BJ90" s="459">
        <v>42</v>
      </c>
      <c r="BK90" s="150">
        <v>346000</v>
      </c>
      <c r="BL90" s="149">
        <v>8</v>
      </c>
      <c r="BM90" s="120">
        <v>16</v>
      </c>
      <c r="BN90" s="120">
        <v>525</v>
      </c>
      <c r="BO90" s="139">
        <v>6.6</v>
      </c>
      <c r="BP90" s="120">
        <v>1480</v>
      </c>
      <c r="BQ90" s="120">
        <v>20</v>
      </c>
      <c r="BR90" s="202"/>
      <c r="BS90" s="202"/>
      <c r="BT90" s="202"/>
    </row>
    <row r="91" spans="1:72" ht="14.6">
      <c r="A91" s="133"/>
      <c r="B91" s="133"/>
      <c r="C91" s="133"/>
      <c r="D91" s="435" t="s">
        <v>524</v>
      </c>
      <c r="E91" s="133"/>
      <c r="F91" s="137"/>
      <c r="G91" s="138"/>
      <c r="H91" s="91">
        <v>5</v>
      </c>
      <c r="I91" s="120">
        <v>78</v>
      </c>
      <c r="J91" s="120">
        <v>50</v>
      </c>
      <c r="K91" s="150">
        <v>25000</v>
      </c>
      <c r="L91" s="149">
        <v>2</v>
      </c>
      <c r="M91" s="137"/>
      <c r="N91" s="133"/>
      <c r="O91" s="133"/>
      <c r="P91" s="137" t="s">
        <v>486</v>
      </c>
      <c r="Q91" s="138"/>
      <c r="R91" s="91">
        <v>5</v>
      </c>
      <c r="S91" s="120">
        <v>500</v>
      </c>
      <c r="T91" s="120">
        <v>105</v>
      </c>
      <c r="U91" s="150">
        <v>30000</v>
      </c>
      <c r="V91" s="149">
        <v>2</v>
      </c>
      <c r="W91" s="137"/>
      <c r="X91" s="133"/>
      <c r="Y91" s="137"/>
      <c r="Z91" s="137" t="s">
        <v>525</v>
      </c>
      <c r="AA91" s="138"/>
      <c r="AB91" s="92">
        <v>5</v>
      </c>
      <c r="AC91" s="120">
        <v>1300</v>
      </c>
      <c r="AD91" s="120">
        <v>148</v>
      </c>
      <c r="AE91" s="120">
        <f t="shared" si="17"/>
        <v>266.40000000000003</v>
      </c>
      <c r="AF91" s="150">
        <v>38000</v>
      </c>
      <c r="AG91" s="149">
        <v>4.25</v>
      </c>
      <c r="AH91" s="137"/>
      <c r="AI91" s="133"/>
      <c r="AJ91" s="133"/>
      <c r="AK91" s="133"/>
      <c r="AL91" s="133"/>
      <c r="AM91" s="133"/>
      <c r="AN91" s="137"/>
      <c r="AO91" s="137"/>
      <c r="AP91" s="137"/>
      <c r="AQ91" s="113">
        <v>85</v>
      </c>
      <c r="AR91" s="120">
        <v>12000</v>
      </c>
      <c r="AS91" s="120">
        <v>635</v>
      </c>
      <c r="AT91" s="151">
        <f t="shared" si="15"/>
        <v>762</v>
      </c>
      <c r="AU91" s="459">
        <v>44</v>
      </c>
      <c r="AV91" s="150">
        <v>350000</v>
      </c>
      <c r="AW91" s="149">
        <v>8</v>
      </c>
      <c r="AX91" s="120">
        <v>17</v>
      </c>
      <c r="AY91" s="120">
        <v>5000</v>
      </c>
      <c r="AZ91" s="120">
        <v>34</v>
      </c>
      <c r="BA91" s="120">
        <v>1050</v>
      </c>
      <c r="BB91" s="120">
        <f t="shared" si="14"/>
        <v>38</v>
      </c>
      <c r="BC91" s="137"/>
      <c r="BD91" s="137"/>
      <c r="BE91" s="138"/>
      <c r="BF91" s="122">
        <v>85</v>
      </c>
      <c r="BG91" s="120">
        <v>3720</v>
      </c>
      <c r="BH91" s="120">
        <v>860</v>
      </c>
      <c r="BI91" s="151">
        <f t="shared" si="16"/>
        <v>645</v>
      </c>
      <c r="BJ91" s="459">
        <v>44</v>
      </c>
      <c r="BK91" s="150">
        <v>350000</v>
      </c>
      <c r="BL91" s="149">
        <v>8</v>
      </c>
      <c r="BM91" s="120">
        <v>17</v>
      </c>
      <c r="BN91" s="120">
        <v>550</v>
      </c>
      <c r="BO91" s="139">
        <v>6.8</v>
      </c>
      <c r="BP91" s="120">
        <v>1520</v>
      </c>
      <c r="BQ91" s="120">
        <v>21</v>
      </c>
      <c r="BR91" s="202"/>
      <c r="BS91" s="202"/>
      <c r="BT91" s="202"/>
    </row>
    <row r="92" spans="1:72" ht="14.6">
      <c r="A92" s="133"/>
      <c r="B92" s="133"/>
      <c r="C92" s="133"/>
      <c r="D92" s="201" t="s">
        <v>526</v>
      </c>
      <c r="E92" s="133"/>
      <c r="F92" s="144"/>
      <c r="G92" s="143"/>
      <c r="H92" s="92">
        <v>6</v>
      </c>
      <c r="I92" s="120">
        <v>84</v>
      </c>
      <c r="J92" s="120">
        <v>54</v>
      </c>
      <c r="K92" s="150">
        <v>35000</v>
      </c>
      <c r="L92" s="149">
        <v>3.5</v>
      </c>
      <c r="M92" s="137"/>
      <c r="N92" s="133"/>
      <c r="O92" s="133"/>
      <c r="P92" s="144"/>
      <c r="Q92" s="143"/>
      <c r="R92" s="92">
        <v>6</v>
      </c>
      <c r="S92" s="120">
        <v>590</v>
      </c>
      <c r="T92" s="120">
        <v>118</v>
      </c>
      <c r="U92" s="150">
        <v>43000</v>
      </c>
      <c r="V92" s="149">
        <v>3.5</v>
      </c>
      <c r="W92" s="137"/>
      <c r="X92" s="133"/>
      <c r="Y92" s="137"/>
      <c r="Z92" s="144"/>
      <c r="AA92" s="143"/>
      <c r="AB92" s="93">
        <v>6</v>
      </c>
      <c r="AC92" s="120">
        <v>1500</v>
      </c>
      <c r="AD92" s="120">
        <v>163</v>
      </c>
      <c r="AE92" s="120">
        <f t="shared" si="17"/>
        <v>293.40000000000003</v>
      </c>
      <c r="AF92" s="150">
        <v>63000</v>
      </c>
      <c r="AG92" s="149">
        <v>5.25</v>
      </c>
      <c r="AH92" s="137"/>
      <c r="AI92" s="133"/>
      <c r="AJ92" s="133"/>
      <c r="AK92" s="133"/>
      <c r="AL92" s="133"/>
      <c r="AM92" s="133"/>
      <c r="AN92" s="137"/>
      <c r="AO92" s="137"/>
      <c r="AP92" s="137"/>
      <c r="AQ92" s="137"/>
      <c r="AR92" s="137"/>
      <c r="AS92" s="137"/>
      <c r="AT92" s="137"/>
      <c r="AU92" s="137"/>
      <c r="AV92" s="137"/>
      <c r="AW92" s="137"/>
      <c r="AX92" s="137"/>
      <c r="AY92" s="137"/>
      <c r="AZ92" s="137"/>
      <c r="BA92" s="137"/>
      <c r="BB92" s="137"/>
      <c r="BC92" s="137"/>
      <c r="BD92" s="137"/>
      <c r="BE92" s="137"/>
      <c r="BF92" s="137"/>
      <c r="BG92" s="137"/>
      <c r="BH92" s="137"/>
      <c r="BI92" s="137"/>
      <c r="BJ92" s="137"/>
      <c r="BK92" s="137"/>
      <c r="BL92" s="137"/>
      <c r="BM92" s="137"/>
      <c r="BN92" s="137"/>
      <c r="BO92" s="137"/>
      <c r="BP92" s="137"/>
      <c r="BQ92" s="202"/>
      <c r="BR92" s="202"/>
      <c r="BS92" s="202"/>
      <c r="BT92" s="202"/>
    </row>
    <row r="93" spans="1:72">
      <c r="A93" s="133"/>
      <c r="B93" s="133"/>
      <c r="C93" s="133"/>
      <c r="D93" s="133"/>
      <c r="E93" s="133"/>
      <c r="F93" s="137" t="s">
        <v>385</v>
      </c>
      <c r="G93" s="135"/>
      <c r="H93" s="93">
        <v>7</v>
      </c>
      <c r="I93" s="120">
        <v>90</v>
      </c>
      <c r="J93" s="120">
        <v>58</v>
      </c>
      <c r="K93" s="150">
        <v>63000</v>
      </c>
      <c r="L93" s="149">
        <v>5</v>
      </c>
      <c r="M93" s="137"/>
      <c r="N93" s="133"/>
      <c r="O93" s="133"/>
      <c r="P93" s="137" t="s">
        <v>306</v>
      </c>
      <c r="Q93" s="135"/>
      <c r="R93" s="93">
        <v>7</v>
      </c>
      <c r="S93" s="120">
        <v>700</v>
      </c>
      <c r="T93" s="120">
        <v>135</v>
      </c>
      <c r="U93" s="150">
        <v>70000</v>
      </c>
      <c r="V93" s="149">
        <v>5.25</v>
      </c>
      <c r="W93" s="137"/>
      <c r="X93" s="133"/>
      <c r="Y93" s="137"/>
      <c r="Z93" s="137" t="s">
        <v>527</v>
      </c>
      <c r="AA93" s="135"/>
      <c r="AB93" s="94">
        <v>7</v>
      </c>
      <c r="AC93" s="120">
        <v>1650</v>
      </c>
      <c r="AD93" s="120">
        <v>178</v>
      </c>
      <c r="AE93" s="120">
        <f t="shared" si="17"/>
        <v>320.40000000000003</v>
      </c>
      <c r="AF93" s="150">
        <v>123000</v>
      </c>
      <c r="AG93" s="149">
        <v>7.75</v>
      </c>
      <c r="AH93" s="137"/>
      <c r="AI93" s="133"/>
      <c r="AJ93" s="133"/>
      <c r="AK93" s="133"/>
      <c r="AL93" s="133"/>
      <c r="AM93" s="137"/>
      <c r="AN93" s="137"/>
      <c r="AO93" s="137"/>
      <c r="AP93" s="137"/>
      <c r="AQ93" s="137"/>
      <c r="AR93" s="137"/>
      <c r="AS93" s="137"/>
      <c r="AT93" s="137"/>
      <c r="AU93" s="137"/>
      <c r="AV93" s="137"/>
      <c r="AW93" s="137"/>
      <c r="AX93" s="137"/>
      <c r="AY93" s="137"/>
      <c r="AZ93" s="137"/>
      <c r="BA93" s="137"/>
      <c r="BB93" s="137"/>
      <c r="BC93" s="137"/>
      <c r="BD93" s="137"/>
      <c r="BE93" s="137"/>
      <c r="BF93" s="137"/>
      <c r="BG93" s="137"/>
      <c r="BH93" s="137"/>
      <c r="BI93" s="137"/>
      <c r="BJ93" s="137"/>
      <c r="BK93" s="137"/>
      <c r="BL93" s="137"/>
      <c r="BM93" s="137"/>
      <c r="BN93" s="137"/>
      <c r="BO93" s="137"/>
      <c r="BP93" s="137"/>
      <c r="BQ93" s="202"/>
      <c r="BR93" s="202"/>
      <c r="BS93" s="202"/>
      <c r="BT93" s="202"/>
    </row>
    <row r="94" spans="1:72">
      <c r="A94" s="133"/>
      <c r="B94" s="133"/>
      <c r="C94" s="133"/>
      <c r="D94" s="142" t="s">
        <v>288</v>
      </c>
      <c r="E94" s="133"/>
      <c r="F94" s="137" t="s">
        <v>528</v>
      </c>
      <c r="G94" s="138"/>
      <c r="H94" s="94">
        <v>8</v>
      </c>
      <c r="I94" s="120">
        <v>96</v>
      </c>
      <c r="J94" s="120">
        <v>62</v>
      </c>
      <c r="K94" s="150">
        <v>105000</v>
      </c>
      <c r="L94" s="149">
        <v>9.75</v>
      </c>
      <c r="M94" s="137"/>
      <c r="N94" s="133"/>
      <c r="O94" s="133"/>
      <c r="P94" s="137" t="s">
        <v>529</v>
      </c>
      <c r="Q94" s="138"/>
      <c r="R94" s="94">
        <v>8</v>
      </c>
      <c r="S94" s="120">
        <v>810</v>
      </c>
      <c r="T94" s="120">
        <v>148</v>
      </c>
      <c r="U94" s="150">
        <v>105000</v>
      </c>
      <c r="V94" s="149">
        <v>8</v>
      </c>
      <c r="W94" s="137"/>
      <c r="X94" s="133"/>
      <c r="Y94" s="137"/>
      <c r="Z94" s="137" t="s">
        <v>530</v>
      </c>
      <c r="AA94" s="138"/>
      <c r="AB94" s="100">
        <v>8</v>
      </c>
      <c r="AC94" s="120">
        <v>1800</v>
      </c>
      <c r="AD94" s="120">
        <v>193</v>
      </c>
      <c r="AE94" s="120">
        <f t="shared" si="17"/>
        <v>347.40000000000003</v>
      </c>
      <c r="AF94" s="150">
        <v>195000</v>
      </c>
      <c r="AG94" s="149">
        <v>12</v>
      </c>
      <c r="AH94" s="137"/>
      <c r="AI94" s="133"/>
      <c r="AJ94" s="133"/>
      <c r="AK94" s="133"/>
      <c r="AL94" s="133"/>
      <c r="AM94" s="137"/>
      <c r="AN94" s="137"/>
      <c r="AO94" s="137"/>
      <c r="AP94" s="137"/>
      <c r="AQ94" s="137"/>
      <c r="AR94" s="137"/>
      <c r="AS94" s="137"/>
      <c r="AT94" s="137"/>
      <c r="AU94" s="137"/>
      <c r="AV94" s="137"/>
      <c r="AW94" s="137"/>
      <c r="AX94" s="137"/>
      <c r="AY94" s="137"/>
      <c r="AZ94" s="137"/>
      <c r="BA94" s="137"/>
      <c r="BB94" s="137"/>
      <c r="BC94" s="137"/>
      <c r="BD94" s="137"/>
      <c r="BE94" s="137"/>
      <c r="BF94" s="137"/>
      <c r="BG94" s="137"/>
      <c r="BH94" s="137"/>
      <c r="BI94" s="137"/>
      <c r="BJ94" s="137"/>
      <c r="BK94" s="137"/>
      <c r="BL94" s="137"/>
      <c r="BM94" s="137"/>
      <c r="BN94" s="137"/>
      <c r="BO94" s="137"/>
      <c r="BP94" s="137"/>
      <c r="BQ94" s="202"/>
      <c r="BR94" s="202"/>
      <c r="BS94" s="202"/>
      <c r="BT94" s="202"/>
    </row>
    <row r="95" spans="1:72">
      <c r="A95" s="133"/>
      <c r="B95" s="133"/>
      <c r="C95" s="133"/>
      <c r="D95" s="142" t="s">
        <v>359</v>
      </c>
      <c r="E95" s="133"/>
      <c r="F95" s="95" t="s">
        <v>531</v>
      </c>
      <c r="G95" s="138"/>
      <c r="H95" s="100">
        <v>9</v>
      </c>
      <c r="I95" s="120">
        <v>102</v>
      </c>
      <c r="J95" s="120">
        <v>66</v>
      </c>
      <c r="K95" s="150">
        <v>188000</v>
      </c>
      <c r="L95" s="149">
        <v>11.5</v>
      </c>
      <c r="M95" s="137"/>
      <c r="N95" s="133"/>
      <c r="O95" s="133"/>
      <c r="P95" s="95" t="s">
        <v>324</v>
      </c>
      <c r="Q95" s="138"/>
      <c r="R95" s="94">
        <v>9</v>
      </c>
      <c r="S95" s="120">
        <v>890</v>
      </c>
      <c r="T95" s="120">
        <v>161</v>
      </c>
      <c r="U95" s="150">
        <v>168000</v>
      </c>
      <c r="V95" s="149">
        <v>9.75</v>
      </c>
      <c r="W95" s="137"/>
      <c r="X95" s="133"/>
      <c r="Y95" s="137"/>
      <c r="Z95" s="95" t="s">
        <v>324</v>
      </c>
      <c r="AA95" s="133"/>
      <c r="AB95" s="112">
        <v>9</v>
      </c>
      <c r="AC95" s="120">
        <v>2000</v>
      </c>
      <c r="AD95" s="120">
        <v>208</v>
      </c>
      <c r="AE95" s="120">
        <f t="shared" si="17"/>
        <v>374.40000000000003</v>
      </c>
      <c r="AF95" s="150">
        <v>295000</v>
      </c>
      <c r="AG95" s="149">
        <v>16.25</v>
      </c>
      <c r="AH95" s="137"/>
      <c r="AI95" s="133"/>
      <c r="AJ95" s="133"/>
      <c r="AK95" s="133"/>
      <c r="AL95" s="133"/>
      <c r="AM95" s="137"/>
      <c r="AN95" s="137"/>
      <c r="AO95" s="137"/>
      <c r="AP95" s="137"/>
      <c r="AQ95" s="137"/>
      <c r="AR95" s="137"/>
      <c r="AS95" s="137"/>
      <c r="AT95" s="137"/>
      <c r="AU95" s="137"/>
      <c r="AV95" s="137"/>
      <c r="AW95" s="137"/>
      <c r="AX95" s="137"/>
      <c r="AY95" s="137"/>
      <c r="AZ95" s="137"/>
      <c r="BA95" s="137"/>
      <c r="BB95" s="137"/>
      <c r="BC95" s="137"/>
      <c r="BD95" s="137"/>
      <c r="BE95" s="137"/>
      <c r="BF95" s="137"/>
      <c r="BG95" s="137"/>
      <c r="BH95" s="137"/>
      <c r="BI95" s="137"/>
      <c r="BJ95" s="137"/>
      <c r="BK95" s="137"/>
      <c r="BL95" s="137"/>
      <c r="BM95" s="137"/>
      <c r="BN95" s="137"/>
      <c r="BO95" s="137"/>
      <c r="BP95" s="137"/>
      <c r="BQ95" s="202"/>
      <c r="BR95" s="202"/>
      <c r="BS95" s="202"/>
      <c r="BT95" s="202"/>
    </row>
    <row r="96" spans="1:72">
      <c r="A96" s="133"/>
      <c r="B96" s="133"/>
      <c r="C96" s="133"/>
      <c r="D96" s="163" t="s">
        <v>298</v>
      </c>
      <c r="E96" s="133"/>
      <c r="F96" s="133"/>
      <c r="G96" s="364"/>
      <c r="H96" s="121">
        <v>10</v>
      </c>
      <c r="I96" s="120">
        <v>108</v>
      </c>
      <c r="J96" s="120">
        <v>70</v>
      </c>
      <c r="K96" s="150">
        <v>285000</v>
      </c>
      <c r="L96" s="149">
        <v>15.5</v>
      </c>
      <c r="M96" s="137"/>
      <c r="N96" s="133"/>
      <c r="O96" s="133"/>
      <c r="P96" s="133"/>
      <c r="Q96" s="138"/>
      <c r="R96" s="100">
        <v>10</v>
      </c>
      <c r="S96" s="120">
        <v>970</v>
      </c>
      <c r="T96" s="120">
        <v>174</v>
      </c>
      <c r="U96" s="150">
        <v>210000</v>
      </c>
      <c r="V96" s="149">
        <v>12</v>
      </c>
      <c r="W96" s="137"/>
      <c r="X96" s="133"/>
      <c r="Y96" s="137"/>
      <c r="Z96" s="133"/>
      <c r="AA96" s="133"/>
      <c r="AB96" s="133"/>
      <c r="AC96" s="133"/>
      <c r="AD96" s="133"/>
      <c r="AE96" s="133"/>
      <c r="AF96" s="133"/>
      <c r="AG96" s="388"/>
      <c r="AH96" s="133"/>
      <c r="AI96" s="133"/>
      <c r="AJ96" s="133"/>
      <c r="AK96" s="133"/>
      <c r="AL96" s="133"/>
      <c r="AM96" s="137"/>
      <c r="AN96" s="137"/>
      <c r="AO96" s="137"/>
      <c r="AP96" s="137"/>
      <c r="AQ96" s="137"/>
      <c r="AR96" s="137"/>
      <c r="AS96" s="137"/>
      <c r="AT96" s="137"/>
      <c r="AU96" s="137"/>
      <c r="AV96" s="137"/>
      <c r="AW96" s="137"/>
      <c r="AX96" s="137"/>
      <c r="AY96" s="137"/>
      <c r="AZ96" s="137"/>
      <c r="BA96" s="137"/>
      <c r="BB96" s="137"/>
      <c r="BC96" s="137"/>
      <c r="BD96" s="137"/>
      <c r="BE96" s="137"/>
      <c r="BF96" s="137"/>
      <c r="BG96" s="137"/>
      <c r="BH96" s="137"/>
      <c r="BI96" s="137"/>
      <c r="BJ96" s="137"/>
      <c r="BK96" s="137"/>
      <c r="BL96" s="137"/>
      <c r="BM96" s="137"/>
      <c r="BN96" s="137"/>
      <c r="BO96" s="137"/>
      <c r="BP96" s="137"/>
      <c r="BQ96" s="202"/>
      <c r="BR96" s="202"/>
      <c r="BS96" s="202"/>
      <c r="BT96" s="202"/>
    </row>
    <row r="97" spans="1:72">
      <c r="A97" s="133"/>
      <c r="B97" s="133"/>
      <c r="C97" s="133"/>
      <c r="D97" s="142" t="s">
        <v>307</v>
      </c>
      <c r="E97" s="133"/>
      <c r="F97" s="133"/>
      <c r="G97" s="133"/>
      <c r="H97" s="113">
        <v>11</v>
      </c>
      <c r="I97" s="120">
        <v>114</v>
      </c>
      <c r="J97" s="120">
        <v>74</v>
      </c>
      <c r="K97" s="150">
        <v>310000</v>
      </c>
      <c r="L97" s="149">
        <v>16.5</v>
      </c>
      <c r="M97" s="133"/>
      <c r="N97" s="133"/>
      <c r="O97" s="133"/>
      <c r="P97" s="133"/>
      <c r="Q97" s="138"/>
      <c r="R97" s="121">
        <v>11</v>
      </c>
      <c r="S97" s="120">
        <v>1080</v>
      </c>
      <c r="T97" s="120">
        <v>187</v>
      </c>
      <c r="U97" s="150">
        <v>305000</v>
      </c>
      <c r="V97" s="149">
        <v>16.25</v>
      </c>
      <c r="W97" s="137"/>
      <c r="X97" s="133"/>
      <c r="Y97" s="137"/>
      <c r="Z97" s="133"/>
      <c r="AA97" s="133"/>
      <c r="AB97" s="133"/>
      <c r="AC97" s="133"/>
      <c r="AD97" s="133"/>
      <c r="AE97" s="133"/>
      <c r="AF97" s="133"/>
      <c r="AG97" s="133"/>
      <c r="AH97" s="133"/>
      <c r="AI97" s="133"/>
      <c r="AJ97" s="133"/>
      <c r="AK97" s="133"/>
      <c r="AL97" s="133"/>
      <c r="AM97" s="137"/>
      <c r="AN97" s="137"/>
      <c r="AO97" s="137"/>
      <c r="AP97" s="137"/>
      <c r="AQ97" s="137"/>
      <c r="AR97" s="137"/>
      <c r="AS97" s="137"/>
      <c r="AT97" s="137"/>
      <c r="AU97" s="137"/>
      <c r="AV97" s="137"/>
      <c r="AW97" s="137"/>
      <c r="AX97" s="137"/>
      <c r="AY97" s="137"/>
      <c r="AZ97" s="137"/>
      <c r="BA97" s="137"/>
      <c r="BB97" s="137"/>
      <c r="BC97" s="137"/>
      <c r="BD97" s="137"/>
      <c r="BE97" s="137"/>
      <c r="BF97" s="137"/>
      <c r="BG97" s="137"/>
      <c r="BH97" s="137"/>
      <c r="BI97" s="137"/>
      <c r="BJ97" s="137"/>
      <c r="BK97" s="137"/>
      <c r="BL97" s="137"/>
      <c r="BM97" s="137"/>
      <c r="BN97" s="137"/>
      <c r="BO97" s="137"/>
      <c r="BP97" s="137"/>
      <c r="BQ97" s="202"/>
      <c r="BR97" s="202"/>
      <c r="BS97" s="202"/>
      <c r="BT97" s="202"/>
    </row>
    <row r="98" spans="1:72">
      <c r="A98" s="133"/>
      <c r="B98" s="133"/>
      <c r="C98" s="133"/>
      <c r="D98" s="133"/>
      <c r="E98" s="133"/>
      <c r="F98" s="137" t="s">
        <v>532</v>
      </c>
      <c r="G98" s="137"/>
      <c r="H98" s="137"/>
      <c r="I98" s="137"/>
      <c r="J98" s="137"/>
      <c r="K98" s="137"/>
      <c r="L98" s="137"/>
      <c r="M98" s="137"/>
      <c r="N98" s="137"/>
      <c r="O98" s="137"/>
      <c r="P98" s="137" t="s">
        <v>533</v>
      </c>
      <c r="Q98" s="137"/>
      <c r="R98" s="137" t="s">
        <v>534</v>
      </c>
      <c r="S98" s="137"/>
      <c r="T98" s="137"/>
      <c r="U98" s="137"/>
      <c r="V98" s="137"/>
      <c r="W98" s="120"/>
      <c r="X98" s="137"/>
      <c r="Y98" s="137"/>
      <c r="Z98" s="137" t="s">
        <v>535</v>
      </c>
      <c r="AA98" s="133"/>
      <c r="AB98" s="137" t="s">
        <v>536</v>
      </c>
      <c r="AC98" s="133"/>
      <c r="AD98" s="133"/>
      <c r="AE98" s="133"/>
      <c r="AF98" s="133"/>
      <c r="AG98" s="388"/>
      <c r="AH98" s="133"/>
      <c r="AI98" s="133"/>
      <c r="AJ98" s="133"/>
      <c r="AK98" s="133"/>
      <c r="AL98" s="133"/>
      <c r="AM98" s="137"/>
      <c r="AN98" s="137"/>
      <c r="AO98" s="137" t="s">
        <v>537</v>
      </c>
      <c r="AP98" s="137"/>
      <c r="AQ98" s="137" t="s">
        <v>538</v>
      </c>
      <c r="AR98" s="137"/>
      <c r="AS98" s="137"/>
      <c r="AT98" s="137"/>
      <c r="AU98" s="137"/>
      <c r="AV98" s="137"/>
      <c r="AW98" s="137"/>
      <c r="AX98" s="137" t="s">
        <v>539</v>
      </c>
      <c r="AY98" s="137"/>
      <c r="AZ98" s="137"/>
      <c r="BA98" s="137" t="s">
        <v>540</v>
      </c>
      <c r="BB98" s="137"/>
      <c r="BC98" s="137"/>
      <c r="BD98" s="137" t="s">
        <v>541</v>
      </c>
      <c r="BE98" s="137"/>
      <c r="BF98" s="137" t="s">
        <v>542</v>
      </c>
      <c r="BG98" s="137" t="s">
        <v>543</v>
      </c>
      <c r="BH98" s="137"/>
      <c r="BI98" s="137"/>
      <c r="BJ98" s="137"/>
      <c r="BK98" s="137"/>
      <c r="BL98" s="137"/>
      <c r="BM98" s="137"/>
      <c r="BN98" s="137"/>
      <c r="BO98" s="137"/>
      <c r="BP98" s="202"/>
      <c r="BQ98" s="202"/>
      <c r="BR98" s="202"/>
      <c r="BS98" s="202"/>
      <c r="BT98" s="202"/>
    </row>
    <row r="99" spans="1:72">
      <c r="A99" s="133"/>
      <c r="B99" s="133"/>
      <c r="C99" s="133"/>
      <c r="D99" s="133"/>
      <c r="E99" s="133"/>
      <c r="F99" s="134" t="s">
        <v>249</v>
      </c>
      <c r="G99" s="135"/>
      <c r="H99" s="136" t="s">
        <v>243</v>
      </c>
      <c r="I99" s="136" t="s">
        <v>244</v>
      </c>
      <c r="J99" s="136" t="s">
        <v>544</v>
      </c>
      <c r="K99" s="136" t="s">
        <v>250</v>
      </c>
      <c r="L99" s="136" t="s">
        <v>545</v>
      </c>
      <c r="M99" s="136" t="s">
        <v>246</v>
      </c>
      <c r="N99" s="136" t="s">
        <v>247</v>
      </c>
      <c r="O99" s="137"/>
      <c r="P99" s="134" t="s">
        <v>248</v>
      </c>
      <c r="Q99" s="135"/>
      <c r="R99" s="136" t="s">
        <v>243</v>
      </c>
      <c r="S99" s="136" t="s">
        <v>244</v>
      </c>
      <c r="T99" s="136" t="s">
        <v>245</v>
      </c>
      <c r="U99" s="136" t="s">
        <v>250</v>
      </c>
      <c r="V99" s="136" t="s">
        <v>546</v>
      </c>
      <c r="W99" s="136" t="s">
        <v>246</v>
      </c>
      <c r="X99" s="136" t="s">
        <v>247</v>
      </c>
      <c r="Y99" s="137"/>
      <c r="Z99" s="134" t="s">
        <v>547</v>
      </c>
      <c r="AA99" s="135"/>
      <c r="AB99" s="136" t="s">
        <v>243</v>
      </c>
      <c r="AC99" s="136" t="s">
        <v>244</v>
      </c>
      <c r="AD99" s="136" t="s">
        <v>245</v>
      </c>
      <c r="AE99" s="136" t="s">
        <v>250</v>
      </c>
      <c r="AF99" s="136" t="s">
        <v>246</v>
      </c>
      <c r="AG99" s="136" t="s">
        <v>247</v>
      </c>
      <c r="AH99" s="136" t="s">
        <v>548</v>
      </c>
      <c r="AI99" s="136" t="s">
        <v>545</v>
      </c>
      <c r="AJ99" s="133"/>
      <c r="AK99" s="133"/>
      <c r="AL99" s="133"/>
      <c r="AM99" s="137"/>
      <c r="AN99" s="137"/>
      <c r="AO99" s="134" t="s">
        <v>248</v>
      </c>
      <c r="AP99" s="135"/>
      <c r="AQ99" s="204" t="s">
        <v>243</v>
      </c>
      <c r="AR99" s="136" t="s">
        <v>244</v>
      </c>
      <c r="AS99" s="136" t="s">
        <v>245</v>
      </c>
      <c r="AT99" s="136" t="s">
        <v>250</v>
      </c>
      <c r="AU99" s="136" t="s">
        <v>262</v>
      </c>
      <c r="AV99" s="136" t="s">
        <v>246</v>
      </c>
      <c r="AW99" s="136" t="s">
        <v>247</v>
      </c>
      <c r="AX99" s="136" t="s">
        <v>549</v>
      </c>
      <c r="AY99" s="136" t="s">
        <v>550</v>
      </c>
      <c r="AZ99" s="136" t="s">
        <v>263</v>
      </c>
      <c r="BA99" s="136" t="s">
        <v>551</v>
      </c>
      <c r="BB99" s="137"/>
      <c r="BC99" s="137"/>
      <c r="BD99" s="134" t="s">
        <v>248</v>
      </c>
      <c r="BE99" s="135"/>
      <c r="BF99" s="204" t="s">
        <v>243</v>
      </c>
      <c r="BG99" s="136" t="s">
        <v>244</v>
      </c>
      <c r="BH99" s="136" t="s">
        <v>245</v>
      </c>
      <c r="BI99" s="136" t="s">
        <v>250</v>
      </c>
      <c r="BJ99" s="136" t="s">
        <v>262</v>
      </c>
      <c r="BK99" s="136" t="s">
        <v>246</v>
      </c>
      <c r="BL99" s="136" t="s">
        <v>247</v>
      </c>
      <c r="BM99" s="136" t="s">
        <v>263</v>
      </c>
      <c r="BN99" s="136" t="s">
        <v>264</v>
      </c>
      <c r="BO99" s="136" t="s">
        <v>552</v>
      </c>
      <c r="BP99" s="136" t="s">
        <v>553</v>
      </c>
      <c r="BQ99" s="202"/>
      <c r="BR99" s="202"/>
      <c r="BS99" s="202"/>
      <c r="BT99" s="202"/>
    </row>
    <row r="100" spans="1:72">
      <c r="A100" s="386"/>
      <c r="B100" s="386"/>
      <c r="C100" s="386"/>
      <c r="D100" s="133"/>
      <c r="E100" s="133"/>
      <c r="F100" s="137" t="s">
        <v>260</v>
      </c>
      <c r="G100" s="138"/>
      <c r="H100" s="90">
        <v>1</v>
      </c>
      <c r="I100" s="120">
        <v>5100</v>
      </c>
      <c r="J100" s="120">
        <v>35</v>
      </c>
      <c r="K100" s="120">
        <f>J100*2.4</f>
        <v>84</v>
      </c>
      <c r="L100" s="120">
        <v>350</v>
      </c>
      <c r="M100" s="120"/>
      <c r="N100" s="120"/>
      <c r="O100" s="137"/>
      <c r="P100" s="137" t="s">
        <v>554</v>
      </c>
      <c r="Q100" s="138"/>
      <c r="R100" s="91">
        <v>1</v>
      </c>
      <c r="S100" s="120">
        <v>300</v>
      </c>
      <c r="T100" s="120">
        <v>100</v>
      </c>
      <c r="U100" s="120">
        <f t="shared" ref="U100:U105" si="18">T100*0.7</f>
        <v>70</v>
      </c>
      <c r="V100" s="120">
        <v>6</v>
      </c>
      <c r="W100" s="120"/>
      <c r="X100" s="120"/>
      <c r="Y100" s="137"/>
      <c r="Z100" s="137" t="s">
        <v>555</v>
      </c>
      <c r="AA100" s="138"/>
      <c r="AB100" s="91">
        <v>1</v>
      </c>
      <c r="AC100" s="120">
        <v>6100</v>
      </c>
      <c r="AD100" s="120">
        <v>10</v>
      </c>
      <c r="AE100" s="120">
        <f t="shared" ref="AE100:AE105" si="19">AD100*2</f>
        <v>20</v>
      </c>
      <c r="AF100" s="120"/>
      <c r="AG100" s="120"/>
      <c r="AH100" s="120">
        <v>8</v>
      </c>
      <c r="AI100" s="120">
        <v>100</v>
      </c>
      <c r="AJ100" s="133"/>
      <c r="AK100" s="133"/>
      <c r="AL100" s="133"/>
      <c r="AM100" s="386"/>
      <c r="AN100" s="137"/>
      <c r="AO100" s="137" t="s">
        <v>556</v>
      </c>
      <c r="AP100" s="138"/>
      <c r="AQ100" s="93">
        <v>1</v>
      </c>
      <c r="AR100" s="120">
        <v>1000</v>
      </c>
      <c r="AS100" s="120">
        <v>50</v>
      </c>
      <c r="AT100" s="151">
        <f>AS100*1.8</f>
        <v>90</v>
      </c>
      <c r="AU100" s="459">
        <v>20</v>
      </c>
      <c r="AV100" s="150">
        <v>1000000</v>
      </c>
      <c r="AW100" s="120"/>
      <c r="AX100" s="430">
        <v>0.2</v>
      </c>
      <c r="AY100" s="120">
        <v>70</v>
      </c>
      <c r="AZ100" s="120" t="s">
        <v>163</v>
      </c>
      <c r="BA100" s="120" t="s">
        <v>163</v>
      </c>
      <c r="BB100" s="137"/>
      <c r="BC100" s="137"/>
      <c r="BD100" s="137" t="s">
        <v>402</v>
      </c>
      <c r="BE100" s="138"/>
      <c r="BF100" s="100">
        <v>1</v>
      </c>
      <c r="BG100" s="120">
        <v>2950</v>
      </c>
      <c r="BH100" s="120">
        <v>374</v>
      </c>
      <c r="BI100" s="151">
        <f>BH100*1.2</f>
        <v>448.8</v>
      </c>
      <c r="BJ100" s="459">
        <v>30</v>
      </c>
      <c r="BK100" s="150">
        <v>60000</v>
      </c>
      <c r="BL100" s="120"/>
      <c r="BM100" s="120" t="s">
        <v>163</v>
      </c>
      <c r="BN100" s="120"/>
      <c r="BO100" s="120"/>
      <c r="BP100" s="120"/>
      <c r="BQ100" s="202"/>
      <c r="BR100" s="202"/>
      <c r="BS100" s="202"/>
      <c r="BT100" s="202"/>
    </row>
    <row r="101" spans="1:72">
      <c r="A101" s="386"/>
      <c r="B101" s="386"/>
      <c r="C101" s="386"/>
      <c r="D101" s="133"/>
      <c r="E101" s="133"/>
      <c r="F101" s="137" t="s">
        <v>557</v>
      </c>
      <c r="G101" s="138"/>
      <c r="H101" s="90">
        <v>2</v>
      </c>
      <c r="I101" s="120">
        <v>5400</v>
      </c>
      <c r="J101" s="120">
        <v>40</v>
      </c>
      <c r="K101" s="120">
        <f t="shared" ref="K101:K110" si="20">J101*2.4</f>
        <v>96</v>
      </c>
      <c r="L101" s="120">
        <v>400</v>
      </c>
      <c r="M101" s="150">
        <v>10000</v>
      </c>
      <c r="N101" s="149">
        <v>1.25</v>
      </c>
      <c r="O101" s="137"/>
      <c r="P101" s="137" t="s">
        <v>419</v>
      </c>
      <c r="Q101" s="138"/>
      <c r="R101" s="91">
        <v>2</v>
      </c>
      <c r="S101" s="120">
        <v>320</v>
      </c>
      <c r="T101" s="120">
        <v>110</v>
      </c>
      <c r="U101" s="120">
        <f t="shared" si="18"/>
        <v>77</v>
      </c>
      <c r="V101" s="120">
        <v>8</v>
      </c>
      <c r="W101" s="150">
        <v>50000</v>
      </c>
      <c r="X101" s="149">
        <v>4</v>
      </c>
      <c r="Y101" s="137"/>
      <c r="Z101" s="137" t="s">
        <v>273</v>
      </c>
      <c r="AA101" s="138"/>
      <c r="AB101" s="91">
        <v>2</v>
      </c>
      <c r="AC101" s="120">
        <v>6500</v>
      </c>
      <c r="AD101" s="120">
        <v>12</v>
      </c>
      <c r="AE101" s="120">
        <f t="shared" si="19"/>
        <v>24</v>
      </c>
      <c r="AF101" s="150">
        <v>35000</v>
      </c>
      <c r="AG101" s="149">
        <v>2.5</v>
      </c>
      <c r="AH101" s="120">
        <v>10</v>
      </c>
      <c r="AI101" s="120">
        <v>150</v>
      </c>
      <c r="AJ101" s="133"/>
      <c r="AK101" s="133"/>
      <c r="AL101" s="133"/>
      <c r="AM101" s="386"/>
      <c r="AN101" s="137"/>
      <c r="AO101" s="137" t="s">
        <v>439</v>
      </c>
      <c r="AP101" s="138"/>
      <c r="AQ101" s="93">
        <v>2</v>
      </c>
      <c r="AR101" s="120">
        <v>1021</v>
      </c>
      <c r="AS101" s="120">
        <v>52</v>
      </c>
      <c r="AT101" s="151">
        <f t="shared" ref="AT101:AT132" si="21">AS101*1.8</f>
        <v>93.600000000000009</v>
      </c>
      <c r="AU101" s="459">
        <v>20</v>
      </c>
      <c r="AV101" s="150">
        <v>1100000</v>
      </c>
      <c r="AW101" s="149">
        <v>8.3333333333333301E-2</v>
      </c>
      <c r="AX101" s="430">
        <v>0.21099999999999999</v>
      </c>
      <c r="AY101" s="120">
        <v>76</v>
      </c>
      <c r="AZ101" s="120" t="s">
        <v>163</v>
      </c>
      <c r="BA101" s="120" t="s">
        <v>163</v>
      </c>
      <c r="BB101" s="137"/>
      <c r="BC101" s="137"/>
      <c r="BD101" s="137" t="s">
        <v>282</v>
      </c>
      <c r="BE101" s="138"/>
      <c r="BF101" s="100">
        <v>2</v>
      </c>
      <c r="BG101" s="120">
        <v>3000</v>
      </c>
      <c r="BH101" s="120">
        <v>383</v>
      </c>
      <c r="BI101" s="151">
        <f t="shared" ref="BI101:BI134" si="22">BH101*1.2</f>
        <v>459.59999999999997</v>
      </c>
      <c r="BJ101" s="459">
        <v>30</v>
      </c>
      <c r="BK101" s="150">
        <v>73000</v>
      </c>
      <c r="BL101" s="149">
        <v>0.33333000000000002</v>
      </c>
      <c r="BM101" s="120" t="s">
        <v>163</v>
      </c>
      <c r="BN101" s="120"/>
      <c r="BO101" s="120"/>
      <c r="BP101" s="120"/>
      <c r="BQ101" s="202"/>
      <c r="BR101" s="202"/>
      <c r="BS101" s="202"/>
      <c r="BT101" s="202"/>
    </row>
    <row r="102" spans="1:72">
      <c r="A102" s="386"/>
      <c r="B102" s="386"/>
      <c r="C102" s="386"/>
      <c r="D102" s="133"/>
      <c r="E102" s="133"/>
      <c r="F102" s="140" t="s">
        <v>281</v>
      </c>
      <c r="G102" s="143"/>
      <c r="H102" s="91">
        <v>3</v>
      </c>
      <c r="I102" s="120">
        <v>5700</v>
      </c>
      <c r="J102" s="120">
        <v>45</v>
      </c>
      <c r="K102" s="120">
        <f t="shared" si="20"/>
        <v>108</v>
      </c>
      <c r="L102" s="120">
        <v>450</v>
      </c>
      <c r="M102" s="150">
        <v>20000</v>
      </c>
      <c r="N102" s="149">
        <v>2.5</v>
      </c>
      <c r="O102" s="137"/>
      <c r="P102" s="140" t="s">
        <v>281</v>
      </c>
      <c r="Q102" s="143"/>
      <c r="R102" s="92">
        <v>3</v>
      </c>
      <c r="S102" s="120">
        <v>400</v>
      </c>
      <c r="T102" s="120">
        <v>140</v>
      </c>
      <c r="U102" s="120">
        <f t="shared" si="18"/>
        <v>98</v>
      </c>
      <c r="V102" s="120">
        <v>10</v>
      </c>
      <c r="W102" s="150">
        <v>68000</v>
      </c>
      <c r="X102" s="149">
        <v>4.75</v>
      </c>
      <c r="Y102" s="137"/>
      <c r="Z102" s="140" t="s">
        <v>445</v>
      </c>
      <c r="AA102" s="143"/>
      <c r="AB102" s="92">
        <v>3</v>
      </c>
      <c r="AC102" s="120">
        <v>6800</v>
      </c>
      <c r="AD102" s="120">
        <v>14</v>
      </c>
      <c r="AE102" s="120">
        <f t="shared" si="19"/>
        <v>28</v>
      </c>
      <c r="AF102" s="150">
        <v>50000</v>
      </c>
      <c r="AG102" s="149">
        <v>4.25</v>
      </c>
      <c r="AH102" s="120">
        <v>12</v>
      </c>
      <c r="AI102" s="120">
        <v>200</v>
      </c>
      <c r="AJ102" s="133"/>
      <c r="AK102" s="133"/>
      <c r="AL102" s="133"/>
      <c r="AM102" s="386"/>
      <c r="AN102" s="137"/>
      <c r="AO102" s="140" t="s">
        <v>279</v>
      </c>
      <c r="AP102" s="143"/>
      <c r="AQ102" s="93">
        <v>3</v>
      </c>
      <c r="AR102" s="120">
        <v>1042</v>
      </c>
      <c r="AS102" s="120">
        <v>54</v>
      </c>
      <c r="AT102" s="151">
        <f t="shared" si="21"/>
        <v>97.2</v>
      </c>
      <c r="AU102" s="459">
        <v>20</v>
      </c>
      <c r="AV102" s="150">
        <v>1400000</v>
      </c>
      <c r="AW102" s="149">
        <v>0.16666666666666699</v>
      </c>
      <c r="AX102" s="430">
        <v>0.222</v>
      </c>
      <c r="AY102" s="120">
        <v>82</v>
      </c>
      <c r="AZ102" s="120" t="s">
        <v>163</v>
      </c>
      <c r="BA102" s="120" t="s">
        <v>163</v>
      </c>
      <c r="BB102" s="137"/>
      <c r="BC102" s="137"/>
      <c r="BD102" s="140" t="s">
        <v>280</v>
      </c>
      <c r="BE102" s="143"/>
      <c r="BF102" s="100">
        <v>3</v>
      </c>
      <c r="BG102" s="120">
        <v>3050</v>
      </c>
      <c r="BH102" s="120">
        <v>392</v>
      </c>
      <c r="BI102" s="151">
        <f t="shared" si="22"/>
        <v>470.4</v>
      </c>
      <c r="BJ102" s="459">
        <v>30</v>
      </c>
      <c r="BK102" s="150">
        <v>89000</v>
      </c>
      <c r="BL102" s="149">
        <v>0.66666599999999998</v>
      </c>
      <c r="BM102" s="120" t="s">
        <v>163</v>
      </c>
      <c r="BN102" s="120"/>
      <c r="BO102" s="120"/>
      <c r="BP102" s="120"/>
      <c r="BQ102" s="202"/>
      <c r="BR102" s="202"/>
      <c r="BS102" s="202"/>
      <c r="BT102" s="202"/>
    </row>
    <row r="103" spans="1:72">
      <c r="A103" s="137"/>
      <c r="B103" s="137"/>
      <c r="C103" s="137"/>
      <c r="D103" s="133"/>
      <c r="E103" s="133"/>
      <c r="F103" s="134" t="s">
        <v>287</v>
      </c>
      <c r="G103" s="135"/>
      <c r="H103" s="91">
        <v>4</v>
      </c>
      <c r="I103" s="120">
        <v>6000</v>
      </c>
      <c r="J103" s="120">
        <v>50</v>
      </c>
      <c r="K103" s="120">
        <f t="shared" si="20"/>
        <v>120</v>
      </c>
      <c r="L103" s="120">
        <v>500</v>
      </c>
      <c r="M103" s="150">
        <v>30000</v>
      </c>
      <c r="N103" s="149">
        <v>3.75</v>
      </c>
      <c r="O103" s="137"/>
      <c r="P103" s="134" t="s">
        <v>558</v>
      </c>
      <c r="Q103" s="135"/>
      <c r="R103" s="93">
        <v>4</v>
      </c>
      <c r="S103" s="120">
        <v>440</v>
      </c>
      <c r="T103" s="120">
        <v>160</v>
      </c>
      <c r="U103" s="120">
        <f t="shared" si="18"/>
        <v>112</v>
      </c>
      <c r="V103" s="120">
        <v>12</v>
      </c>
      <c r="W103" s="150">
        <v>90000</v>
      </c>
      <c r="X103" s="149">
        <v>6.75</v>
      </c>
      <c r="Y103" s="137"/>
      <c r="Z103" s="134" t="s">
        <v>287</v>
      </c>
      <c r="AA103" s="135"/>
      <c r="AB103" s="93">
        <v>4</v>
      </c>
      <c r="AC103" s="120">
        <v>7200</v>
      </c>
      <c r="AD103" s="120">
        <v>16</v>
      </c>
      <c r="AE103" s="120">
        <f t="shared" si="19"/>
        <v>32</v>
      </c>
      <c r="AF103" s="150">
        <v>85000</v>
      </c>
      <c r="AG103" s="149">
        <v>6.25</v>
      </c>
      <c r="AH103" s="120">
        <v>14</v>
      </c>
      <c r="AI103" s="120">
        <v>250</v>
      </c>
      <c r="AJ103" s="133"/>
      <c r="AK103" s="133"/>
      <c r="AL103" s="133"/>
      <c r="AM103" s="137"/>
      <c r="AN103" s="137"/>
      <c r="AO103" s="134" t="s">
        <v>559</v>
      </c>
      <c r="AP103" s="135" t="s">
        <v>309</v>
      </c>
      <c r="AQ103" s="93">
        <v>4</v>
      </c>
      <c r="AR103" s="120">
        <v>1064</v>
      </c>
      <c r="AS103" s="120">
        <v>56</v>
      </c>
      <c r="AT103" s="151">
        <f t="shared" si="21"/>
        <v>100.8</v>
      </c>
      <c r="AU103" s="459">
        <v>20</v>
      </c>
      <c r="AV103" s="150">
        <v>1600000</v>
      </c>
      <c r="AW103" s="149">
        <v>0.33333333333333298</v>
      </c>
      <c r="AX103" s="430">
        <v>0.23300000000000001</v>
      </c>
      <c r="AY103" s="120">
        <v>88</v>
      </c>
      <c r="AZ103" s="120" t="s">
        <v>163</v>
      </c>
      <c r="BA103" s="120" t="s">
        <v>163</v>
      </c>
      <c r="BB103" s="137"/>
      <c r="BC103" s="137"/>
      <c r="BD103" s="134" t="s">
        <v>299</v>
      </c>
      <c r="BE103" s="135" t="s">
        <v>300</v>
      </c>
      <c r="BF103" s="100">
        <v>4</v>
      </c>
      <c r="BG103" s="120">
        <v>3100</v>
      </c>
      <c r="BH103" s="120">
        <v>401</v>
      </c>
      <c r="BI103" s="151">
        <f t="shared" si="22"/>
        <v>481.2</v>
      </c>
      <c r="BJ103" s="459">
        <v>30</v>
      </c>
      <c r="BK103" s="150">
        <v>105000</v>
      </c>
      <c r="BL103" s="149">
        <v>0.91666666666666696</v>
      </c>
      <c r="BM103" s="120" t="s">
        <v>163</v>
      </c>
      <c r="BN103" s="120"/>
      <c r="BO103" s="120"/>
      <c r="BP103" s="120"/>
      <c r="BQ103" s="202"/>
      <c r="BR103" s="202"/>
      <c r="BS103" s="202"/>
      <c r="BT103" s="202"/>
    </row>
    <row r="104" spans="1:72">
      <c r="A104" s="137"/>
      <c r="B104" s="137"/>
      <c r="C104" s="137"/>
      <c r="D104" s="133"/>
      <c r="E104" s="133"/>
      <c r="F104" s="137" t="s">
        <v>560</v>
      </c>
      <c r="G104" s="138"/>
      <c r="H104" s="92">
        <v>5</v>
      </c>
      <c r="I104" s="120">
        <v>6300</v>
      </c>
      <c r="J104" s="120">
        <v>55</v>
      </c>
      <c r="K104" s="120">
        <f t="shared" si="20"/>
        <v>132</v>
      </c>
      <c r="L104" s="120">
        <v>550</v>
      </c>
      <c r="M104" s="150">
        <v>43000</v>
      </c>
      <c r="N104" s="149">
        <v>6.5</v>
      </c>
      <c r="O104" s="137"/>
      <c r="P104" s="137" t="s">
        <v>561</v>
      </c>
      <c r="Q104" s="138"/>
      <c r="R104" s="94">
        <v>5</v>
      </c>
      <c r="S104" s="120">
        <v>480</v>
      </c>
      <c r="T104" s="120">
        <v>180</v>
      </c>
      <c r="U104" s="120">
        <f t="shared" si="18"/>
        <v>125.99999999999999</v>
      </c>
      <c r="V104" s="120">
        <v>14</v>
      </c>
      <c r="W104" s="150">
        <v>140000</v>
      </c>
      <c r="X104" s="149">
        <v>10</v>
      </c>
      <c r="Y104" s="137"/>
      <c r="Z104" s="95" t="s">
        <v>373</v>
      </c>
      <c r="AA104" s="138"/>
      <c r="AB104" s="94">
        <v>5</v>
      </c>
      <c r="AC104" s="120">
        <v>7600</v>
      </c>
      <c r="AD104" s="120">
        <v>18</v>
      </c>
      <c r="AE104" s="120">
        <f t="shared" si="19"/>
        <v>36</v>
      </c>
      <c r="AF104" s="150">
        <v>135000</v>
      </c>
      <c r="AG104" s="149">
        <v>10</v>
      </c>
      <c r="AH104" s="120">
        <v>16</v>
      </c>
      <c r="AI104" s="120">
        <v>300</v>
      </c>
      <c r="AJ104" s="133"/>
      <c r="AK104" s="133"/>
      <c r="AL104" s="133"/>
      <c r="AM104" s="137"/>
      <c r="AN104" s="137"/>
      <c r="AO104" s="137" t="s">
        <v>562</v>
      </c>
      <c r="AP104" s="138" t="s">
        <v>309</v>
      </c>
      <c r="AQ104" s="93">
        <v>5</v>
      </c>
      <c r="AR104" s="120">
        <v>1086</v>
      </c>
      <c r="AS104" s="120">
        <v>58</v>
      </c>
      <c r="AT104" s="151">
        <f t="shared" si="21"/>
        <v>104.4</v>
      </c>
      <c r="AU104" s="459">
        <v>22</v>
      </c>
      <c r="AV104" s="150">
        <v>1800000</v>
      </c>
      <c r="AW104" s="149">
        <v>0.5</v>
      </c>
      <c r="AX104" s="430">
        <v>0.24399999999999999</v>
      </c>
      <c r="AY104" s="120">
        <v>94</v>
      </c>
      <c r="AZ104" s="120">
        <v>1</v>
      </c>
      <c r="BA104" s="139">
        <v>3.5</v>
      </c>
      <c r="BB104" s="137"/>
      <c r="BC104" s="137"/>
      <c r="BD104" s="137" t="s">
        <v>293</v>
      </c>
      <c r="BE104" s="137" t="s">
        <v>563</v>
      </c>
      <c r="BF104" s="106">
        <v>5</v>
      </c>
      <c r="BG104" s="120">
        <v>3150</v>
      </c>
      <c r="BH104" s="120">
        <v>410</v>
      </c>
      <c r="BI104" s="151">
        <f t="shared" si="22"/>
        <v>492</v>
      </c>
      <c r="BJ104" s="459">
        <v>32</v>
      </c>
      <c r="BK104" s="150">
        <v>122000</v>
      </c>
      <c r="BL104" s="149">
        <v>1.8333333333333299</v>
      </c>
      <c r="BM104" s="120">
        <v>1</v>
      </c>
      <c r="BN104" s="120">
        <v>1700</v>
      </c>
      <c r="BO104" s="120">
        <v>1260</v>
      </c>
      <c r="BP104" s="120">
        <v>4</v>
      </c>
      <c r="BQ104" s="202"/>
      <c r="BR104" s="202"/>
      <c r="BS104" s="202"/>
      <c r="BT104" s="202"/>
    </row>
    <row r="105" spans="1:72">
      <c r="A105" s="137"/>
      <c r="B105" s="137"/>
      <c r="C105" s="137"/>
      <c r="D105" s="133"/>
      <c r="E105" s="133"/>
      <c r="F105" s="140" t="s">
        <v>381</v>
      </c>
      <c r="G105" s="143"/>
      <c r="H105" s="93">
        <v>6</v>
      </c>
      <c r="I105" s="120">
        <v>6600</v>
      </c>
      <c r="J105" s="120">
        <v>60</v>
      </c>
      <c r="K105" s="120">
        <f t="shared" si="20"/>
        <v>144</v>
      </c>
      <c r="L105" s="120">
        <v>600</v>
      </c>
      <c r="M105" s="150">
        <v>53000</v>
      </c>
      <c r="N105" s="149">
        <v>5</v>
      </c>
      <c r="O105" s="137"/>
      <c r="P105" s="140" t="s">
        <v>564</v>
      </c>
      <c r="Q105" s="143"/>
      <c r="R105" s="122">
        <v>6</v>
      </c>
      <c r="S105" s="120">
        <v>520</v>
      </c>
      <c r="T105" s="120">
        <v>200</v>
      </c>
      <c r="U105" s="120">
        <f t="shared" si="18"/>
        <v>140</v>
      </c>
      <c r="V105" s="120">
        <v>15</v>
      </c>
      <c r="W105" s="150">
        <v>340000</v>
      </c>
      <c r="X105" s="149">
        <v>17.5</v>
      </c>
      <c r="Y105" s="137"/>
      <c r="Z105" s="140"/>
      <c r="AA105" s="143"/>
      <c r="AB105" s="100">
        <v>6</v>
      </c>
      <c r="AC105" s="120">
        <v>8000</v>
      </c>
      <c r="AD105" s="120">
        <v>20</v>
      </c>
      <c r="AE105" s="120">
        <f t="shared" si="19"/>
        <v>40</v>
      </c>
      <c r="AF105" s="150">
        <v>200000</v>
      </c>
      <c r="AG105" s="149">
        <v>12</v>
      </c>
      <c r="AH105" s="120">
        <v>18</v>
      </c>
      <c r="AI105" s="120">
        <v>350</v>
      </c>
      <c r="AJ105" s="133"/>
      <c r="AK105" s="133"/>
      <c r="AL105" s="133"/>
      <c r="AM105" s="137"/>
      <c r="AN105" s="137"/>
      <c r="AO105" s="137" t="s">
        <v>565</v>
      </c>
      <c r="AP105" s="138" t="s">
        <v>309</v>
      </c>
      <c r="AQ105" s="93">
        <v>6</v>
      </c>
      <c r="AR105" s="120">
        <v>1108</v>
      </c>
      <c r="AS105" s="120">
        <v>60</v>
      </c>
      <c r="AT105" s="151">
        <f t="shared" si="21"/>
        <v>108</v>
      </c>
      <c r="AU105" s="459">
        <v>22</v>
      </c>
      <c r="AV105" s="150">
        <v>2000000</v>
      </c>
      <c r="AW105" s="149">
        <v>0.66666666666666696</v>
      </c>
      <c r="AX105" s="430">
        <v>0.25600000000000001</v>
      </c>
      <c r="AY105" s="120">
        <v>101</v>
      </c>
      <c r="AZ105" s="120">
        <v>1</v>
      </c>
      <c r="BA105" s="139">
        <v>3.5</v>
      </c>
      <c r="BB105" s="137"/>
      <c r="BC105" s="137"/>
      <c r="BD105" s="140" t="s">
        <v>308</v>
      </c>
      <c r="BE105" s="143" t="s">
        <v>309</v>
      </c>
      <c r="BF105" s="100">
        <v>6</v>
      </c>
      <c r="BG105" s="120">
        <v>3200</v>
      </c>
      <c r="BH105" s="120">
        <v>418</v>
      </c>
      <c r="BI105" s="151">
        <f t="shared" si="22"/>
        <v>501.59999999999997</v>
      </c>
      <c r="BJ105" s="459">
        <v>32</v>
      </c>
      <c r="BK105" s="150">
        <v>140000</v>
      </c>
      <c r="BL105" s="149">
        <v>2.75</v>
      </c>
      <c r="BM105" s="120">
        <v>1</v>
      </c>
      <c r="BN105" s="120">
        <v>1700</v>
      </c>
      <c r="BO105" s="120">
        <v>1260</v>
      </c>
      <c r="BP105" s="120">
        <v>4</v>
      </c>
      <c r="BQ105" s="202"/>
      <c r="BR105" s="202"/>
      <c r="BS105" s="202"/>
      <c r="BT105" s="202"/>
    </row>
    <row r="106" spans="1:72">
      <c r="A106" s="137"/>
      <c r="B106" s="137"/>
      <c r="C106" s="137"/>
      <c r="D106" s="133"/>
      <c r="E106" s="133"/>
      <c r="F106" s="137" t="s">
        <v>478</v>
      </c>
      <c r="G106" s="135"/>
      <c r="H106" s="93">
        <v>7</v>
      </c>
      <c r="I106" s="120">
        <v>6900</v>
      </c>
      <c r="J106" s="120">
        <v>65</v>
      </c>
      <c r="K106" s="120">
        <f t="shared" si="20"/>
        <v>156</v>
      </c>
      <c r="L106" s="120">
        <v>650</v>
      </c>
      <c r="M106" s="150">
        <v>77000</v>
      </c>
      <c r="N106" s="149">
        <v>5.5</v>
      </c>
      <c r="O106" s="137"/>
      <c r="P106" s="137" t="s">
        <v>566</v>
      </c>
      <c r="Q106" s="135"/>
      <c r="R106" s="401"/>
      <c r="S106" s="120"/>
      <c r="T106" s="120"/>
      <c r="U106" s="120"/>
      <c r="V106" s="120"/>
      <c r="W106" s="137"/>
      <c r="X106" s="120"/>
      <c r="Y106" s="137"/>
      <c r="Z106" s="135" t="s">
        <v>478</v>
      </c>
      <c r="AA106" s="135"/>
      <c r="AB106" s="473"/>
      <c r="AC106" s="120"/>
      <c r="AD106" s="120"/>
      <c r="AE106" s="120"/>
      <c r="AF106" s="120"/>
      <c r="AG106" s="418"/>
      <c r="AH106" s="120"/>
      <c r="AI106" s="133"/>
      <c r="AJ106" s="133"/>
      <c r="AK106" s="133"/>
      <c r="AL106" s="133"/>
      <c r="AM106" s="137"/>
      <c r="AN106" s="137"/>
      <c r="AO106" s="137" t="s">
        <v>486</v>
      </c>
      <c r="AP106" s="138"/>
      <c r="AQ106" s="93">
        <v>7</v>
      </c>
      <c r="AR106" s="120">
        <v>1131</v>
      </c>
      <c r="AS106" s="120">
        <v>63</v>
      </c>
      <c r="AT106" s="151">
        <f t="shared" si="21"/>
        <v>113.4</v>
      </c>
      <c r="AU106" s="459">
        <v>22</v>
      </c>
      <c r="AV106" s="150">
        <v>2200000</v>
      </c>
      <c r="AW106" s="149">
        <v>0.91666666666666696</v>
      </c>
      <c r="AX106" s="430">
        <v>0.26800000000000002</v>
      </c>
      <c r="AY106" s="120">
        <v>108</v>
      </c>
      <c r="AZ106" s="120">
        <v>1</v>
      </c>
      <c r="BA106" s="139">
        <v>3.5</v>
      </c>
      <c r="BB106" s="137"/>
      <c r="BC106" s="137"/>
      <c r="BD106" s="137" t="s">
        <v>567</v>
      </c>
      <c r="BE106" s="138"/>
      <c r="BF106" s="100">
        <v>7</v>
      </c>
      <c r="BG106" s="120">
        <v>3250</v>
      </c>
      <c r="BH106" s="120">
        <v>426</v>
      </c>
      <c r="BI106" s="151">
        <f t="shared" si="22"/>
        <v>511.2</v>
      </c>
      <c r="BJ106" s="459">
        <v>32</v>
      </c>
      <c r="BK106" s="150">
        <v>158000</v>
      </c>
      <c r="BL106" s="149">
        <v>3.25</v>
      </c>
      <c r="BM106" s="120">
        <v>1</v>
      </c>
      <c r="BN106" s="120">
        <v>1700</v>
      </c>
      <c r="BO106" s="120">
        <v>1260</v>
      </c>
      <c r="BP106" s="120">
        <v>4</v>
      </c>
      <c r="BQ106" s="202"/>
      <c r="BR106" s="202"/>
      <c r="BS106" s="202"/>
      <c r="BT106" s="202"/>
    </row>
    <row r="107" spans="1:72">
      <c r="A107" s="137"/>
      <c r="B107" s="137"/>
      <c r="C107" s="137"/>
      <c r="D107" s="133"/>
      <c r="E107" s="133"/>
      <c r="F107" s="137" t="s">
        <v>568</v>
      </c>
      <c r="G107" s="138"/>
      <c r="H107" s="94">
        <v>8</v>
      </c>
      <c r="I107" s="120">
        <v>7200</v>
      </c>
      <c r="J107" s="120">
        <v>70</v>
      </c>
      <c r="K107" s="120">
        <f t="shared" si="20"/>
        <v>168</v>
      </c>
      <c r="L107" s="120">
        <v>700</v>
      </c>
      <c r="M107" s="150">
        <v>112000</v>
      </c>
      <c r="N107" s="149">
        <v>7.25</v>
      </c>
      <c r="O107" s="137"/>
      <c r="P107" s="137" t="s">
        <v>426</v>
      </c>
      <c r="Q107" s="138"/>
      <c r="R107" s="95" t="s">
        <v>569</v>
      </c>
      <c r="S107" s="120"/>
      <c r="T107" s="120"/>
      <c r="U107" s="120"/>
      <c r="V107" s="120"/>
      <c r="W107" s="137"/>
      <c r="X107" s="120"/>
      <c r="Y107" s="137"/>
      <c r="Z107" s="137" t="s">
        <v>568</v>
      </c>
      <c r="AA107" s="138"/>
      <c r="AB107" s="95" t="s">
        <v>570</v>
      </c>
      <c r="AC107" s="120"/>
      <c r="AD107" s="120"/>
      <c r="AE107" s="120"/>
      <c r="AF107" s="120"/>
      <c r="AG107" s="418"/>
      <c r="AH107" s="120"/>
      <c r="AI107" s="133"/>
      <c r="AJ107" s="137"/>
      <c r="AK107" s="133"/>
      <c r="AL107" s="133"/>
      <c r="AM107" s="137"/>
      <c r="AN107" s="137"/>
      <c r="AO107" s="95" t="s">
        <v>331</v>
      </c>
      <c r="AP107" s="138"/>
      <c r="AQ107" s="93">
        <v>8</v>
      </c>
      <c r="AR107" s="120">
        <v>1155</v>
      </c>
      <c r="AS107" s="120">
        <v>66</v>
      </c>
      <c r="AT107" s="151">
        <f t="shared" si="21"/>
        <v>118.8</v>
      </c>
      <c r="AU107" s="459">
        <v>22</v>
      </c>
      <c r="AV107" s="150">
        <v>2500000</v>
      </c>
      <c r="AW107" s="149">
        <v>1.1666666666666701</v>
      </c>
      <c r="AX107" s="430">
        <v>0.28100000000000003</v>
      </c>
      <c r="AY107" s="120">
        <v>116</v>
      </c>
      <c r="AZ107" s="120">
        <v>1</v>
      </c>
      <c r="BA107" s="139">
        <v>3.5</v>
      </c>
      <c r="BB107" s="137"/>
      <c r="BC107" s="137"/>
      <c r="BD107" s="137" t="s">
        <v>486</v>
      </c>
      <c r="BE107" s="138"/>
      <c r="BF107" s="100">
        <v>8</v>
      </c>
      <c r="BG107" s="120">
        <v>3300</v>
      </c>
      <c r="BH107" s="120">
        <v>434</v>
      </c>
      <c r="BI107" s="151">
        <f t="shared" si="22"/>
        <v>520.79999999999995</v>
      </c>
      <c r="BJ107" s="459">
        <v>32</v>
      </c>
      <c r="BK107" s="150">
        <v>170000</v>
      </c>
      <c r="BL107" s="149">
        <v>3.75</v>
      </c>
      <c r="BM107" s="120">
        <v>1</v>
      </c>
      <c r="BN107" s="120">
        <v>1700</v>
      </c>
      <c r="BO107" s="120">
        <v>1260</v>
      </c>
      <c r="BP107" s="120">
        <v>4</v>
      </c>
      <c r="BQ107" s="202"/>
      <c r="BR107" s="202"/>
      <c r="BS107" s="202"/>
      <c r="BT107" s="202"/>
    </row>
    <row r="108" spans="1:72">
      <c r="A108" s="137"/>
      <c r="B108" s="137"/>
      <c r="C108" s="137"/>
      <c r="D108" s="133"/>
      <c r="E108" s="133"/>
      <c r="F108" s="95" t="s">
        <v>571</v>
      </c>
      <c r="G108" s="138"/>
      <c r="H108" s="94">
        <v>9</v>
      </c>
      <c r="I108" s="120">
        <v>7500</v>
      </c>
      <c r="J108" s="120">
        <v>75</v>
      </c>
      <c r="K108" s="120">
        <f t="shared" si="20"/>
        <v>180</v>
      </c>
      <c r="L108" s="120">
        <v>750</v>
      </c>
      <c r="M108" s="150">
        <v>140000</v>
      </c>
      <c r="N108" s="149">
        <v>9.75</v>
      </c>
      <c r="O108" s="137"/>
      <c r="P108" s="95" t="s">
        <v>572</v>
      </c>
      <c r="Q108" s="133"/>
      <c r="R108" s="133"/>
      <c r="S108" s="133"/>
      <c r="T108" s="133"/>
      <c r="U108" s="133"/>
      <c r="V108" s="133"/>
      <c r="W108" s="133"/>
      <c r="X108" s="133"/>
      <c r="Y108" s="137"/>
      <c r="Z108" s="95" t="s">
        <v>573</v>
      </c>
      <c r="AA108" s="133"/>
      <c r="AB108" s="436"/>
      <c r="AC108" s="133"/>
      <c r="AD108" s="133"/>
      <c r="AE108" s="133"/>
      <c r="AF108" s="133"/>
      <c r="AG108" s="133"/>
      <c r="AH108" s="133"/>
      <c r="AI108" s="133"/>
      <c r="AJ108" s="133"/>
      <c r="AK108" s="133"/>
      <c r="AL108" s="133"/>
      <c r="AM108" s="137"/>
      <c r="AN108" s="137"/>
      <c r="AO108" s="137"/>
      <c r="AP108" s="138"/>
      <c r="AQ108" s="93">
        <v>9</v>
      </c>
      <c r="AR108" s="120">
        <v>1180</v>
      </c>
      <c r="AS108" s="120">
        <v>69</v>
      </c>
      <c r="AT108" s="151">
        <f t="shared" si="21"/>
        <v>124.2</v>
      </c>
      <c r="AU108" s="459">
        <v>22</v>
      </c>
      <c r="AV108" s="150">
        <v>2700000</v>
      </c>
      <c r="AW108" s="149">
        <v>1.3333333333333299</v>
      </c>
      <c r="AX108" s="430">
        <v>0.29499999999999998</v>
      </c>
      <c r="AY108" s="120">
        <v>125</v>
      </c>
      <c r="AZ108" s="120">
        <v>1</v>
      </c>
      <c r="BA108" s="139">
        <v>3.5</v>
      </c>
      <c r="BB108" s="137"/>
      <c r="BC108" s="137"/>
      <c r="BD108" s="95" t="s">
        <v>574</v>
      </c>
      <c r="BE108" s="138"/>
      <c r="BF108" s="100">
        <v>9</v>
      </c>
      <c r="BG108" s="120">
        <v>3350</v>
      </c>
      <c r="BH108" s="120">
        <v>442</v>
      </c>
      <c r="BI108" s="151">
        <f t="shared" si="22"/>
        <v>530.4</v>
      </c>
      <c r="BJ108" s="459">
        <v>32</v>
      </c>
      <c r="BK108" s="150">
        <v>182000</v>
      </c>
      <c r="BL108" s="149">
        <v>4.25</v>
      </c>
      <c r="BM108" s="120">
        <v>1</v>
      </c>
      <c r="BN108" s="120">
        <v>1700</v>
      </c>
      <c r="BO108" s="120">
        <v>1260</v>
      </c>
      <c r="BP108" s="120">
        <v>4</v>
      </c>
      <c r="BQ108" s="202"/>
      <c r="BR108" s="202"/>
      <c r="BS108" s="202"/>
      <c r="BT108" s="202"/>
    </row>
    <row r="109" spans="1:72">
      <c r="A109" s="137"/>
      <c r="B109" s="137"/>
      <c r="C109" s="137"/>
      <c r="D109" s="133"/>
      <c r="E109" s="133"/>
      <c r="F109" s="137"/>
      <c r="G109" s="138"/>
      <c r="H109" s="100">
        <v>10</v>
      </c>
      <c r="I109" s="120">
        <v>8000</v>
      </c>
      <c r="J109" s="120">
        <v>80</v>
      </c>
      <c r="K109" s="120">
        <f t="shared" si="20"/>
        <v>192</v>
      </c>
      <c r="L109" s="120">
        <v>800</v>
      </c>
      <c r="M109" s="150">
        <v>200000</v>
      </c>
      <c r="N109" s="149">
        <v>12</v>
      </c>
      <c r="O109" s="137"/>
      <c r="P109" s="133"/>
      <c r="Q109" s="133"/>
      <c r="R109" s="133"/>
      <c r="S109" s="133"/>
      <c r="T109" s="133"/>
      <c r="U109" s="133"/>
      <c r="V109" s="133"/>
      <c r="W109" s="133"/>
      <c r="X109" s="133"/>
      <c r="Y109" s="137"/>
      <c r="Z109" s="133"/>
      <c r="AA109" s="133"/>
      <c r="AB109" s="133"/>
      <c r="AC109" s="133"/>
      <c r="AD109" s="133"/>
      <c r="AE109" s="133"/>
      <c r="AF109" s="133"/>
      <c r="AG109" s="133"/>
      <c r="AH109" s="133"/>
      <c r="AI109" s="133"/>
      <c r="AJ109" s="133"/>
      <c r="AK109" s="133"/>
      <c r="AL109" s="133"/>
      <c r="AM109" s="137"/>
      <c r="AN109" s="137"/>
      <c r="AO109" s="140" t="s">
        <v>336</v>
      </c>
      <c r="AP109" s="143"/>
      <c r="AQ109" s="93">
        <v>10</v>
      </c>
      <c r="AR109" s="120">
        <v>1206</v>
      </c>
      <c r="AS109" s="120">
        <v>72</v>
      </c>
      <c r="AT109" s="151">
        <f t="shared" si="21"/>
        <v>129.6</v>
      </c>
      <c r="AU109" s="459">
        <v>24</v>
      </c>
      <c r="AV109" s="150">
        <v>3100000</v>
      </c>
      <c r="AW109" s="149">
        <v>1.8333333333333299</v>
      </c>
      <c r="AX109" s="430">
        <v>0.31</v>
      </c>
      <c r="AY109" s="120">
        <v>135</v>
      </c>
      <c r="AZ109" s="120">
        <v>2</v>
      </c>
      <c r="BA109" s="139">
        <v>4</v>
      </c>
      <c r="BB109" s="137"/>
      <c r="BC109" s="137"/>
      <c r="BD109" s="140" t="s">
        <v>336</v>
      </c>
      <c r="BE109" s="143"/>
      <c r="BF109" s="100">
        <v>10</v>
      </c>
      <c r="BG109" s="120">
        <v>3400</v>
      </c>
      <c r="BH109" s="120">
        <v>450</v>
      </c>
      <c r="BI109" s="151">
        <f t="shared" si="22"/>
        <v>540</v>
      </c>
      <c r="BJ109" s="459">
        <v>34</v>
      </c>
      <c r="BK109" s="150">
        <v>192000</v>
      </c>
      <c r="BL109" s="149">
        <v>4.5</v>
      </c>
      <c r="BM109" s="120">
        <v>2</v>
      </c>
      <c r="BN109" s="120">
        <v>2000</v>
      </c>
      <c r="BO109" s="120">
        <v>1460</v>
      </c>
      <c r="BP109" s="120">
        <v>4</v>
      </c>
      <c r="BQ109" s="202"/>
      <c r="BR109" s="202"/>
      <c r="BS109" s="202"/>
      <c r="BT109" s="202"/>
    </row>
    <row r="110" spans="1:72">
      <c r="A110" s="137"/>
      <c r="B110" s="137"/>
      <c r="C110" s="137"/>
      <c r="D110" s="133"/>
      <c r="E110" s="133"/>
      <c r="F110" s="133"/>
      <c r="G110" s="133"/>
      <c r="H110" s="112">
        <v>11</v>
      </c>
      <c r="I110" s="120">
        <v>8400</v>
      </c>
      <c r="J110" s="120">
        <v>85</v>
      </c>
      <c r="K110" s="120">
        <f t="shared" si="20"/>
        <v>204</v>
      </c>
      <c r="L110" s="120">
        <v>850</v>
      </c>
      <c r="M110" s="150">
        <v>300000</v>
      </c>
      <c r="N110" s="149">
        <v>16</v>
      </c>
      <c r="O110" s="137"/>
      <c r="P110" s="133"/>
      <c r="Q110" s="133"/>
      <c r="R110" s="133"/>
      <c r="S110" s="133"/>
      <c r="T110" s="133"/>
      <c r="U110" s="133"/>
      <c r="V110" s="133"/>
      <c r="W110" s="133"/>
      <c r="X110" s="133"/>
      <c r="Y110" s="137"/>
      <c r="Z110" s="133"/>
      <c r="AA110" s="133"/>
      <c r="AB110" s="133"/>
      <c r="AC110" s="133"/>
      <c r="AD110" s="133"/>
      <c r="AE110" s="133"/>
      <c r="AF110" s="133"/>
      <c r="AG110" s="133"/>
      <c r="AH110" s="133"/>
      <c r="AI110" s="133"/>
      <c r="AJ110" s="133"/>
      <c r="AK110" s="133"/>
      <c r="AL110" s="133"/>
      <c r="AM110" s="137"/>
      <c r="AN110" s="137"/>
      <c r="AO110" s="137" t="s">
        <v>575</v>
      </c>
      <c r="AP110" s="138"/>
      <c r="AQ110" s="93">
        <v>11</v>
      </c>
      <c r="AR110" s="120">
        <v>1233</v>
      </c>
      <c r="AS110" s="120">
        <v>75</v>
      </c>
      <c r="AT110" s="151">
        <f t="shared" si="21"/>
        <v>135</v>
      </c>
      <c r="AU110" s="459">
        <v>24</v>
      </c>
      <c r="AV110" s="150">
        <v>3600000</v>
      </c>
      <c r="AW110" s="149">
        <v>2.25</v>
      </c>
      <c r="AX110" s="430">
        <v>0.32600000000000001</v>
      </c>
      <c r="AY110" s="120">
        <v>146</v>
      </c>
      <c r="AZ110" s="120">
        <v>2</v>
      </c>
      <c r="BA110" s="139">
        <v>4</v>
      </c>
      <c r="BB110" s="137"/>
      <c r="BC110" s="137"/>
      <c r="BD110" s="137" t="s">
        <v>576</v>
      </c>
      <c r="BE110" s="138"/>
      <c r="BF110" s="100">
        <v>11</v>
      </c>
      <c r="BG110" s="120">
        <v>3450</v>
      </c>
      <c r="BH110" s="120">
        <v>458</v>
      </c>
      <c r="BI110" s="151">
        <f t="shared" si="22"/>
        <v>549.6</v>
      </c>
      <c r="BJ110" s="459">
        <v>34</v>
      </c>
      <c r="BK110" s="150">
        <v>202000</v>
      </c>
      <c r="BL110" s="149">
        <v>5</v>
      </c>
      <c r="BM110" s="120">
        <v>2</v>
      </c>
      <c r="BN110" s="120">
        <v>2000</v>
      </c>
      <c r="BO110" s="120">
        <v>1460</v>
      </c>
      <c r="BP110" s="120">
        <v>4</v>
      </c>
      <c r="BQ110" s="202"/>
      <c r="BR110" s="202"/>
      <c r="BS110" s="202"/>
      <c r="BT110" s="202"/>
    </row>
    <row r="111" spans="1:72">
      <c r="A111" s="137"/>
      <c r="B111" s="137"/>
      <c r="C111" s="137"/>
      <c r="D111" s="133"/>
      <c r="E111" s="133"/>
      <c r="F111" s="133"/>
      <c r="G111" s="133"/>
      <c r="H111" s="133"/>
      <c r="I111" s="120"/>
      <c r="J111" s="133"/>
      <c r="K111" s="133"/>
      <c r="L111" s="133"/>
      <c r="M111" s="133"/>
      <c r="N111" s="133"/>
      <c r="O111" s="133"/>
      <c r="P111" s="133"/>
      <c r="Q111" s="133"/>
      <c r="R111" s="133"/>
      <c r="S111" s="133"/>
      <c r="T111" s="133"/>
      <c r="U111" s="133"/>
      <c r="V111" s="133"/>
      <c r="W111" s="133"/>
      <c r="X111" s="133"/>
      <c r="Y111" s="137"/>
      <c r="Z111" s="133"/>
      <c r="AA111" s="133"/>
      <c r="AB111" s="133"/>
      <c r="AC111" s="133"/>
      <c r="AD111" s="133"/>
      <c r="AE111" s="133"/>
      <c r="AF111" s="133"/>
      <c r="AG111" s="133"/>
      <c r="AH111" s="133"/>
      <c r="AI111" s="133"/>
      <c r="AJ111" s="137"/>
      <c r="AK111" s="133"/>
      <c r="AL111" s="133"/>
      <c r="AM111" s="137"/>
      <c r="AN111" s="137"/>
      <c r="AO111" s="137" t="s">
        <v>577</v>
      </c>
      <c r="AP111" s="138"/>
      <c r="AQ111" s="93">
        <v>12</v>
      </c>
      <c r="AR111" s="120">
        <v>1261</v>
      </c>
      <c r="AS111" s="120">
        <v>78</v>
      </c>
      <c r="AT111" s="151">
        <f t="shared" si="21"/>
        <v>140.4</v>
      </c>
      <c r="AU111" s="459">
        <v>24</v>
      </c>
      <c r="AV111" s="150">
        <v>4000000</v>
      </c>
      <c r="AW111" s="149">
        <v>2.75</v>
      </c>
      <c r="AX111" s="430">
        <v>0.34300000000000003</v>
      </c>
      <c r="AY111" s="120">
        <v>158</v>
      </c>
      <c r="AZ111" s="120">
        <v>2</v>
      </c>
      <c r="BA111" s="139">
        <v>4</v>
      </c>
      <c r="BB111" s="137"/>
      <c r="BC111" s="137"/>
      <c r="BD111" s="137" t="s">
        <v>578</v>
      </c>
      <c r="BE111" s="138"/>
      <c r="BF111" s="100">
        <v>12</v>
      </c>
      <c r="BG111" s="120">
        <v>3500</v>
      </c>
      <c r="BH111" s="120">
        <v>466</v>
      </c>
      <c r="BI111" s="151">
        <f t="shared" si="22"/>
        <v>559.19999999999993</v>
      </c>
      <c r="BJ111" s="459">
        <v>34</v>
      </c>
      <c r="BK111" s="150">
        <v>211000</v>
      </c>
      <c r="BL111" s="149">
        <v>5.5</v>
      </c>
      <c r="BM111" s="120">
        <v>2</v>
      </c>
      <c r="BN111" s="120">
        <v>2000</v>
      </c>
      <c r="BO111" s="120">
        <v>1460</v>
      </c>
      <c r="BP111" s="120">
        <v>4</v>
      </c>
      <c r="BQ111" s="202"/>
      <c r="BR111" s="202"/>
      <c r="BS111" s="202"/>
      <c r="BT111" s="202"/>
    </row>
    <row r="112" spans="1:72">
      <c r="A112" s="137"/>
      <c r="B112" s="137"/>
      <c r="C112" s="137"/>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7"/>
      <c r="Z112" s="133"/>
      <c r="AA112" s="133"/>
      <c r="AB112" s="133"/>
      <c r="AC112" s="133"/>
      <c r="AD112" s="133"/>
      <c r="AE112" s="133"/>
      <c r="AF112" s="133"/>
      <c r="AG112" s="133"/>
      <c r="AH112" s="133"/>
      <c r="AI112" s="133"/>
      <c r="AJ112" s="137"/>
      <c r="AK112" s="133"/>
      <c r="AL112" s="133"/>
      <c r="AM112" s="137"/>
      <c r="AN112" s="137"/>
      <c r="AO112" s="137" t="s">
        <v>579</v>
      </c>
      <c r="AP112" s="138"/>
      <c r="AQ112" s="93">
        <v>13</v>
      </c>
      <c r="AR112" s="120">
        <v>1290</v>
      </c>
      <c r="AS112" s="120">
        <v>82</v>
      </c>
      <c r="AT112" s="151">
        <f t="shared" si="21"/>
        <v>147.6</v>
      </c>
      <c r="AU112" s="459">
        <v>24</v>
      </c>
      <c r="AV112" s="150">
        <v>4400000</v>
      </c>
      <c r="AW112" s="149">
        <v>3.75</v>
      </c>
      <c r="AX112" s="430">
        <v>0.36099999999999999</v>
      </c>
      <c r="AY112" s="120">
        <v>171</v>
      </c>
      <c r="AZ112" s="120">
        <v>2</v>
      </c>
      <c r="BA112" s="139">
        <v>4</v>
      </c>
      <c r="BB112" s="137"/>
      <c r="BC112" s="137"/>
      <c r="BD112" s="137" t="s">
        <v>580</v>
      </c>
      <c r="BE112" s="138"/>
      <c r="BF112" s="100">
        <v>13</v>
      </c>
      <c r="BG112" s="120">
        <v>3550</v>
      </c>
      <c r="BH112" s="120">
        <v>474</v>
      </c>
      <c r="BI112" s="151">
        <f t="shared" si="22"/>
        <v>568.79999999999995</v>
      </c>
      <c r="BJ112" s="459">
        <v>34</v>
      </c>
      <c r="BK112" s="150">
        <v>216000</v>
      </c>
      <c r="BL112" s="149">
        <v>6</v>
      </c>
      <c r="BM112" s="120">
        <v>2</v>
      </c>
      <c r="BN112" s="120">
        <v>2000</v>
      </c>
      <c r="BO112" s="120">
        <v>1460</v>
      </c>
      <c r="BP112" s="120">
        <v>4</v>
      </c>
      <c r="BQ112" s="202"/>
      <c r="BR112" s="202"/>
      <c r="BS112" s="202"/>
      <c r="BT112" s="202"/>
    </row>
    <row r="113" spans="1:72">
      <c r="A113" s="137"/>
      <c r="B113" s="137"/>
      <c r="C113" s="137"/>
      <c r="D113" s="133"/>
      <c r="E113" s="133"/>
      <c r="F113" s="137" t="s">
        <v>581</v>
      </c>
      <c r="G113" s="202"/>
      <c r="H113" s="202"/>
      <c r="I113" s="202"/>
      <c r="J113" s="202"/>
      <c r="K113" s="202"/>
      <c r="L113" s="202"/>
      <c r="M113" s="202"/>
      <c r="N113" s="137"/>
      <c r="O113" s="137"/>
      <c r="P113" s="137" t="s">
        <v>582</v>
      </c>
      <c r="Q113" s="202"/>
      <c r="R113" s="202"/>
      <c r="S113" s="137"/>
      <c r="T113" s="137"/>
      <c r="U113" s="137"/>
      <c r="V113" s="137"/>
      <c r="W113" s="137"/>
      <c r="X113" s="137"/>
      <c r="Y113" s="137"/>
      <c r="Z113" s="137" t="s">
        <v>583</v>
      </c>
      <c r="AA113" s="202"/>
      <c r="AB113" s="137" t="s">
        <v>584</v>
      </c>
      <c r="AC113" s="137"/>
      <c r="AD113" s="137"/>
      <c r="AE113" s="137"/>
      <c r="AF113" s="137"/>
      <c r="AG113" s="137"/>
      <c r="AH113" s="137"/>
      <c r="AI113" s="137"/>
      <c r="AJ113" s="137"/>
      <c r="AK113" s="133"/>
      <c r="AL113" s="133"/>
      <c r="AM113" s="137"/>
      <c r="AN113" s="137"/>
      <c r="AO113" s="137" t="s">
        <v>585</v>
      </c>
      <c r="AP113" s="138"/>
      <c r="AQ113" s="93">
        <v>14</v>
      </c>
      <c r="AR113" s="120">
        <v>1320</v>
      </c>
      <c r="AS113" s="120">
        <v>86</v>
      </c>
      <c r="AT113" s="151">
        <f t="shared" si="21"/>
        <v>154.80000000000001</v>
      </c>
      <c r="AU113" s="459">
        <v>24</v>
      </c>
      <c r="AV113" s="150">
        <v>4900000</v>
      </c>
      <c r="AW113" s="149">
        <v>4.5</v>
      </c>
      <c r="AX113" s="430">
        <v>0.38</v>
      </c>
      <c r="AY113" s="120">
        <v>185</v>
      </c>
      <c r="AZ113" s="120">
        <v>2</v>
      </c>
      <c r="BA113" s="139">
        <v>4</v>
      </c>
      <c r="BB113" s="137"/>
      <c r="BC113" s="137"/>
      <c r="BD113" s="137" t="s">
        <v>586</v>
      </c>
      <c r="BE113" s="138"/>
      <c r="BF113" s="100">
        <v>14</v>
      </c>
      <c r="BG113" s="120">
        <v>3600</v>
      </c>
      <c r="BH113" s="120">
        <v>482</v>
      </c>
      <c r="BI113" s="151">
        <f t="shared" si="22"/>
        <v>578.4</v>
      </c>
      <c r="BJ113" s="459">
        <v>34</v>
      </c>
      <c r="BK113" s="150">
        <v>222000</v>
      </c>
      <c r="BL113" s="149">
        <v>6.5</v>
      </c>
      <c r="BM113" s="120">
        <v>2</v>
      </c>
      <c r="BN113" s="120">
        <v>2000</v>
      </c>
      <c r="BO113" s="120">
        <v>1460</v>
      </c>
      <c r="BP113" s="120">
        <v>4</v>
      </c>
      <c r="BQ113" s="202"/>
      <c r="BR113" s="202"/>
      <c r="BS113" s="202"/>
      <c r="BT113" s="202"/>
    </row>
    <row r="114" spans="1:72">
      <c r="A114" s="137"/>
      <c r="B114" s="137"/>
      <c r="C114" s="137"/>
      <c r="D114" s="133"/>
      <c r="E114" s="133"/>
      <c r="F114" s="134" t="s">
        <v>249</v>
      </c>
      <c r="G114" s="135"/>
      <c r="H114" s="136" t="s">
        <v>243</v>
      </c>
      <c r="I114" s="136" t="s">
        <v>244</v>
      </c>
      <c r="J114" s="136" t="s">
        <v>544</v>
      </c>
      <c r="K114" s="136" t="s">
        <v>250</v>
      </c>
      <c r="L114" s="136" t="s">
        <v>587</v>
      </c>
      <c r="M114" s="136" t="s">
        <v>548</v>
      </c>
      <c r="N114" s="202"/>
      <c r="O114" s="137"/>
      <c r="P114" s="134" t="s">
        <v>588</v>
      </c>
      <c r="Q114" s="135"/>
      <c r="R114" s="137"/>
      <c r="S114" s="137"/>
      <c r="T114" s="137"/>
      <c r="U114" s="137"/>
      <c r="V114" s="137"/>
      <c r="W114" s="137"/>
      <c r="X114" s="137"/>
      <c r="Y114" s="137"/>
      <c r="Z114" s="134" t="s">
        <v>589</v>
      </c>
      <c r="AA114" s="135"/>
      <c r="AB114" s="137"/>
      <c r="AC114" s="137"/>
      <c r="AD114" s="137"/>
      <c r="AE114" s="137"/>
      <c r="AF114" s="137"/>
      <c r="AG114" s="137"/>
      <c r="AH114" s="137"/>
      <c r="AI114" s="137"/>
      <c r="AJ114" s="137"/>
      <c r="AK114" s="133"/>
      <c r="AL114" s="133"/>
      <c r="AM114" s="137"/>
      <c r="AN114" s="137"/>
      <c r="AO114" s="137" t="s">
        <v>590</v>
      </c>
      <c r="AP114" s="138"/>
      <c r="AQ114" s="93">
        <v>15</v>
      </c>
      <c r="AR114" s="120">
        <v>1350</v>
      </c>
      <c r="AS114" s="120">
        <v>90</v>
      </c>
      <c r="AT114" s="151">
        <f t="shared" si="21"/>
        <v>162</v>
      </c>
      <c r="AU114" s="459">
        <v>26</v>
      </c>
      <c r="AV114" s="150">
        <v>5300000</v>
      </c>
      <c r="AW114" s="149">
        <v>5.5</v>
      </c>
      <c r="AX114" s="430">
        <v>0.4</v>
      </c>
      <c r="AY114" s="120">
        <v>200</v>
      </c>
      <c r="AZ114" s="120">
        <v>3</v>
      </c>
      <c r="BA114" s="139">
        <v>4.5</v>
      </c>
      <c r="BB114" s="137"/>
      <c r="BC114" s="137"/>
      <c r="BD114" s="137" t="s">
        <v>591</v>
      </c>
      <c r="BE114" s="138"/>
      <c r="BF114" s="100">
        <v>15</v>
      </c>
      <c r="BG114" s="120">
        <v>3650</v>
      </c>
      <c r="BH114" s="120">
        <v>490</v>
      </c>
      <c r="BI114" s="151">
        <f t="shared" si="22"/>
        <v>588</v>
      </c>
      <c r="BJ114" s="459">
        <v>36</v>
      </c>
      <c r="BK114" s="150">
        <v>228000</v>
      </c>
      <c r="BL114" s="149">
        <v>6.5</v>
      </c>
      <c r="BM114" s="120">
        <v>3</v>
      </c>
      <c r="BN114" s="120">
        <v>2300</v>
      </c>
      <c r="BO114" s="120">
        <v>1660</v>
      </c>
      <c r="BP114" s="120">
        <v>4</v>
      </c>
      <c r="BQ114" s="202"/>
      <c r="BR114" s="202"/>
      <c r="BS114" s="202"/>
      <c r="BT114" s="202"/>
    </row>
    <row r="115" spans="1:72">
      <c r="A115" s="137"/>
      <c r="B115" s="137"/>
      <c r="C115" s="137"/>
      <c r="D115" s="133"/>
      <c r="E115" s="133"/>
      <c r="F115" s="137" t="s">
        <v>349</v>
      </c>
      <c r="G115" s="138"/>
      <c r="H115" s="90">
        <v>1</v>
      </c>
      <c r="I115" s="120">
        <v>1020</v>
      </c>
      <c r="J115" s="120">
        <v>7</v>
      </c>
      <c r="K115" s="120">
        <f>J115*3</f>
        <v>21</v>
      </c>
      <c r="L115" s="120">
        <v>70</v>
      </c>
      <c r="M115" s="120">
        <v>2</v>
      </c>
      <c r="N115" s="202"/>
      <c r="O115" s="137"/>
      <c r="P115" s="140" t="s">
        <v>592</v>
      </c>
      <c r="Q115" s="143"/>
      <c r="R115" s="137"/>
      <c r="S115" s="137"/>
      <c r="T115" s="137"/>
      <c r="U115" s="137"/>
      <c r="V115" s="137"/>
      <c r="W115" s="137"/>
      <c r="X115" s="137"/>
      <c r="Y115" s="137"/>
      <c r="Z115" s="140" t="s">
        <v>593</v>
      </c>
      <c r="AA115" s="143"/>
      <c r="AB115" s="137"/>
      <c r="AC115" s="137"/>
      <c r="AD115" s="137"/>
      <c r="AE115" s="137"/>
      <c r="AF115" s="137"/>
      <c r="AG115" s="137"/>
      <c r="AH115" s="137"/>
      <c r="AI115" s="137"/>
      <c r="AJ115" s="137"/>
      <c r="AK115" s="133"/>
      <c r="AL115" s="133"/>
      <c r="AM115" s="137"/>
      <c r="AN115" s="137"/>
      <c r="AO115" s="137" t="s">
        <v>594</v>
      </c>
      <c r="AP115" s="138"/>
      <c r="AQ115" s="93">
        <v>16</v>
      </c>
      <c r="AR115" s="120">
        <v>1380</v>
      </c>
      <c r="AS115" s="120">
        <v>94</v>
      </c>
      <c r="AT115" s="151">
        <f t="shared" si="21"/>
        <v>169.20000000000002</v>
      </c>
      <c r="AU115" s="459">
        <v>26</v>
      </c>
      <c r="AV115" s="150">
        <v>5700000</v>
      </c>
      <c r="AW115" s="149">
        <v>6.25</v>
      </c>
      <c r="AX115" s="430">
        <v>0.42</v>
      </c>
      <c r="AY115" s="120">
        <v>215</v>
      </c>
      <c r="AZ115" s="120">
        <v>3</v>
      </c>
      <c r="BA115" s="139">
        <v>4.5</v>
      </c>
      <c r="BB115" s="137"/>
      <c r="BC115" s="137"/>
      <c r="BD115" s="137" t="s">
        <v>595</v>
      </c>
      <c r="BE115" s="138"/>
      <c r="BF115" s="100">
        <v>16</v>
      </c>
      <c r="BG115" s="120">
        <v>3700</v>
      </c>
      <c r="BH115" s="120">
        <v>498</v>
      </c>
      <c r="BI115" s="151">
        <f t="shared" si="22"/>
        <v>597.6</v>
      </c>
      <c r="BJ115" s="459">
        <v>36</v>
      </c>
      <c r="BK115" s="150">
        <v>234000</v>
      </c>
      <c r="BL115" s="149">
        <v>6.75</v>
      </c>
      <c r="BM115" s="120">
        <v>3</v>
      </c>
      <c r="BN115" s="120">
        <v>2300</v>
      </c>
      <c r="BO115" s="120">
        <v>1660</v>
      </c>
      <c r="BP115" s="120">
        <v>4</v>
      </c>
      <c r="BQ115" s="202"/>
      <c r="BR115" s="202"/>
      <c r="BS115" s="202"/>
      <c r="BT115" s="202"/>
    </row>
    <row r="116" spans="1:72">
      <c r="A116" s="137"/>
      <c r="B116" s="137"/>
      <c r="C116" s="137"/>
      <c r="D116" s="386"/>
      <c r="E116" s="386"/>
      <c r="F116" s="137" t="s">
        <v>356</v>
      </c>
      <c r="G116" s="138"/>
      <c r="H116" s="90">
        <v>2</v>
      </c>
      <c r="I116" s="120">
        <v>1080</v>
      </c>
      <c r="J116" s="120">
        <v>8</v>
      </c>
      <c r="K116" s="120">
        <f t="shared" ref="K116:K125" si="23">J116*3</f>
        <v>24</v>
      </c>
      <c r="L116" s="120">
        <v>80</v>
      </c>
      <c r="M116" s="120">
        <v>2</v>
      </c>
      <c r="N116" s="202"/>
      <c r="O116" s="137"/>
      <c r="P116" s="134" t="s">
        <v>242</v>
      </c>
      <c r="Q116" s="135"/>
      <c r="R116" s="137"/>
      <c r="S116" s="137"/>
      <c r="T116" s="137"/>
      <c r="U116" s="137"/>
      <c r="V116" s="137"/>
      <c r="W116" s="137"/>
      <c r="X116" s="137"/>
      <c r="Y116" s="137"/>
      <c r="Z116" s="134" t="s">
        <v>248</v>
      </c>
      <c r="AA116" s="135"/>
      <c r="AB116" s="137"/>
      <c r="AC116" s="137"/>
      <c r="AD116" s="137"/>
      <c r="AE116" s="137"/>
      <c r="AF116" s="137"/>
      <c r="AG116" s="137"/>
      <c r="AH116" s="137"/>
      <c r="AI116" s="137"/>
      <c r="AJ116" s="137"/>
      <c r="AK116" s="133"/>
      <c r="AL116" s="133"/>
      <c r="AM116" s="137"/>
      <c r="AN116" s="137"/>
      <c r="AO116" s="137" t="s">
        <v>596</v>
      </c>
      <c r="AP116" s="138"/>
      <c r="AQ116" s="93">
        <v>17</v>
      </c>
      <c r="AR116" s="120">
        <v>1410</v>
      </c>
      <c r="AS116" s="120">
        <v>98</v>
      </c>
      <c r="AT116" s="151">
        <f t="shared" si="21"/>
        <v>176.4</v>
      </c>
      <c r="AU116" s="459">
        <v>26</v>
      </c>
      <c r="AV116" s="150">
        <v>6200000</v>
      </c>
      <c r="AW116" s="149">
        <v>6.25</v>
      </c>
      <c r="AX116" s="430">
        <v>0.44</v>
      </c>
      <c r="AY116" s="120">
        <v>230</v>
      </c>
      <c r="AZ116" s="120">
        <v>3</v>
      </c>
      <c r="BA116" s="139">
        <v>4.5</v>
      </c>
      <c r="BB116" s="137"/>
      <c r="BC116" s="137"/>
      <c r="BD116" s="137" t="s">
        <v>597</v>
      </c>
      <c r="BE116" s="138"/>
      <c r="BF116" s="100">
        <v>17</v>
      </c>
      <c r="BG116" s="120">
        <v>3750</v>
      </c>
      <c r="BH116" s="120">
        <v>506</v>
      </c>
      <c r="BI116" s="151">
        <f t="shared" si="22"/>
        <v>607.19999999999993</v>
      </c>
      <c r="BJ116" s="459">
        <v>36</v>
      </c>
      <c r="BK116" s="150">
        <v>239000</v>
      </c>
      <c r="BL116" s="149">
        <v>6.75</v>
      </c>
      <c r="BM116" s="120">
        <v>3</v>
      </c>
      <c r="BN116" s="120">
        <v>2300</v>
      </c>
      <c r="BO116" s="120">
        <v>1660</v>
      </c>
      <c r="BP116" s="120">
        <v>4</v>
      </c>
      <c r="BQ116" s="202"/>
      <c r="BR116" s="202"/>
      <c r="BS116" s="202"/>
      <c r="BT116" s="202"/>
    </row>
    <row r="117" spans="1:72">
      <c r="A117" s="137"/>
      <c r="B117" s="137"/>
      <c r="C117" s="137"/>
      <c r="D117" s="386"/>
      <c r="E117" s="386"/>
      <c r="F117" s="140" t="s">
        <v>281</v>
      </c>
      <c r="G117" s="143"/>
      <c r="H117" s="91">
        <v>3</v>
      </c>
      <c r="I117" s="120">
        <v>1140</v>
      </c>
      <c r="J117" s="120">
        <v>9</v>
      </c>
      <c r="K117" s="120">
        <f t="shared" si="23"/>
        <v>27</v>
      </c>
      <c r="L117" s="120">
        <v>90</v>
      </c>
      <c r="M117" s="120">
        <v>2</v>
      </c>
      <c r="N117" s="202"/>
      <c r="O117" s="137"/>
      <c r="P117" s="137" t="s">
        <v>258</v>
      </c>
      <c r="Q117" s="138"/>
      <c r="R117" s="137"/>
      <c r="S117" s="137"/>
      <c r="T117" s="137"/>
      <c r="U117" s="137"/>
      <c r="V117" s="137"/>
      <c r="W117" s="137"/>
      <c r="X117" s="137"/>
      <c r="Y117" s="137"/>
      <c r="Z117" s="137" t="s">
        <v>444</v>
      </c>
      <c r="AA117" s="138"/>
      <c r="AB117" s="137"/>
      <c r="AC117" s="137"/>
      <c r="AD117" s="137"/>
      <c r="AE117" s="137"/>
      <c r="AF117" s="137"/>
      <c r="AG117" s="137"/>
      <c r="AH117" s="137"/>
      <c r="AI117" s="137"/>
      <c r="AJ117" s="386"/>
      <c r="AK117" s="133"/>
      <c r="AL117" s="133"/>
      <c r="AM117" s="137"/>
      <c r="AN117" s="137"/>
      <c r="AO117" s="137" t="s">
        <v>598</v>
      </c>
      <c r="AP117" s="138"/>
      <c r="AQ117" s="93">
        <v>18</v>
      </c>
      <c r="AR117" s="120">
        <v>1440</v>
      </c>
      <c r="AS117" s="120">
        <v>102</v>
      </c>
      <c r="AT117" s="151">
        <f t="shared" si="21"/>
        <v>183.6</v>
      </c>
      <c r="AU117" s="459">
        <v>26</v>
      </c>
      <c r="AV117" s="150">
        <v>6600000</v>
      </c>
      <c r="AW117" s="149">
        <v>6.25</v>
      </c>
      <c r="AX117" s="430">
        <v>0.46</v>
      </c>
      <c r="AY117" s="120">
        <v>245</v>
      </c>
      <c r="AZ117" s="120">
        <v>3</v>
      </c>
      <c r="BA117" s="139">
        <v>4.5</v>
      </c>
      <c r="BB117" s="137"/>
      <c r="BC117" s="137"/>
      <c r="BD117" s="137" t="s">
        <v>599</v>
      </c>
      <c r="BE117" s="138"/>
      <c r="BF117" s="100">
        <v>18</v>
      </c>
      <c r="BG117" s="120">
        <v>3800</v>
      </c>
      <c r="BH117" s="120">
        <v>514</v>
      </c>
      <c r="BI117" s="151">
        <f t="shared" si="22"/>
        <v>616.79999999999995</v>
      </c>
      <c r="BJ117" s="459">
        <v>36</v>
      </c>
      <c r="BK117" s="150">
        <v>245000</v>
      </c>
      <c r="BL117" s="149">
        <v>6.75</v>
      </c>
      <c r="BM117" s="120">
        <v>3</v>
      </c>
      <c r="BN117" s="120">
        <v>2300</v>
      </c>
      <c r="BO117" s="120">
        <v>1660</v>
      </c>
      <c r="BP117" s="120">
        <v>4</v>
      </c>
      <c r="BQ117" s="202"/>
      <c r="BR117" s="202"/>
      <c r="BS117" s="202"/>
      <c r="BT117" s="202"/>
    </row>
    <row r="118" spans="1:72">
      <c r="A118" s="137"/>
      <c r="B118" s="137"/>
      <c r="C118" s="137"/>
      <c r="D118" s="386"/>
      <c r="E118" s="386"/>
      <c r="F118" s="134" t="s">
        <v>287</v>
      </c>
      <c r="G118" s="135"/>
      <c r="H118" s="91">
        <v>4</v>
      </c>
      <c r="I118" s="120">
        <v>1200</v>
      </c>
      <c r="J118" s="120">
        <v>10</v>
      </c>
      <c r="K118" s="120">
        <f t="shared" si="23"/>
        <v>30</v>
      </c>
      <c r="L118" s="120">
        <v>100</v>
      </c>
      <c r="M118" s="120">
        <v>2</v>
      </c>
      <c r="N118" s="202"/>
      <c r="O118" s="137"/>
      <c r="P118" s="137" t="s">
        <v>272</v>
      </c>
      <c r="Q118" s="138"/>
      <c r="R118" s="137"/>
      <c r="S118" s="137"/>
      <c r="T118" s="137"/>
      <c r="U118" s="137"/>
      <c r="V118" s="137"/>
      <c r="W118" s="137"/>
      <c r="X118" s="137"/>
      <c r="Y118" s="137"/>
      <c r="Z118" s="137" t="s">
        <v>272</v>
      </c>
      <c r="AA118" s="138"/>
      <c r="AB118" s="137"/>
      <c r="AC118" s="137"/>
      <c r="AD118" s="137"/>
      <c r="AE118" s="137"/>
      <c r="AF118" s="137"/>
      <c r="AG118" s="137"/>
      <c r="AH118" s="137"/>
      <c r="AI118" s="137"/>
      <c r="AJ118" s="386"/>
      <c r="AK118" s="133"/>
      <c r="AL118" s="133"/>
      <c r="AM118" s="137"/>
      <c r="AN118" s="137"/>
      <c r="AO118" s="137" t="s">
        <v>600</v>
      </c>
      <c r="AP118" s="138"/>
      <c r="AQ118" s="93">
        <v>19</v>
      </c>
      <c r="AR118" s="120">
        <v>1470</v>
      </c>
      <c r="AS118" s="120">
        <v>106</v>
      </c>
      <c r="AT118" s="151">
        <f t="shared" si="21"/>
        <v>190.8</v>
      </c>
      <c r="AU118" s="459">
        <v>26</v>
      </c>
      <c r="AV118" s="150">
        <v>7100000</v>
      </c>
      <c r="AW118" s="149">
        <v>6.25</v>
      </c>
      <c r="AX118" s="430">
        <v>0.48</v>
      </c>
      <c r="AY118" s="120">
        <v>260</v>
      </c>
      <c r="AZ118" s="120">
        <v>3</v>
      </c>
      <c r="BA118" s="139">
        <v>4.5</v>
      </c>
      <c r="BB118" s="137"/>
      <c r="BC118" s="137"/>
      <c r="BD118" s="137" t="s">
        <v>601</v>
      </c>
      <c r="BE118" s="138"/>
      <c r="BF118" s="100">
        <v>19</v>
      </c>
      <c r="BG118" s="120">
        <v>3850</v>
      </c>
      <c r="BH118" s="120">
        <v>522</v>
      </c>
      <c r="BI118" s="151">
        <f t="shared" si="22"/>
        <v>626.4</v>
      </c>
      <c r="BJ118" s="459">
        <v>36</v>
      </c>
      <c r="BK118" s="150">
        <v>251000</v>
      </c>
      <c r="BL118" s="149">
        <v>6.75</v>
      </c>
      <c r="BM118" s="120">
        <v>3</v>
      </c>
      <c r="BN118" s="120">
        <v>2300</v>
      </c>
      <c r="BO118" s="120">
        <v>1660</v>
      </c>
      <c r="BP118" s="120">
        <v>4</v>
      </c>
      <c r="BQ118" s="202"/>
      <c r="BR118" s="202"/>
      <c r="BS118" s="202"/>
      <c r="BT118" s="202"/>
    </row>
    <row r="119" spans="1:72">
      <c r="A119" s="137"/>
      <c r="B119" s="137"/>
      <c r="C119" s="137"/>
      <c r="D119" s="137"/>
      <c r="E119" s="137"/>
      <c r="F119" s="137" t="s">
        <v>381</v>
      </c>
      <c r="G119" s="138"/>
      <c r="H119" s="92">
        <v>5</v>
      </c>
      <c r="I119" s="120">
        <v>1260</v>
      </c>
      <c r="J119" s="120">
        <v>11</v>
      </c>
      <c r="K119" s="120">
        <f t="shared" si="23"/>
        <v>33</v>
      </c>
      <c r="L119" s="120">
        <v>110</v>
      </c>
      <c r="M119" s="120">
        <v>2</v>
      </c>
      <c r="N119" s="202"/>
      <c r="O119" s="137"/>
      <c r="P119" s="140" t="s">
        <v>280</v>
      </c>
      <c r="Q119" s="143"/>
      <c r="R119" s="137"/>
      <c r="S119" s="137"/>
      <c r="T119" s="137"/>
      <c r="U119" s="137"/>
      <c r="V119" s="137"/>
      <c r="W119" s="137"/>
      <c r="X119" s="137"/>
      <c r="Y119" s="137"/>
      <c r="Z119" s="140" t="s">
        <v>360</v>
      </c>
      <c r="AA119" s="143"/>
      <c r="AB119" s="137"/>
      <c r="AC119" s="137"/>
      <c r="AD119" s="137"/>
      <c r="AE119" s="137"/>
      <c r="AF119" s="137"/>
      <c r="AG119" s="137"/>
      <c r="AH119" s="137"/>
      <c r="AI119" s="137"/>
      <c r="AJ119" s="386"/>
      <c r="AK119" s="133"/>
      <c r="AL119" s="133"/>
      <c r="AM119" s="137"/>
      <c r="AN119" s="137"/>
      <c r="AO119" s="137" t="s">
        <v>602</v>
      </c>
      <c r="AP119" s="138"/>
      <c r="AQ119" s="93">
        <v>20</v>
      </c>
      <c r="AR119" s="120">
        <v>1500</v>
      </c>
      <c r="AS119" s="120">
        <v>110</v>
      </c>
      <c r="AT119" s="461">
        <f t="shared" si="21"/>
        <v>198</v>
      </c>
      <c r="AU119" s="459">
        <v>28</v>
      </c>
      <c r="AV119" s="463">
        <v>7900000</v>
      </c>
      <c r="AW119" s="149">
        <v>6.25</v>
      </c>
      <c r="AX119" s="430">
        <v>0.5</v>
      </c>
      <c r="AY119" s="120">
        <v>275</v>
      </c>
      <c r="AZ119" s="120">
        <v>4</v>
      </c>
      <c r="BA119" s="139">
        <v>5</v>
      </c>
      <c r="BB119" s="137"/>
      <c r="BC119" s="137"/>
      <c r="BD119" s="49" t="s">
        <v>603</v>
      </c>
      <c r="BE119" s="138"/>
      <c r="BF119" s="100">
        <v>20</v>
      </c>
      <c r="BG119" s="120">
        <v>3900</v>
      </c>
      <c r="BH119" s="120">
        <v>530</v>
      </c>
      <c r="BI119" s="151">
        <f t="shared" si="22"/>
        <v>636</v>
      </c>
      <c r="BJ119" s="459">
        <v>38</v>
      </c>
      <c r="BK119" s="150">
        <v>257000</v>
      </c>
      <c r="BL119" s="149">
        <v>6.75</v>
      </c>
      <c r="BM119" s="120">
        <v>4</v>
      </c>
      <c r="BN119" s="120">
        <v>2600</v>
      </c>
      <c r="BO119" s="120">
        <v>1860</v>
      </c>
      <c r="BP119" s="120">
        <v>4</v>
      </c>
      <c r="BQ119" s="202"/>
      <c r="BR119" s="202"/>
      <c r="BS119" s="202"/>
      <c r="BT119" s="202"/>
    </row>
    <row r="120" spans="1:72">
      <c r="A120" s="137"/>
      <c r="B120" s="137"/>
      <c r="C120" s="137"/>
      <c r="D120" s="137"/>
      <c r="E120" s="137"/>
      <c r="F120" s="137" t="s">
        <v>604</v>
      </c>
      <c r="G120" s="138"/>
      <c r="H120" s="93">
        <v>6</v>
      </c>
      <c r="I120" s="120">
        <v>1320</v>
      </c>
      <c r="J120" s="120">
        <v>12</v>
      </c>
      <c r="K120" s="120">
        <f t="shared" si="23"/>
        <v>36</v>
      </c>
      <c r="L120" s="120">
        <v>120</v>
      </c>
      <c r="M120" s="120">
        <v>2</v>
      </c>
      <c r="N120" s="202"/>
      <c r="O120" s="386"/>
      <c r="P120" s="134" t="s">
        <v>287</v>
      </c>
      <c r="Q120" s="432"/>
      <c r="R120" s="386"/>
      <c r="S120" s="386"/>
      <c r="T120" s="386"/>
      <c r="U120" s="386"/>
      <c r="V120" s="386"/>
      <c r="W120" s="386"/>
      <c r="X120" s="386"/>
      <c r="Y120" s="137"/>
      <c r="Z120" s="134" t="s">
        <v>287</v>
      </c>
      <c r="AA120" s="432"/>
      <c r="AB120" s="386"/>
      <c r="AC120" s="386"/>
      <c r="AD120" s="386"/>
      <c r="AE120" s="386"/>
      <c r="AF120" s="386"/>
      <c r="AG120" s="386"/>
      <c r="AH120" s="386"/>
      <c r="AI120" s="386"/>
      <c r="AJ120" s="137"/>
      <c r="AK120" s="133"/>
      <c r="AL120" s="133"/>
      <c r="AM120" s="137"/>
      <c r="AN120" s="137"/>
      <c r="AO120" s="137" t="s">
        <v>605</v>
      </c>
      <c r="AP120" s="138"/>
      <c r="AQ120" s="94">
        <v>21</v>
      </c>
      <c r="AR120" s="477">
        <v>1530</v>
      </c>
      <c r="AS120" s="477">
        <v>115</v>
      </c>
      <c r="AT120" s="464">
        <f t="shared" si="21"/>
        <v>207</v>
      </c>
      <c r="AU120" s="478">
        <v>28</v>
      </c>
      <c r="AV120" s="466">
        <v>8800000</v>
      </c>
      <c r="AW120" s="479">
        <v>6.25</v>
      </c>
      <c r="AX120" s="480">
        <v>0.52</v>
      </c>
      <c r="AY120" s="477">
        <v>290</v>
      </c>
      <c r="AZ120" s="477">
        <v>4</v>
      </c>
      <c r="BA120" s="481">
        <v>5</v>
      </c>
      <c r="BB120" s="137"/>
      <c r="BC120" s="137"/>
      <c r="BD120" s="137" t="s">
        <v>606</v>
      </c>
      <c r="BE120" s="138"/>
      <c r="BF120" s="100">
        <v>21</v>
      </c>
      <c r="BG120" s="120">
        <v>3940</v>
      </c>
      <c r="BH120" s="120">
        <v>535</v>
      </c>
      <c r="BI120" s="151">
        <f t="shared" si="22"/>
        <v>642</v>
      </c>
      <c r="BJ120" s="459">
        <v>38</v>
      </c>
      <c r="BK120" s="150">
        <v>262000</v>
      </c>
      <c r="BL120" s="149">
        <v>7.25</v>
      </c>
      <c r="BM120" s="120">
        <v>4</v>
      </c>
      <c r="BN120" s="120">
        <v>2600</v>
      </c>
      <c r="BO120" s="120">
        <v>1860</v>
      </c>
      <c r="BP120" s="120">
        <v>4</v>
      </c>
      <c r="BQ120" s="202"/>
      <c r="BR120" s="202"/>
      <c r="BS120" s="202"/>
      <c r="BT120" s="202"/>
    </row>
    <row r="121" spans="1:72">
      <c r="A121" s="137"/>
      <c r="B121" s="137"/>
      <c r="C121" s="137"/>
      <c r="D121" s="137"/>
      <c r="E121" s="137"/>
      <c r="F121" s="95" t="s">
        <v>607</v>
      </c>
      <c r="G121" s="138"/>
      <c r="H121" s="93">
        <v>7</v>
      </c>
      <c r="I121" s="120">
        <v>1380</v>
      </c>
      <c r="J121" s="120">
        <v>13</v>
      </c>
      <c r="K121" s="120">
        <f t="shared" si="23"/>
        <v>39</v>
      </c>
      <c r="L121" s="120">
        <v>130</v>
      </c>
      <c r="M121" s="120">
        <v>2</v>
      </c>
      <c r="N121" s="202"/>
      <c r="O121" s="386"/>
      <c r="P121" s="137" t="s">
        <v>305</v>
      </c>
      <c r="Q121" s="433"/>
      <c r="R121" s="386"/>
      <c r="S121" s="386"/>
      <c r="T121" s="386"/>
      <c r="U121" s="386"/>
      <c r="V121" s="386"/>
      <c r="W121" s="386"/>
      <c r="X121" s="386"/>
      <c r="Y121" s="137"/>
      <c r="Z121" s="137" t="s">
        <v>385</v>
      </c>
      <c r="AA121" s="433"/>
      <c r="AB121" s="386"/>
      <c r="AC121" s="386"/>
      <c r="AD121" s="386"/>
      <c r="AE121" s="386"/>
      <c r="AF121" s="386"/>
      <c r="AG121" s="386"/>
      <c r="AH121" s="386"/>
      <c r="AI121" s="386"/>
      <c r="AJ121" s="137"/>
      <c r="AK121" s="133"/>
      <c r="AL121" s="133"/>
      <c r="AM121" s="137"/>
      <c r="AN121" s="137"/>
      <c r="AO121" s="137" t="s">
        <v>608</v>
      </c>
      <c r="AP121" s="138"/>
      <c r="AQ121" s="94">
        <v>22</v>
      </c>
      <c r="AR121" s="120">
        <v>1561</v>
      </c>
      <c r="AS121" s="120">
        <v>120</v>
      </c>
      <c r="AT121" s="151">
        <f t="shared" si="21"/>
        <v>216</v>
      </c>
      <c r="AU121" s="459">
        <v>28</v>
      </c>
      <c r="AV121" s="150">
        <v>8900000</v>
      </c>
      <c r="AW121" s="149">
        <v>6.25</v>
      </c>
      <c r="AX121" s="430">
        <v>0.54</v>
      </c>
      <c r="AY121" s="120">
        <v>305</v>
      </c>
      <c r="AZ121" s="120">
        <v>4</v>
      </c>
      <c r="BA121" s="139">
        <v>5</v>
      </c>
      <c r="BB121" s="137"/>
      <c r="BC121" s="137"/>
      <c r="BD121" s="137"/>
      <c r="BE121" s="138"/>
      <c r="BF121" s="100">
        <v>22</v>
      </c>
      <c r="BG121" s="120">
        <v>3980</v>
      </c>
      <c r="BH121" s="120">
        <v>540</v>
      </c>
      <c r="BI121" s="151">
        <f t="shared" si="22"/>
        <v>648</v>
      </c>
      <c r="BJ121" s="459">
        <v>38</v>
      </c>
      <c r="BK121" s="150">
        <v>267000</v>
      </c>
      <c r="BL121" s="149">
        <v>7.25</v>
      </c>
      <c r="BM121" s="120">
        <v>4</v>
      </c>
      <c r="BN121" s="120">
        <v>2600</v>
      </c>
      <c r="BO121" s="120">
        <v>1860</v>
      </c>
      <c r="BP121" s="120">
        <v>4</v>
      </c>
      <c r="BQ121" s="202"/>
      <c r="BR121" s="202"/>
      <c r="BS121" s="202"/>
      <c r="BT121" s="202"/>
    </row>
    <row r="122" spans="1:72">
      <c r="A122" s="137"/>
      <c r="B122" s="137"/>
      <c r="C122" s="137"/>
      <c r="D122" s="137"/>
      <c r="E122" s="137"/>
      <c r="F122" s="137"/>
      <c r="G122" s="138"/>
      <c r="H122" s="94">
        <v>8</v>
      </c>
      <c r="I122" s="120">
        <v>1440</v>
      </c>
      <c r="J122" s="120">
        <v>14</v>
      </c>
      <c r="K122" s="120">
        <f t="shared" si="23"/>
        <v>42</v>
      </c>
      <c r="L122" s="120">
        <v>140</v>
      </c>
      <c r="M122" s="120">
        <v>3</v>
      </c>
      <c r="N122" s="202"/>
      <c r="O122" s="386"/>
      <c r="P122" s="95" t="s">
        <v>323</v>
      </c>
      <c r="Q122" s="433"/>
      <c r="R122" s="386"/>
      <c r="S122" s="386"/>
      <c r="T122" s="386"/>
      <c r="U122" s="386"/>
      <c r="V122" s="386"/>
      <c r="W122" s="386"/>
      <c r="X122" s="386"/>
      <c r="Y122" s="137"/>
      <c r="Z122" s="95" t="s">
        <v>323</v>
      </c>
      <c r="AA122" s="386"/>
      <c r="AB122" s="474"/>
      <c r="AC122" s="386"/>
      <c r="AD122" s="386"/>
      <c r="AE122" s="386"/>
      <c r="AF122" s="386"/>
      <c r="AG122" s="386"/>
      <c r="AH122" s="386"/>
      <c r="AI122" s="386"/>
      <c r="AJ122" s="137"/>
      <c r="AK122" s="133"/>
      <c r="AL122" s="133"/>
      <c r="AM122" s="137"/>
      <c r="AN122" s="137"/>
      <c r="AO122" s="137" t="s">
        <v>609</v>
      </c>
      <c r="AP122" s="138"/>
      <c r="AQ122" s="94">
        <v>23</v>
      </c>
      <c r="AR122" s="120">
        <v>1593</v>
      </c>
      <c r="AS122" s="120">
        <v>125</v>
      </c>
      <c r="AT122" s="151">
        <f t="shared" si="21"/>
        <v>225</v>
      </c>
      <c r="AU122" s="459">
        <v>28</v>
      </c>
      <c r="AV122" s="150">
        <v>9000000</v>
      </c>
      <c r="AW122" s="149">
        <v>6.25</v>
      </c>
      <c r="AX122" s="430">
        <v>0.56000000000000005</v>
      </c>
      <c r="AY122" s="120">
        <v>320</v>
      </c>
      <c r="AZ122" s="120">
        <v>4</v>
      </c>
      <c r="BA122" s="139">
        <v>5</v>
      </c>
      <c r="BB122" s="137"/>
      <c r="BC122" s="137"/>
      <c r="BD122" s="137"/>
      <c r="BE122" s="138"/>
      <c r="BF122" s="100">
        <v>23</v>
      </c>
      <c r="BG122" s="120">
        <v>4020</v>
      </c>
      <c r="BH122" s="120">
        <v>545</v>
      </c>
      <c r="BI122" s="151">
        <f t="shared" si="22"/>
        <v>654</v>
      </c>
      <c r="BJ122" s="459">
        <v>38</v>
      </c>
      <c r="BK122" s="150">
        <v>272000</v>
      </c>
      <c r="BL122" s="149">
        <v>7.25</v>
      </c>
      <c r="BM122" s="120">
        <v>4</v>
      </c>
      <c r="BN122" s="120">
        <v>2600</v>
      </c>
      <c r="BO122" s="120">
        <v>1860</v>
      </c>
      <c r="BP122" s="120">
        <v>4</v>
      </c>
      <c r="BQ122" s="202"/>
      <c r="BR122" s="202"/>
      <c r="BS122" s="202"/>
      <c r="BT122" s="202"/>
    </row>
    <row r="123" spans="1:72">
      <c r="A123" s="137"/>
      <c r="B123" s="137"/>
      <c r="C123" s="137"/>
      <c r="D123" s="137"/>
      <c r="E123" s="137"/>
      <c r="F123" s="137"/>
      <c r="G123" s="138"/>
      <c r="H123" s="94">
        <v>9</v>
      </c>
      <c r="I123" s="120">
        <v>1500</v>
      </c>
      <c r="J123" s="120">
        <v>15</v>
      </c>
      <c r="K123" s="120">
        <f t="shared" si="23"/>
        <v>45</v>
      </c>
      <c r="L123" s="120">
        <v>150</v>
      </c>
      <c r="M123" s="120">
        <v>3</v>
      </c>
      <c r="N123" s="137"/>
      <c r="O123" s="137"/>
      <c r="P123" s="137"/>
      <c r="Q123" s="137"/>
      <c r="R123" s="137"/>
      <c r="S123" s="137"/>
      <c r="T123" s="137"/>
      <c r="U123" s="137"/>
      <c r="V123" s="137"/>
      <c r="W123" s="137"/>
      <c r="X123" s="137"/>
      <c r="Y123" s="137"/>
      <c r="Z123" s="137"/>
      <c r="AA123" s="137"/>
      <c r="AB123" s="137"/>
      <c r="AC123" s="137"/>
      <c r="AD123" s="137"/>
      <c r="AE123" s="137"/>
      <c r="AF123" s="137"/>
      <c r="AG123" s="137"/>
      <c r="AH123" s="137"/>
      <c r="AI123" s="137"/>
      <c r="AJ123" s="137"/>
      <c r="AK123" s="133"/>
      <c r="AL123" s="133"/>
      <c r="AM123" s="137"/>
      <c r="AN123" s="137"/>
      <c r="AO123" s="137" t="s">
        <v>610</v>
      </c>
      <c r="AP123" s="138"/>
      <c r="AQ123" s="94">
        <v>24</v>
      </c>
      <c r="AR123" s="120">
        <v>1625</v>
      </c>
      <c r="AS123" s="120">
        <v>130</v>
      </c>
      <c r="AT123" s="151">
        <f t="shared" si="21"/>
        <v>234</v>
      </c>
      <c r="AU123" s="459">
        <v>28</v>
      </c>
      <c r="AV123" s="150">
        <v>9100000</v>
      </c>
      <c r="AW123" s="149">
        <v>6.25</v>
      </c>
      <c r="AX123" s="430">
        <v>0.57999999999999996</v>
      </c>
      <c r="AY123" s="120">
        <v>335</v>
      </c>
      <c r="AZ123" s="120">
        <v>4</v>
      </c>
      <c r="BA123" s="139">
        <v>5</v>
      </c>
      <c r="BB123" s="137"/>
      <c r="BC123" s="137"/>
      <c r="BD123" s="137"/>
      <c r="BE123" s="138"/>
      <c r="BF123" s="100">
        <v>24</v>
      </c>
      <c r="BG123" s="120">
        <v>4060</v>
      </c>
      <c r="BH123" s="120">
        <v>550</v>
      </c>
      <c r="BI123" s="151">
        <f t="shared" si="22"/>
        <v>660</v>
      </c>
      <c r="BJ123" s="459">
        <v>38</v>
      </c>
      <c r="BK123" s="150">
        <v>277000</v>
      </c>
      <c r="BL123" s="149">
        <v>7.25</v>
      </c>
      <c r="BM123" s="120">
        <v>4</v>
      </c>
      <c r="BN123" s="120">
        <v>2600</v>
      </c>
      <c r="BO123" s="120">
        <v>1860</v>
      </c>
      <c r="BP123" s="120">
        <v>4</v>
      </c>
      <c r="BQ123" s="202"/>
      <c r="BR123" s="202"/>
      <c r="BS123" s="202"/>
      <c r="BT123" s="202"/>
    </row>
    <row r="124" spans="1:72">
      <c r="A124" s="137"/>
      <c r="B124" s="137"/>
      <c r="C124" s="137"/>
      <c r="D124" s="137"/>
      <c r="E124" s="137"/>
      <c r="F124" s="137"/>
      <c r="G124" s="138"/>
      <c r="H124" s="100">
        <v>10</v>
      </c>
      <c r="I124" s="120">
        <f>I109/5</f>
        <v>1600</v>
      </c>
      <c r="J124" s="120">
        <f>J109/5</f>
        <v>16</v>
      </c>
      <c r="K124" s="120">
        <f t="shared" si="23"/>
        <v>48</v>
      </c>
      <c r="L124" s="120">
        <v>160</v>
      </c>
      <c r="M124" s="120">
        <v>3</v>
      </c>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7"/>
      <c r="AJ124" s="137"/>
      <c r="AK124" s="133"/>
      <c r="AL124" s="133"/>
      <c r="AM124" s="137"/>
      <c r="AN124" s="137"/>
      <c r="AO124" s="137" t="s">
        <v>611</v>
      </c>
      <c r="AP124" s="138"/>
      <c r="AQ124" s="94">
        <v>25</v>
      </c>
      <c r="AR124" s="120">
        <v>1658</v>
      </c>
      <c r="AS124" s="120">
        <v>136</v>
      </c>
      <c r="AT124" s="151">
        <f t="shared" si="21"/>
        <v>244.8</v>
      </c>
      <c r="AU124" s="459">
        <v>30</v>
      </c>
      <c r="AV124" s="150">
        <v>9200000</v>
      </c>
      <c r="AW124" s="149">
        <v>6.25</v>
      </c>
      <c r="AX124" s="430">
        <v>0.6</v>
      </c>
      <c r="AY124" s="120">
        <v>350</v>
      </c>
      <c r="AZ124" s="120">
        <v>5</v>
      </c>
      <c r="BA124" s="139">
        <v>5.5</v>
      </c>
      <c r="BB124" s="137"/>
      <c r="BC124" s="137"/>
      <c r="BD124" s="137"/>
      <c r="BE124" s="138"/>
      <c r="BF124" s="100">
        <v>25</v>
      </c>
      <c r="BG124" s="482">
        <v>4100</v>
      </c>
      <c r="BH124" s="482">
        <v>555</v>
      </c>
      <c r="BI124" s="483">
        <f t="shared" si="22"/>
        <v>666</v>
      </c>
      <c r="BJ124" s="462">
        <v>40</v>
      </c>
      <c r="BK124" s="463">
        <v>282000</v>
      </c>
      <c r="BL124" s="467">
        <v>7.25</v>
      </c>
      <c r="BM124" s="482">
        <v>5</v>
      </c>
      <c r="BN124" s="482">
        <v>2800</v>
      </c>
      <c r="BO124" s="482">
        <v>1960</v>
      </c>
      <c r="BP124" s="482">
        <v>4</v>
      </c>
      <c r="BQ124" s="202"/>
      <c r="BR124" s="202"/>
      <c r="BS124" s="202"/>
      <c r="BT124" s="202"/>
    </row>
    <row r="125" spans="1:72">
      <c r="A125" s="137"/>
      <c r="B125" s="137"/>
      <c r="C125" s="137"/>
      <c r="D125" s="137"/>
      <c r="E125" s="137"/>
      <c r="F125" s="133"/>
      <c r="G125" s="364"/>
      <c r="H125" s="121">
        <v>11</v>
      </c>
      <c r="I125" s="120">
        <v>1680</v>
      </c>
      <c r="J125" s="120">
        <v>17</v>
      </c>
      <c r="K125" s="120">
        <f t="shared" si="23"/>
        <v>51</v>
      </c>
      <c r="L125" s="120">
        <v>170</v>
      </c>
      <c r="M125" s="120">
        <v>3</v>
      </c>
      <c r="N125" s="133"/>
      <c r="O125" s="133"/>
      <c r="P125" s="133"/>
      <c r="Q125" s="133"/>
      <c r="R125" s="133"/>
      <c r="S125" s="133"/>
      <c r="T125" s="133"/>
      <c r="U125" s="133"/>
      <c r="V125" s="133"/>
      <c r="W125" s="133"/>
      <c r="X125" s="133"/>
      <c r="Y125" s="137"/>
      <c r="Z125" s="137"/>
      <c r="AA125" s="137"/>
      <c r="AB125" s="137"/>
      <c r="AC125" s="137"/>
      <c r="AD125" s="137"/>
      <c r="AE125" s="137"/>
      <c r="AF125" s="137"/>
      <c r="AG125" s="137"/>
      <c r="AH125" s="137"/>
      <c r="AI125" s="137"/>
      <c r="AJ125" s="137"/>
      <c r="AK125" s="133"/>
      <c r="AL125" s="133"/>
      <c r="AM125" s="137"/>
      <c r="AN125" s="137"/>
      <c r="AO125" s="137"/>
      <c r="AP125" s="138"/>
      <c r="AQ125" s="94">
        <v>26</v>
      </c>
      <c r="AR125" s="120">
        <v>1692</v>
      </c>
      <c r="AS125" s="120">
        <v>142</v>
      </c>
      <c r="AT125" s="151">
        <f t="shared" si="21"/>
        <v>255.6</v>
      </c>
      <c r="AU125" s="459">
        <v>30</v>
      </c>
      <c r="AV125" s="150">
        <v>9300000</v>
      </c>
      <c r="AW125" s="149">
        <v>6.25</v>
      </c>
      <c r="AX125" s="430">
        <v>0.62</v>
      </c>
      <c r="AY125" s="120">
        <v>365</v>
      </c>
      <c r="AZ125" s="120">
        <v>5</v>
      </c>
      <c r="BA125" s="139">
        <v>5.5</v>
      </c>
      <c r="BB125" s="137"/>
      <c r="BC125" s="137"/>
      <c r="BD125" s="137"/>
      <c r="BE125" s="138"/>
      <c r="BF125" s="121">
        <v>26</v>
      </c>
      <c r="BG125" s="475">
        <v>4140</v>
      </c>
      <c r="BH125" s="475">
        <v>560</v>
      </c>
      <c r="BI125" s="476">
        <f t="shared" si="22"/>
        <v>672</v>
      </c>
      <c r="BJ125" s="465">
        <v>40</v>
      </c>
      <c r="BK125" s="466">
        <v>295000</v>
      </c>
      <c r="BL125" s="468">
        <v>8</v>
      </c>
      <c r="BM125" s="475">
        <v>5</v>
      </c>
      <c r="BN125" s="475">
        <v>2800</v>
      </c>
      <c r="BO125" s="475">
        <v>1960</v>
      </c>
      <c r="BP125" s="475">
        <v>4</v>
      </c>
      <c r="BQ125" s="202"/>
      <c r="BR125" s="202"/>
      <c r="BS125" s="202"/>
      <c r="BT125" s="202"/>
    </row>
    <row r="126" spans="1:72">
      <c r="A126" s="137"/>
      <c r="B126" s="137"/>
      <c r="C126" s="137"/>
      <c r="D126" s="137"/>
      <c r="E126" s="137"/>
      <c r="F126" s="133"/>
      <c r="G126" s="133"/>
      <c r="H126" s="133"/>
      <c r="I126" s="133"/>
      <c r="J126" s="133"/>
      <c r="K126" s="133"/>
      <c r="L126" s="133"/>
      <c r="M126" s="133"/>
      <c r="N126" s="133"/>
      <c r="O126" s="133"/>
      <c r="P126" s="133"/>
      <c r="Q126" s="133"/>
      <c r="R126" s="133"/>
      <c r="S126" s="133"/>
      <c r="T126" s="133"/>
      <c r="U126" s="133"/>
      <c r="V126" s="133"/>
      <c r="W126" s="133"/>
      <c r="X126" s="133"/>
      <c r="Y126" s="137"/>
      <c r="Z126" s="137"/>
      <c r="AA126" s="137"/>
      <c r="AB126" s="137"/>
      <c r="AC126" s="137"/>
      <c r="AD126" s="137"/>
      <c r="AE126" s="137"/>
      <c r="AF126" s="137"/>
      <c r="AG126" s="137"/>
      <c r="AH126" s="137"/>
      <c r="AI126" s="137"/>
      <c r="AJ126" s="137"/>
      <c r="AK126" s="133"/>
      <c r="AL126" s="133"/>
      <c r="AM126" s="137"/>
      <c r="AN126" s="137"/>
      <c r="AO126" s="137"/>
      <c r="AP126" s="138"/>
      <c r="AQ126" s="94">
        <v>27</v>
      </c>
      <c r="AR126" s="120">
        <v>1726</v>
      </c>
      <c r="AS126" s="120">
        <v>148</v>
      </c>
      <c r="AT126" s="151">
        <f t="shared" si="21"/>
        <v>266.40000000000003</v>
      </c>
      <c r="AU126" s="459">
        <v>30</v>
      </c>
      <c r="AV126" s="150">
        <v>9400000</v>
      </c>
      <c r="AW126" s="149">
        <v>6.25</v>
      </c>
      <c r="AX126" s="430">
        <v>0.64</v>
      </c>
      <c r="AY126" s="120">
        <v>380</v>
      </c>
      <c r="AZ126" s="120">
        <v>5</v>
      </c>
      <c r="BA126" s="139">
        <v>5.5</v>
      </c>
      <c r="BB126" s="137"/>
      <c r="BC126" s="137"/>
      <c r="BD126" s="137"/>
      <c r="BE126" s="138"/>
      <c r="BF126" s="121">
        <v>27</v>
      </c>
      <c r="BG126" s="120">
        <v>4180</v>
      </c>
      <c r="BH126" s="120">
        <v>565</v>
      </c>
      <c r="BI126" s="151">
        <f t="shared" si="22"/>
        <v>678</v>
      </c>
      <c r="BJ126" s="459">
        <v>40</v>
      </c>
      <c r="BK126" s="150">
        <v>300000</v>
      </c>
      <c r="BL126" s="149">
        <v>8</v>
      </c>
      <c r="BM126" s="120">
        <v>5</v>
      </c>
      <c r="BN126" s="120">
        <v>2800</v>
      </c>
      <c r="BO126" s="120">
        <v>1960</v>
      </c>
      <c r="BP126" s="120">
        <v>4</v>
      </c>
      <c r="BQ126" s="202"/>
      <c r="BR126" s="202"/>
      <c r="BS126" s="202"/>
      <c r="BT126" s="202"/>
    </row>
    <row r="127" spans="1:72">
      <c r="A127" s="137"/>
      <c r="B127" s="137"/>
      <c r="C127" s="137"/>
      <c r="D127" s="137"/>
      <c r="E127" s="137"/>
      <c r="F127" s="137" t="s">
        <v>612</v>
      </c>
      <c r="G127" s="137"/>
      <c r="H127" s="137" t="s">
        <v>613</v>
      </c>
      <c r="I127" s="137"/>
      <c r="J127" s="137"/>
      <c r="K127" s="137"/>
      <c r="L127" s="137"/>
      <c r="M127" s="137"/>
      <c r="N127" s="137"/>
      <c r="O127" s="137"/>
      <c r="P127" s="137" t="s">
        <v>614</v>
      </c>
      <c r="Q127" s="137"/>
      <c r="R127" s="137"/>
      <c r="S127" s="137"/>
      <c r="T127" s="137"/>
      <c r="U127" s="137"/>
      <c r="V127" s="137"/>
      <c r="W127" s="137"/>
      <c r="X127" s="137"/>
      <c r="Y127" s="137"/>
      <c r="Z127" s="137" t="s">
        <v>118</v>
      </c>
      <c r="AA127" s="137"/>
      <c r="AB127" s="137" t="s">
        <v>615</v>
      </c>
      <c r="AC127" s="137"/>
      <c r="AD127" s="137"/>
      <c r="AE127" s="137"/>
      <c r="AF127" s="137"/>
      <c r="AG127" s="137"/>
      <c r="AH127" s="137"/>
      <c r="AI127" s="137"/>
      <c r="AJ127" s="137"/>
      <c r="AK127" s="133"/>
      <c r="AL127" s="133"/>
      <c r="AM127" s="137"/>
      <c r="AN127" s="137"/>
      <c r="AO127" s="137"/>
      <c r="AP127" s="138"/>
      <c r="AQ127" s="94">
        <v>28</v>
      </c>
      <c r="AR127" s="120">
        <v>1761</v>
      </c>
      <c r="AS127" s="120">
        <v>154</v>
      </c>
      <c r="AT127" s="151">
        <f t="shared" si="21"/>
        <v>277.2</v>
      </c>
      <c r="AU127" s="459">
        <v>30</v>
      </c>
      <c r="AV127" s="150">
        <v>9500000</v>
      </c>
      <c r="AW127" s="149">
        <v>6.25</v>
      </c>
      <c r="AX127" s="430">
        <v>0.66</v>
      </c>
      <c r="AY127" s="120">
        <v>395</v>
      </c>
      <c r="AZ127" s="120">
        <v>5</v>
      </c>
      <c r="BA127" s="139">
        <v>5.5</v>
      </c>
      <c r="BB127" s="137"/>
      <c r="BC127" s="137"/>
      <c r="BD127" s="137"/>
      <c r="BE127" s="138"/>
      <c r="BF127" s="121">
        <v>28</v>
      </c>
      <c r="BG127" s="120">
        <v>4220</v>
      </c>
      <c r="BH127" s="120">
        <v>570</v>
      </c>
      <c r="BI127" s="151">
        <f t="shared" si="22"/>
        <v>684</v>
      </c>
      <c r="BJ127" s="459">
        <v>40</v>
      </c>
      <c r="BK127" s="150">
        <v>305000</v>
      </c>
      <c r="BL127" s="149">
        <v>8</v>
      </c>
      <c r="BM127" s="120">
        <v>5</v>
      </c>
      <c r="BN127" s="120">
        <v>2800</v>
      </c>
      <c r="BO127" s="120">
        <v>1960</v>
      </c>
      <c r="BP127" s="120">
        <v>4</v>
      </c>
      <c r="BQ127" s="202"/>
      <c r="BR127" s="202"/>
      <c r="BS127" s="202"/>
      <c r="BT127" s="202"/>
    </row>
    <row r="128" spans="1:72">
      <c r="A128" s="137"/>
      <c r="B128" s="137"/>
      <c r="C128" s="137"/>
      <c r="D128" s="137"/>
      <c r="E128" s="137"/>
      <c r="F128" s="134" t="s">
        <v>242</v>
      </c>
      <c r="G128" s="135"/>
      <c r="H128" s="136" t="s">
        <v>243</v>
      </c>
      <c r="I128" s="136" t="s">
        <v>244</v>
      </c>
      <c r="J128" s="136" t="s">
        <v>245</v>
      </c>
      <c r="K128" s="136" t="s">
        <v>250</v>
      </c>
      <c r="L128" s="136" t="s">
        <v>246</v>
      </c>
      <c r="M128" s="136" t="s">
        <v>247</v>
      </c>
      <c r="N128" s="137"/>
      <c r="O128" s="137"/>
      <c r="P128" s="134" t="s">
        <v>249</v>
      </c>
      <c r="Q128" s="135"/>
      <c r="R128" s="136" t="s">
        <v>243</v>
      </c>
      <c r="S128" s="136" t="s">
        <v>244</v>
      </c>
      <c r="T128" s="136" t="s">
        <v>544</v>
      </c>
      <c r="U128" s="136" t="s">
        <v>616</v>
      </c>
      <c r="V128" s="136" t="s">
        <v>617</v>
      </c>
      <c r="W128" s="136" t="s">
        <v>246</v>
      </c>
      <c r="X128" s="136" t="s">
        <v>247</v>
      </c>
      <c r="Y128" s="137"/>
      <c r="Z128" s="134" t="s">
        <v>618</v>
      </c>
      <c r="AA128" s="135"/>
      <c r="AB128" s="136" t="s">
        <v>243</v>
      </c>
      <c r="AC128" s="136" t="s">
        <v>244</v>
      </c>
      <c r="AD128" s="136" t="s">
        <v>245</v>
      </c>
      <c r="AE128" s="136" t="s">
        <v>619</v>
      </c>
      <c r="AF128" s="136" t="s">
        <v>620</v>
      </c>
      <c r="AG128" s="136" t="s">
        <v>621</v>
      </c>
      <c r="AH128" s="136" t="s">
        <v>246</v>
      </c>
      <c r="AI128" s="136" t="s">
        <v>247</v>
      </c>
      <c r="AJ128" s="137"/>
      <c r="AK128" s="133"/>
      <c r="AL128" s="133"/>
      <c r="AM128" s="137"/>
      <c r="AN128" s="137"/>
      <c r="AO128" s="137"/>
      <c r="AP128" s="138"/>
      <c r="AQ128" s="94">
        <v>29</v>
      </c>
      <c r="AR128" s="120">
        <v>1797</v>
      </c>
      <c r="AS128" s="120">
        <v>161</v>
      </c>
      <c r="AT128" s="151">
        <f t="shared" si="21"/>
        <v>289.8</v>
      </c>
      <c r="AU128" s="459">
        <v>30</v>
      </c>
      <c r="AV128" s="150">
        <v>9600000</v>
      </c>
      <c r="AW128" s="149">
        <v>6.25</v>
      </c>
      <c r="AX128" s="430">
        <v>0.68</v>
      </c>
      <c r="AY128" s="120">
        <v>410</v>
      </c>
      <c r="AZ128" s="120">
        <v>5</v>
      </c>
      <c r="BA128" s="139">
        <v>5.5</v>
      </c>
      <c r="BB128" s="137"/>
      <c r="BC128" s="137"/>
      <c r="BD128" s="137"/>
      <c r="BE128" s="138"/>
      <c r="BF128" s="121">
        <v>29</v>
      </c>
      <c r="BG128" s="120">
        <v>4260</v>
      </c>
      <c r="BH128" s="120">
        <v>575</v>
      </c>
      <c r="BI128" s="151">
        <f t="shared" si="22"/>
        <v>690</v>
      </c>
      <c r="BJ128" s="459">
        <v>40</v>
      </c>
      <c r="BK128" s="150">
        <v>310000</v>
      </c>
      <c r="BL128" s="149">
        <v>8</v>
      </c>
      <c r="BM128" s="120">
        <v>5</v>
      </c>
      <c r="BN128" s="120">
        <v>2800</v>
      </c>
      <c r="BO128" s="120">
        <v>1960</v>
      </c>
      <c r="BP128" s="120">
        <v>4</v>
      </c>
      <c r="BQ128" s="202"/>
      <c r="BR128" s="202"/>
      <c r="BS128" s="202"/>
      <c r="BT128" s="202"/>
    </row>
    <row r="129" spans="1:72">
      <c r="A129" s="137"/>
      <c r="B129" s="137"/>
      <c r="C129" s="137"/>
      <c r="D129" s="137"/>
      <c r="E129" s="137"/>
      <c r="F129" s="137" t="s">
        <v>402</v>
      </c>
      <c r="G129" s="138"/>
      <c r="H129" s="92">
        <v>1</v>
      </c>
      <c r="I129" s="120">
        <v>325</v>
      </c>
      <c r="J129" s="120">
        <v>60</v>
      </c>
      <c r="K129" s="151">
        <f t="shared" ref="K129:K134" si="24">J129*2.2</f>
        <v>132</v>
      </c>
      <c r="L129" s="120"/>
      <c r="M129" s="120"/>
      <c r="N129" s="137"/>
      <c r="O129" s="137"/>
      <c r="P129" s="137" t="s">
        <v>260</v>
      </c>
      <c r="Q129" s="138"/>
      <c r="R129" s="93">
        <v>1</v>
      </c>
      <c r="S129" s="120">
        <v>2600</v>
      </c>
      <c r="T129" s="120">
        <v>24</v>
      </c>
      <c r="U129" s="139">
        <v>4</v>
      </c>
      <c r="V129" s="139">
        <v>2</v>
      </c>
      <c r="W129" s="120"/>
      <c r="X129" s="120"/>
      <c r="Y129" s="137"/>
      <c r="Z129" s="137" t="s">
        <v>622</v>
      </c>
      <c r="AA129" s="138"/>
      <c r="AB129" s="94">
        <v>1</v>
      </c>
      <c r="AC129" s="120">
        <v>360</v>
      </c>
      <c r="AD129" s="120">
        <v>108</v>
      </c>
      <c r="AE129" s="120">
        <f>AD129*4</f>
        <v>432</v>
      </c>
      <c r="AF129" s="362">
        <v>0.4</v>
      </c>
      <c r="AG129" s="362">
        <v>0.55000000000000004</v>
      </c>
      <c r="AH129" s="120"/>
      <c r="AI129" s="120"/>
      <c r="AJ129" s="137"/>
      <c r="AK129" s="133"/>
      <c r="AL129" s="133"/>
      <c r="AM129" s="137"/>
      <c r="AN129" s="137"/>
      <c r="AO129" s="137"/>
      <c r="AP129" s="138"/>
      <c r="AQ129" s="94">
        <v>30</v>
      </c>
      <c r="AR129" s="120">
        <v>1833</v>
      </c>
      <c r="AS129" s="120">
        <v>168</v>
      </c>
      <c r="AT129" s="151">
        <f t="shared" si="21"/>
        <v>302.40000000000003</v>
      </c>
      <c r="AU129" s="459">
        <v>32</v>
      </c>
      <c r="AV129" s="150">
        <v>9700000</v>
      </c>
      <c r="AW129" s="149">
        <v>6.25</v>
      </c>
      <c r="AX129" s="430">
        <v>0.7</v>
      </c>
      <c r="AY129" s="120">
        <v>425</v>
      </c>
      <c r="AZ129" s="120">
        <v>6</v>
      </c>
      <c r="BA129" s="139">
        <v>6</v>
      </c>
      <c r="BB129" s="137"/>
      <c r="BC129" s="137"/>
      <c r="BD129" s="137"/>
      <c r="BE129" s="138"/>
      <c r="BF129" s="121">
        <v>30</v>
      </c>
      <c r="BG129" s="120">
        <v>4300</v>
      </c>
      <c r="BH129" s="120">
        <v>580</v>
      </c>
      <c r="BI129" s="151">
        <f t="shared" si="22"/>
        <v>696</v>
      </c>
      <c r="BJ129" s="459">
        <v>42</v>
      </c>
      <c r="BK129" s="463">
        <v>315000</v>
      </c>
      <c r="BL129" s="149">
        <v>8</v>
      </c>
      <c r="BM129" s="120">
        <v>6</v>
      </c>
      <c r="BN129" s="120">
        <v>3000</v>
      </c>
      <c r="BO129" s="120">
        <v>2060</v>
      </c>
      <c r="BP129" s="120">
        <v>4</v>
      </c>
      <c r="BQ129" s="202"/>
      <c r="BR129" s="202"/>
      <c r="BS129" s="202"/>
      <c r="BT129" s="202"/>
    </row>
    <row r="130" spans="1:72">
      <c r="A130" s="137"/>
      <c r="B130" s="137"/>
      <c r="C130" s="137"/>
      <c r="D130" s="137"/>
      <c r="E130" s="137"/>
      <c r="F130" s="137" t="s">
        <v>623</v>
      </c>
      <c r="G130" s="138"/>
      <c r="H130" s="92">
        <v>2</v>
      </c>
      <c r="I130" s="120">
        <v>350</v>
      </c>
      <c r="J130" s="120">
        <v>70</v>
      </c>
      <c r="K130" s="151">
        <f t="shared" si="24"/>
        <v>154</v>
      </c>
      <c r="L130" s="150">
        <v>65000</v>
      </c>
      <c r="M130" s="149">
        <v>3.5</v>
      </c>
      <c r="N130" s="137"/>
      <c r="O130" s="137"/>
      <c r="P130" s="137" t="s">
        <v>273</v>
      </c>
      <c r="Q130" s="138"/>
      <c r="R130" s="93">
        <v>2</v>
      </c>
      <c r="S130" s="120">
        <v>2800</v>
      </c>
      <c r="T130" s="120">
        <v>28</v>
      </c>
      <c r="U130" s="139">
        <v>4.75</v>
      </c>
      <c r="V130" s="139">
        <v>2.25</v>
      </c>
      <c r="W130" s="150">
        <v>55000</v>
      </c>
      <c r="X130" s="149">
        <v>2.8333333333333299</v>
      </c>
      <c r="Y130" s="137"/>
      <c r="Z130" s="137" t="s">
        <v>624</v>
      </c>
      <c r="AA130" s="138"/>
      <c r="AB130" s="94">
        <v>2</v>
      </c>
      <c r="AC130" s="120">
        <v>400</v>
      </c>
      <c r="AD130" s="120">
        <v>120</v>
      </c>
      <c r="AE130" s="120">
        <f>AD130*4</f>
        <v>480</v>
      </c>
      <c r="AF130" s="362">
        <v>0.42</v>
      </c>
      <c r="AG130" s="362">
        <v>0.6</v>
      </c>
      <c r="AH130" s="150">
        <v>125000</v>
      </c>
      <c r="AI130" s="149">
        <v>9.75</v>
      </c>
      <c r="AJ130" s="137"/>
      <c r="AK130" s="133"/>
      <c r="AL130" s="133"/>
      <c r="AM130" s="137"/>
      <c r="AN130" s="137"/>
      <c r="AO130" s="137"/>
      <c r="AP130" s="138"/>
      <c r="AQ130" s="94">
        <v>31</v>
      </c>
      <c r="AR130" s="120">
        <v>1870</v>
      </c>
      <c r="AS130" s="120">
        <v>175</v>
      </c>
      <c r="AT130" s="151">
        <f t="shared" si="21"/>
        <v>315</v>
      </c>
      <c r="AU130" s="459">
        <v>32</v>
      </c>
      <c r="AV130" s="150">
        <v>9800000</v>
      </c>
      <c r="AW130" s="149">
        <v>6.25</v>
      </c>
      <c r="AX130" s="430">
        <v>0.72</v>
      </c>
      <c r="AY130" s="120">
        <v>440</v>
      </c>
      <c r="AZ130" s="120">
        <v>6</v>
      </c>
      <c r="BA130" s="139">
        <v>6</v>
      </c>
      <c r="BB130" s="137"/>
      <c r="BC130" s="137"/>
      <c r="BD130" s="137"/>
      <c r="BE130" s="138"/>
      <c r="BF130" s="122">
        <v>31</v>
      </c>
      <c r="BG130" s="475">
        <v>4330</v>
      </c>
      <c r="BH130" s="475">
        <v>584</v>
      </c>
      <c r="BI130" s="476">
        <f t="shared" si="22"/>
        <v>700.8</v>
      </c>
      <c r="BJ130" s="465">
        <v>42</v>
      </c>
      <c r="BK130" s="150">
        <v>330000</v>
      </c>
      <c r="BL130" s="468">
        <v>8</v>
      </c>
      <c r="BM130" s="475">
        <v>6</v>
      </c>
      <c r="BN130" s="475">
        <v>3000</v>
      </c>
      <c r="BO130" s="475">
        <v>2060</v>
      </c>
      <c r="BP130" s="475">
        <v>4</v>
      </c>
      <c r="BQ130" s="202"/>
      <c r="BR130" s="202"/>
      <c r="BS130" s="202"/>
      <c r="BT130" s="202"/>
    </row>
    <row r="131" spans="1:72">
      <c r="A131" s="137"/>
      <c r="B131" s="137"/>
      <c r="C131" s="137"/>
      <c r="D131" s="137"/>
      <c r="E131" s="137"/>
      <c r="F131" s="140" t="s">
        <v>625</v>
      </c>
      <c r="G131" s="143"/>
      <c r="H131" s="93">
        <v>3</v>
      </c>
      <c r="I131" s="120">
        <v>385</v>
      </c>
      <c r="J131" s="120">
        <v>80</v>
      </c>
      <c r="K131" s="151">
        <f t="shared" si="24"/>
        <v>176</v>
      </c>
      <c r="L131" s="150">
        <v>88000</v>
      </c>
      <c r="M131" s="149">
        <v>5</v>
      </c>
      <c r="N131" s="137"/>
      <c r="O131" s="137"/>
      <c r="P131" s="140" t="s">
        <v>281</v>
      </c>
      <c r="Q131" s="143"/>
      <c r="R131" s="93">
        <v>3</v>
      </c>
      <c r="S131" s="120">
        <v>3000</v>
      </c>
      <c r="T131" s="120">
        <v>32</v>
      </c>
      <c r="U131" s="139">
        <v>5.5</v>
      </c>
      <c r="V131" s="139">
        <v>2.5</v>
      </c>
      <c r="W131" s="150">
        <v>85000</v>
      </c>
      <c r="X131" s="149">
        <v>5</v>
      </c>
      <c r="Y131" s="137"/>
      <c r="Z131" s="140" t="s">
        <v>280</v>
      </c>
      <c r="AA131" s="143"/>
      <c r="AB131" s="100">
        <v>3</v>
      </c>
      <c r="AC131" s="120">
        <v>440</v>
      </c>
      <c r="AD131" s="120">
        <v>132</v>
      </c>
      <c r="AE131" s="120">
        <f>AD131*4</f>
        <v>528</v>
      </c>
      <c r="AF131" s="362">
        <v>0.44</v>
      </c>
      <c r="AG131" s="362">
        <v>0.65</v>
      </c>
      <c r="AH131" s="150">
        <v>180000</v>
      </c>
      <c r="AI131" s="149">
        <v>12</v>
      </c>
      <c r="AJ131" s="137"/>
      <c r="AK131" s="133"/>
      <c r="AL131" s="133"/>
      <c r="AM131" s="137"/>
      <c r="AN131" s="137"/>
      <c r="AO131" s="137"/>
      <c r="AP131" s="138"/>
      <c r="AQ131" s="94">
        <v>32</v>
      </c>
      <c r="AR131" s="120">
        <v>1908</v>
      </c>
      <c r="AS131" s="120">
        <v>182</v>
      </c>
      <c r="AT131" s="151">
        <f t="shared" si="21"/>
        <v>327.60000000000002</v>
      </c>
      <c r="AU131" s="459">
        <v>32</v>
      </c>
      <c r="AV131" s="150">
        <v>9900000</v>
      </c>
      <c r="AW131" s="149">
        <v>6.25</v>
      </c>
      <c r="AX131" s="430">
        <v>0.74</v>
      </c>
      <c r="AY131" s="120">
        <v>455</v>
      </c>
      <c r="AZ131" s="120">
        <v>6</v>
      </c>
      <c r="BA131" s="139">
        <v>6</v>
      </c>
      <c r="BB131" s="137"/>
      <c r="BC131" s="137"/>
      <c r="BD131" s="137"/>
      <c r="BE131" s="138"/>
      <c r="BF131" s="122">
        <v>32</v>
      </c>
      <c r="BG131" s="120">
        <v>4360</v>
      </c>
      <c r="BH131" s="120">
        <v>588</v>
      </c>
      <c r="BI131" s="151">
        <f t="shared" si="22"/>
        <v>705.6</v>
      </c>
      <c r="BJ131" s="459">
        <v>42</v>
      </c>
      <c r="BK131" s="150">
        <v>335000</v>
      </c>
      <c r="BL131" s="149">
        <v>8</v>
      </c>
      <c r="BM131" s="120">
        <v>6</v>
      </c>
      <c r="BN131" s="120">
        <v>3000</v>
      </c>
      <c r="BO131" s="120">
        <v>2060</v>
      </c>
      <c r="BP131" s="120">
        <v>4</v>
      </c>
      <c r="BQ131" s="202"/>
      <c r="BR131" s="202"/>
      <c r="BS131" s="137"/>
      <c r="BT131" s="137"/>
    </row>
    <row r="132" spans="1:72">
      <c r="A132" s="137"/>
      <c r="B132" s="137"/>
      <c r="C132" s="137"/>
      <c r="D132" s="137"/>
      <c r="E132" s="137"/>
      <c r="F132" s="134" t="s">
        <v>416</v>
      </c>
      <c r="G132" s="135"/>
      <c r="H132" s="94">
        <v>4</v>
      </c>
      <c r="I132" s="120">
        <v>420</v>
      </c>
      <c r="J132" s="120">
        <v>90</v>
      </c>
      <c r="K132" s="151">
        <f t="shared" si="24"/>
        <v>198.00000000000003</v>
      </c>
      <c r="L132" s="150">
        <v>140000</v>
      </c>
      <c r="M132" s="149">
        <v>8.5</v>
      </c>
      <c r="N132" s="137"/>
      <c r="O132" s="137"/>
      <c r="P132" s="134" t="s">
        <v>287</v>
      </c>
      <c r="Q132" s="135"/>
      <c r="R132" s="94">
        <v>4</v>
      </c>
      <c r="S132" s="120">
        <v>3200</v>
      </c>
      <c r="T132" s="120">
        <v>36</v>
      </c>
      <c r="U132" s="139">
        <v>6.25</v>
      </c>
      <c r="V132" s="139">
        <v>2.75</v>
      </c>
      <c r="W132" s="150">
        <v>110000</v>
      </c>
      <c r="X132" s="149">
        <v>7.25</v>
      </c>
      <c r="Y132" s="137"/>
      <c r="Z132" s="134" t="s">
        <v>287</v>
      </c>
      <c r="AA132" s="135"/>
      <c r="AB132" s="137"/>
      <c r="AC132" s="120"/>
      <c r="AD132" s="120"/>
      <c r="AE132" s="120"/>
      <c r="AF132" s="150"/>
      <c r="AG132" s="149"/>
      <c r="AH132" s="137"/>
      <c r="AI132" s="137"/>
      <c r="AJ132" s="137"/>
      <c r="AK132" s="133"/>
      <c r="AL132" s="133"/>
      <c r="AM132" s="137"/>
      <c r="AN132" s="137"/>
      <c r="AO132" s="137"/>
      <c r="AP132" s="138"/>
      <c r="AQ132" s="94">
        <v>33</v>
      </c>
      <c r="AR132" s="120">
        <v>1947</v>
      </c>
      <c r="AS132" s="120">
        <v>190</v>
      </c>
      <c r="AT132" s="151">
        <f t="shared" si="21"/>
        <v>342</v>
      </c>
      <c r="AU132" s="459">
        <v>32</v>
      </c>
      <c r="AV132" s="150">
        <v>10000000</v>
      </c>
      <c r="AW132" s="149">
        <v>6.25</v>
      </c>
      <c r="AX132" s="430">
        <v>0.76</v>
      </c>
      <c r="AY132" s="120">
        <v>470</v>
      </c>
      <c r="AZ132" s="120">
        <v>6</v>
      </c>
      <c r="BA132" s="139">
        <v>6</v>
      </c>
      <c r="BB132" s="137"/>
      <c r="BC132" s="137"/>
      <c r="BD132" s="137"/>
      <c r="BE132" s="138"/>
      <c r="BF132" s="122">
        <v>33</v>
      </c>
      <c r="BG132" s="120">
        <v>4390</v>
      </c>
      <c r="BH132" s="120">
        <v>592</v>
      </c>
      <c r="BI132" s="151">
        <f t="shared" si="22"/>
        <v>710.4</v>
      </c>
      <c r="BJ132" s="459">
        <v>42</v>
      </c>
      <c r="BK132" s="150">
        <v>340000</v>
      </c>
      <c r="BL132" s="149">
        <v>8</v>
      </c>
      <c r="BM132" s="120">
        <v>6</v>
      </c>
      <c r="BN132" s="120">
        <v>3000</v>
      </c>
      <c r="BO132" s="120">
        <v>2060</v>
      </c>
      <c r="BP132" s="120">
        <v>4</v>
      </c>
      <c r="BQ132" s="202"/>
      <c r="BR132" s="202"/>
      <c r="BS132" s="137"/>
      <c r="BT132" s="137"/>
    </row>
    <row r="133" spans="1:72">
      <c r="A133" s="137"/>
      <c r="B133" s="137"/>
      <c r="C133" s="137"/>
      <c r="D133" s="137"/>
      <c r="E133" s="137"/>
      <c r="F133" s="137" t="s">
        <v>626</v>
      </c>
      <c r="G133" s="138"/>
      <c r="H133" s="100">
        <v>5</v>
      </c>
      <c r="I133" s="120">
        <v>455</v>
      </c>
      <c r="J133" s="120">
        <v>96</v>
      </c>
      <c r="K133" s="151">
        <f t="shared" si="24"/>
        <v>211.20000000000002</v>
      </c>
      <c r="L133" s="150">
        <v>210000</v>
      </c>
      <c r="M133" s="149">
        <v>11</v>
      </c>
      <c r="N133" s="137"/>
      <c r="O133" s="137"/>
      <c r="P133" s="137" t="s">
        <v>627</v>
      </c>
      <c r="Q133" s="138"/>
      <c r="R133" s="94">
        <v>5</v>
      </c>
      <c r="S133" s="120">
        <v>3400</v>
      </c>
      <c r="T133" s="120">
        <v>40</v>
      </c>
      <c r="U133" s="139">
        <v>7</v>
      </c>
      <c r="V133" s="139">
        <v>3</v>
      </c>
      <c r="W133" s="150">
        <v>140000</v>
      </c>
      <c r="X133" s="149">
        <v>9.5</v>
      </c>
      <c r="Y133" s="137"/>
      <c r="Z133" s="137" t="s">
        <v>486</v>
      </c>
      <c r="AA133" s="138"/>
      <c r="AB133" s="137"/>
      <c r="AC133" s="120"/>
      <c r="AD133" s="120"/>
      <c r="AE133" s="120"/>
      <c r="AF133" s="150"/>
      <c r="AG133" s="149"/>
      <c r="AH133" s="137"/>
      <c r="AI133" s="137"/>
      <c r="AJ133" s="137"/>
      <c r="AK133" s="133"/>
      <c r="AL133" s="133"/>
      <c r="AM133" s="137"/>
      <c r="AN133" s="137"/>
      <c r="AO133" s="137"/>
      <c r="AP133" s="138"/>
      <c r="AQ133" s="94">
        <v>34</v>
      </c>
      <c r="AR133" s="120">
        <v>1986</v>
      </c>
      <c r="AS133" s="120">
        <v>198</v>
      </c>
      <c r="AT133" s="151">
        <f t="shared" ref="AT133:AT154" si="25">AS133*1.8</f>
        <v>356.40000000000003</v>
      </c>
      <c r="AU133" s="459">
        <v>32</v>
      </c>
      <c r="AV133" s="150">
        <v>10100000</v>
      </c>
      <c r="AW133" s="149">
        <v>6.25</v>
      </c>
      <c r="AX133" s="430">
        <v>0.78</v>
      </c>
      <c r="AY133" s="120">
        <v>485</v>
      </c>
      <c r="AZ133" s="120">
        <v>6</v>
      </c>
      <c r="BA133" s="139">
        <v>6</v>
      </c>
      <c r="BB133" s="137"/>
      <c r="BC133" s="137"/>
      <c r="BD133" s="137"/>
      <c r="BE133" s="138"/>
      <c r="BF133" s="122">
        <v>34</v>
      </c>
      <c r="BG133" s="120">
        <v>4420</v>
      </c>
      <c r="BH133" s="120">
        <v>596</v>
      </c>
      <c r="BI133" s="151">
        <f t="shared" si="22"/>
        <v>715.19999999999993</v>
      </c>
      <c r="BJ133" s="459">
        <v>42</v>
      </c>
      <c r="BK133" s="150">
        <v>345000</v>
      </c>
      <c r="BL133" s="149">
        <v>8</v>
      </c>
      <c r="BM133" s="120">
        <v>6</v>
      </c>
      <c r="BN133" s="120">
        <v>3000</v>
      </c>
      <c r="BO133" s="120">
        <v>2060</v>
      </c>
      <c r="BP133" s="120">
        <v>4</v>
      </c>
      <c r="BQ133" s="202"/>
      <c r="BR133" s="202"/>
      <c r="BS133" s="137"/>
      <c r="BT133" s="137"/>
    </row>
    <row r="134" spans="1:72">
      <c r="A134" s="137"/>
      <c r="B134" s="137"/>
      <c r="C134" s="137"/>
      <c r="D134" s="137"/>
      <c r="E134" s="137"/>
      <c r="F134" s="140"/>
      <c r="G134" s="143"/>
      <c r="H134" s="121">
        <v>6</v>
      </c>
      <c r="I134" s="120">
        <v>500</v>
      </c>
      <c r="J134" s="120">
        <v>102</v>
      </c>
      <c r="K134" s="151">
        <f t="shared" si="24"/>
        <v>224.4</v>
      </c>
      <c r="L134" s="150">
        <v>305000</v>
      </c>
      <c r="M134" s="149">
        <v>16.75</v>
      </c>
      <c r="N134" s="137"/>
      <c r="O134" s="137"/>
      <c r="P134" s="140"/>
      <c r="Q134" s="143"/>
      <c r="R134" s="121">
        <v>6</v>
      </c>
      <c r="S134" s="120">
        <v>3600</v>
      </c>
      <c r="T134" s="120">
        <v>44</v>
      </c>
      <c r="U134" s="139">
        <v>7.5</v>
      </c>
      <c r="V134" s="139">
        <v>3.25</v>
      </c>
      <c r="W134" s="150">
        <v>300000</v>
      </c>
      <c r="X134" s="149">
        <v>16</v>
      </c>
      <c r="Y134" s="137"/>
      <c r="Z134" s="361" t="s">
        <v>628</v>
      </c>
      <c r="AA134" s="143"/>
      <c r="AB134" s="137"/>
      <c r="AC134" s="120"/>
      <c r="AD134" s="120"/>
      <c r="AE134" s="120"/>
      <c r="AF134" s="150"/>
      <c r="AG134" s="149"/>
      <c r="AH134" s="137"/>
      <c r="AI134" s="137"/>
      <c r="AJ134" s="137"/>
      <c r="AK134" s="133"/>
      <c r="AL134" s="133"/>
      <c r="AM134" s="137"/>
      <c r="AN134" s="137"/>
      <c r="AO134" s="137"/>
      <c r="AP134" s="138"/>
      <c r="AQ134" s="94">
        <v>35</v>
      </c>
      <c r="AR134" s="120">
        <v>2026</v>
      </c>
      <c r="AS134" s="120">
        <v>206</v>
      </c>
      <c r="AT134" s="151">
        <f t="shared" si="25"/>
        <v>370.8</v>
      </c>
      <c r="AU134" s="459">
        <v>34</v>
      </c>
      <c r="AV134" s="150">
        <v>10200000</v>
      </c>
      <c r="AW134" s="149">
        <v>6.25</v>
      </c>
      <c r="AX134" s="430">
        <v>0.8</v>
      </c>
      <c r="AY134" s="120">
        <v>500</v>
      </c>
      <c r="AZ134" s="120">
        <v>7</v>
      </c>
      <c r="BA134" s="139">
        <v>6.5</v>
      </c>
      <c r="BB134" s="137"/>
      <c r="BC134" s="137"/>
      <c r="BD134" s="137"/>
      <c r="BE134" s="138"/>
      <c r="BF134" s="122">
        <v>35</v>
      </c>
      <c r="BG134" s="120">
        <v>4450</v>
      </c>
      <c r="BH134" s="120">
        <v>600</v>
      </c>
      <c r="BI134" s="151">
        <f t="shared" si="22"/>
        <v>720</v>
      </c>
      <c r="BJ134" s="459">
        <v>44</v>
      </c>
      <c r="BK134" s="150">
        <v>350000</v>
      </c>
      <c r="BL134" s="149">
        <v>8</v>
      </c>
      <c r="BM134" s="120">
        <v>7</v>
      </c>
      <c r="BN134" s="120">
        <v>3200</v>
      </c>
      <c r="BO134" s="120">
        <v>2150</v>
      </c>
      <c r="BP134" s="120">
        <v>4</v>
      </c>
      <c r="BQ134" s="202"/>
      <c r="BR134" s="202"/>
      <c r="BS134" s="137"/>
      <c r="BT134" s="137"/>
    </row>
    <row r="135" spans="1:72">
      <c r="A135" s="137"/>
      <c r="B135" s="137"/>
      <c r="C135" s="137"/>
      <c r="D135" s="137"/>
      <c r="E135" s="137"/>
      <c r="F135" s="134" t="s">
        <v>447</v>
      </c>
      <c r="G135" s="135"/>
      <c r="H135" s="202"/>
      <c r="I135" s="137"/>
      <c r="J135" s="137"/>
      <c r="K135" s="137"/>
      <c r="L135" s="137"/>
      <c r="M135" s="137"/>
      <c r="N135" s="137"/>
      <c r="O135" s="137"/>
      <c r="P135" s="134" t="s">
        <v>604</v>
      </c>
      <c r="Q135" s="135"/>
      <c r="R135" s="137" t="s">
        <v>629</v>
      </c>
      <c r="S135" s="137"/>
      <c r="T135" s="137"/>
      <c r="U135" s="137"/>
      <c r="V135" s="137"/>
      <c r="W135" s="137"/>
      <c r="X135" s="137"/>
      <c r="Y135" s="137"/>
      <c r="Z135" s="137" t="s">
        <v>447</v>
      </c>
      <c r="AA135" s="135"/>
      <c r="AB135" s="137"/>
      <c r="AC135" s="120"/>
      <c r="AD135" s="120"/>
      <c r="AE135" s="120"/>
      <c r="AF135" s="150"/>
      <c r="AG135" s="149"/>
      <c r="AH135" s="137"/>
      <c r="AI135" s="137"/>
      <c r="AJ135" s="137"/>
      <c r="AK135" s="133"/>
      <c r="AL135" s="133"/>
      <c r="AM135" s="137"/>
      <c r="AN135" s="137"/>
      <c r="AO135" s="137"/>
      <c r="AP135" s="138"/>
      <c r="AQ135" s="94">
        <v>36</v>
      </c>
      <c r="AR135" s="120">
        <v>2067</v>
      </c>
      <c r="AS135" s="120">
        <v>215</v>
      </c>
      <c r="AT135" s="151">
        <f t="shared" si="25"/>
        <v>387</v>
      </c>
      <c r="AU135" s="459">
        <v>34</v>
      </c>
      <c r="AV135" s="150">
        <v>10300000</v>
      </c>
      <c r="AW135" s="149">
        <v>6.25</v>
      </c>
      <c r="AX135" s="430">
        <v>0.82</v>
      </c>
      <c r="AY135" s="120">
        <v>515</v>
      </c>
      <c r="AZ135" s="120">
        <v>7</v>
      </c>
      <c r="BA135" s="139">
        <v>6.5</v>
      </c>
      <c r="BB135" s="137"/>
      <c r="BC135" s="137"/>
      <c r="BD135" s="137"/>
      <c r="BE135" s="137"/>
      <c r="BF135" s="365" t="s">
        <v>630</v>
      </c>
      <c r="BG135" s="137"/>
      <c r="BH135" s="202"/>
      <c r="BI135" s="202"/>
      <c r="BJ135" s="202"/>
      <c r="BK135" s="202"/>
      <c r="BL135" s="202"/>
      <c r="BM135" s="202"/>
      <c r="BN135" s="202"/>
      <c r="BO135" s="202"/>
      <c r="BP135" s="202"/>
      <c r="BQ135" s="202"/>
      <c r="BR135" s="202"/>
      <c r="BS135" s="137"/>
      <c r="BT135" s="137"/>
    </row>
    <row r="136" spans="1:72">
      <c r="A136" s="137"/>
      <c r="B136" s="137"/>
      <c r="C136" s="137"/>
      <c r="D136" s="137"/>
      <c r="E136" s="137"/>
      <c r="F136" s="137" t="s">
        <v>631</v>
      </c>
      <c r="G136" s="205"/>
      <c r="H136" s="137" t="s">
        <v>632</v>
      </c>
      <c r="I136" s="137"/>
      <c r="J136" s="137"/>
      <c r="K136" s="137"/>
      <c r="L136" s="137"/>
      <c r="M136" s="137"/>
      <c r="N136" s="137"/>
      <c r="O136" s="137"/>
      <c r="P136" s="137" t="s">
        <v>633</v>
      </c>
      <c r="Q136" s="205"/>
      <c r="R136" s="137" t="s">
        <v>634</v>
      </c>
      <c r="S136" s="137"/>
      <c r="T136" s="137"/>
      <c r="U136" s="137"/>
      <c r="V136" s="137"/>
      <c r="W136" s="137"/>
      <c r="X136" s="137"/>
      <c r="Y136" s="137"/>
      <c r="Z136" s="137" t="s">
        <v>631</v>
      </c>
      <c r="AA136" s="138"/>
      <c r="AB136" s="137" t="s">
        <v>635</v>
      </c>
      <c r="AC136" s="120"/>
      <c r="AD136" s="120"/>
      <c r="AE136" s="120"/>
      <c r="AF136" s="150"/>
      <c r="AG136" s="149"/>
      <c r="AH136" s="137"/>
      <c r="AI136" s="137"/>
      <c r="AJ136" s="137"/>
      <c r="AK136" s="133"/>
      <c r="AL136" s="133"/>
      <c r="AM136" s="137"/>
      <c r="AN136" s="137"/>
      <c r="AO136" s="137"/>
      <c r="AP136" s="138"/>
      <c r="AQ136" s="94">
        <v>37</v>
      </c>
      <c r="AR136" s="120">
        <v>2109</v>
      </c>
      <c r="AS136" s="120">
        <v>224</v>
      </c>
      <c r="AT136" s="151">
        <f t="shared" si="25"/>
        <v>403.2</v>
      </c>
      <c r="AU136" s="459">
        <v>34</v>
      </c>
      <c r="AV136" s="150">
        <v>10400000</v>
      </c>
      <c r="AW136" s="149">
        <v>6.25</v>
      </c>
      <c r="AX136" s="430">
        <v>0.84</v>
      </c>
      <c r="AY136" s="120">
        <v>530</v>
      </c>
      <c r="AZ136" s="120">
        <v>7</v>
      </c>
      <c r="BA136" s="139">
        <v>6.5</v>
      </c>
      <c r="BB136" s="137"/>
      <c r="BC136" s="137"/>
      <c r="BD136" s="137"/>
      <c r="BE136" s="137"/>
      <c r="BF136" s="365" t="s">
        <v>636</v>
      </c>
      <c r="BG136" s="137"/>
      <c r="BH136" s="202"/>
      <c r="BI136" s="202"/>
      <c r="BJ136" s="202"/>
      <c r="BK136" s="202"/>
      <c r="BL136" s="202"/>
      <c r="BM136" s="202"/>
      <c r="BN136" s="202"/>
      <c r="BO136" s="202"/>
      <c r="BP136" s="202"/>
      <c r="BQ136" s="202"/>
      <c r="BR136" s="202"/>
      <c r="BS136" s="137"/>
      <c r="BT136" s="137"/>
    </row>
    <row r="137" spans="1:72">
      <c r="A137" s="137"/>
      <c r="B137" s="137"/>
      <c r="C137" s="137"/>
      <c r="D137" s="137"/>
      <c r="E137" s="137"/>
      <c r="F137" s="95" t="s">
        <v>324</v>
      </c>
      <c r="G137" s="137"/>
      <c r="H137" s="365"/>
      <c r="I137" s="137"/>
      <c r="J137" s="137"/>
      <c r="K137" s="137"/>
      <c r="L137" s="137"/>
      <c r="M137" s="137"/>
      <c r="N137" s="137"/>
      <c r="O137" s="137"/>
      <c r="P137" s="95" t="s">
        <v>324</v>
      </c>
      <c r="Q137" s="137"/>
      <c r="R137" s="365"/>
      <c r="S137" s="137"/>
      <c r="T137" s="137"/>
      <c r="U137" s="137"/>
      <c r="V137" s="137"/>
      <c r="W137" s="137"/>
      <c r="X137" s="137"/>
      <c r="Y137" s="137"/>
      <c r="Z137" s="95" t="s">
        <v>324</v>
      </c>
      <c r="AA137" s="137"/>
      <c r="AB137" s="365"/>
      <c r="AC137" s="137"/>
      <c r="AD137" s="137"/>
      <c r="AE137" s="137"/>
      <c r="AF137" s="137"/>
      <c r="AG137" s="137"/>
      <c r="AH137" s="137"/>
      <c r="AI137" s="137"/>
      <c r="AJ137" s="137"/>
      <c r="AK137" s="133"/>
      <c r="AL137" s="133"/>
      <c r="AM137" s="137"/>
      <c r="AN137" s="137"/>
      <c r="AO137" s="137"/>
      <c r="AP137" s="138"/>
      <c r="AQ137" s="94">
        <v>38</v>
      </c>
      <c r="AR137" s="120">
        <v>2152</v>
      </c>
      <c r="AS137" s="120">
        <v>233</v>
      </c>
      <c r="AT137" s="151">
        <f t="shared" si="25"/>
        <v>419.40000000000003</v>
      </c>
      <c r="AU137" s="459">
        <v>34</v>
      </c>
      <c r="AV137" s="150">
        <v>10500000</v>
      </c>
      <c r="AW137" s="149">
        <v>6.25</v>
      </c>
      <c r="AX137" s="430">
        <v>0.86</v>
      </c>
      <c r="AY137" s="120">
        <v>545</v>
      </c>
      <c r="AZ137" s="120">
        <v>7</v>
      </c>
      <c r="BA137" s="139">
        <v>6.5</v>
      </c>
      <c r="BB137" s="137"/>
      <c r="BC137" s="137"/>
      <c r="BD137" s="137"/>
      <c r="BE137" s="137"/>
      <c r="BF137" s="137"/>
      <c r="BG137" s="137"/>
      <c r="BH137" s="202"/>
      <c r="BI137" s="202"/>
      <c r="BJ137" s="202"/>
      <c r="BK137" s="202"/>
      <c r="BL137" s="202"/>
      <c r="BM137" s="202"/>
      <c r="BN137" s="202"/>
      <c r="BO137" s="202"/>
      <c r="BP137" s="202"/>
      <c r="BQ137" s="202"/>
      <c r="BR137" s="202"/>
      <c r="BS137" s="137"/>
      <c r="BT137" s="137"/>
    </row>
    <row r="138" spans="1:72">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c r="AA138" s="137"/>
      <c r="AB138" s="137"/>
      <c r="AC138" s="137"/>
      <c r="AD138" s="137"/>
      <c r="AE138" s="137"/>
      <c r="AF138" s="137"/>
      <c r="AG138" s="137"/>
      <c r="AH138" s="137"/>
      <c r="AI138" s="137"/>
      <c r="AJ138" s="137"/>
      <c r="AK138" s="137"/>
      <c r="AL138" s="137"/>
      <c r="AM138" s="137"/>
      <c r="AN138" s="137"/>
      <c r="AO138" s="137"/>
      <c r="AP138" s="138"/>
      <c r="AQ138" s="94">
        <v>39</v>
      </c>
      <c r="AR138" s="120">
        <v>2196</v>
      </c>
      <c r="AS138" s="120">
        <v>243</v>
      </c>
      <c r="AT138" s="151">
        <f t="shared" si="25"/>
        <v>437.40000000000003</v>
      </c>
      <c r="AU138" s="459">
        <v>34</v>
      </c>
      <c r="AV138" s="150">
        <v>10600000</v>
      </c>
      <c r="AW138" s="149">
        <v>6.25</v>
      </c>
      <c r="AX138" s="430">
        <v>0.88</v>
      </c>
      <c r="AY138" s="120">
        <v>560</v>
      </c>
      <c r="AZ138" s="120">
        <v>7</v>
      </c>
      <c r="BA138" s="139">
        <v>6.5</v>
      </c>
      <c r="BB138" s="137"/>
      <c r="BC138" s="137"/>
      <c r="BD138" s="137"/>
      <c r="BE138" s="137"/>
      <c r="BF138" s="137"/>
      <c r="BG138" s="137"/>
      <c r="BH138" s="202"/>
      <c r="BI138" s="202"/>
      <c r="BJ138" s="202"/>
      <c r="BK138" s="202"/>
      <c r="BL138" s="202"/>
      <c r="BM138" s="202"/>
      <c r="BN138" s="202"/>
      <c r="BO138" s="202"/>
      <c r="BP138" s="202"/>
      <c r="BQ138" s="202"/>
      <c r="BR138" s="202"/>
      <c r="BS138" s="137"/>
      <c r="BT138" s="137"/>
    </row>
    <row r="139" spans="1:72">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c r="AA139" s="137"/>
      <c r="AB139" s="137"/>
      <c r="AC139" s="137"/>
      <c r="AD139" s="137"/>
      <c r="AE139" s="137"/>
      <c r="AF139" s="137"/>
      <c r="AG139" s="137"/>
      <c r="AH139" s="137"/>
      <c r="AI139" s="137"/>
      <c r="AJ139" s="137"/>
      <c r="AK139" s="137"/>
      <c r="AL139" s="137"/>
      <c r="AM139" s="137"/>
      <c r="AN139" s="137"/>
      <c r="AO139" s="137"/>
      <c r="AP139" s="138"/>
      <c r="AQ139" s="94">
        <v>40</v>
      </c>
      <c r="AR139" s="120">
        <v>2240</v>
      </c>
      <c r="AS139" s="120">
        <v>253</v>
      </c>
      <c r="AT139" s="461">
        <f t="shared" si="25"/>
        <v>455.40000000000003</v>
      </c>
      <c r="AU139" s="459">
        <v>36</v>
      </c>
      <c r="AV139" s="463">
        <v>10700000</v>
      </c>
      <c r="AW139" s="149">
        <v>6.25</v>
      </c>
      <c r="AX139" s="430">
        <v>0.9</v>
      </c>
      <c r="AY139" s="120">
        <v>575</v>
      </c>
      <c r="AZ139" s="120">
        <v>8</v>
      </c>
      <c r="BA139" s="139">
        <v>7</v>
      </c>
      <c r="BB139" s="137"/>
      <c r="BC139" s="137"/>
      <c r="BD139" s="137"/>
      <c r="BE139" s="137"/>
      <c r="BF139" s="137"/>
      <c r="BG139" s="137"/>
      <c r="BH139" s="202"/>
      <c r="BI139" s="202"/>
      <c r="BJ139" s="202"/>
      <c r="BK139" s="202"/>
      <c r="BL139" s="202"/>
      <c r="BM139" s="202"/>
      <c r="BN139" s="202"/>
      <c r="BO139" s="202"/>
      <c r="BP139" s="202"/>
      <c r="BQ139" s="202"/>
      <c r="BR139" s="202"/>
      <c r="BS139" s="137"/>
      <c r="BT139" s="137"/>
    </row>
    <row r="140" spans="1:72">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c r="AA140" s="137"/>
      <c r="AB140" s="137"/>
      <c r="AC140" s="137"/>
      <c r="AD140" s="137"/>
      <c r="AE140" s="137"/>
      <c r="AF140" s="137"/>
      <c r="AG140" s="137"/>
      <c r="AH140" s="137"/>
      <c r="AI140" s="137"/>
      <c r="AJ140" s="137"/>
      <c r="AK140" s="137"/>
      <c r="AL140" s="137"/>
      <c r="AM140" s="137"/>
      <c r="AN140" s="137"/>
      <c r="AO140" s="137"/>
      <c r="AP140" s="138"/>
      <c r="AQ140" s="100">
        <v>41</v>
      </c>
      <c r="AR140" s="477">
        <v>2260</v>
      </c>
      <c r="AS140" s="477">
        <v>260</v>
      </c>
      <c r="AT140" s="464">
        <f t="shared" si="25"/>
        <v>468</v>
      </c>
      <c r="AU140" s="478">
        <v>36</v>
      </c>
      <c r="AV140" s="466">
        <v>10800000</v>
      </c>
      <c r="AW140" s="479">
        <v>6.75</v>
      </c>
      <c r="AX140" s="480">
        <v>0.9</v>
      </c>
      <c r="AY140" s="477">
        <v>575</v>
      </c>
      <c r="AZ140" s="477">
        <v>8</v>
      </c>
      <c r="BA140" s="481">
        <v>7</v>
      </c>
      <c r="BB140" s="137"/>
      <c r="BC140" s="137"/>
      <c r="BD140" s="137"/>
      <c r="BE140" s="137"/>
      <c r="BF140" s="137"/>
      <c r="BG140" s="137"/>
      <c r="BH140" s="202"/>
      <c r="BI140" s="202"/>
      <c r="BJ140" s="202"/>
      <c r="BK140" s="202"/>
      <c r="BL140" s="202"/>
      <c r="BM140" s="202"/>
      <c r="BN140" s="202"/>
      <c r="BO140" s="202"/>
      <c r="BP140" s="202"/>
      <c r="BQ140" s="202"/>
      <c r="BR140" s="202"/>
      <c r="BS140" s="137"/>
      <c r="BT140" s="137"/>
    </row>
    <row r="141" spans="1:72">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c r="X141" s="137"/>
      <c r="Y141" s="137"/>
      <c r="Z141" s="137"/>
      <c r="AA141" s="137"/>
      <c r="AB141" s="137"/>
      <c r="AC141" s="137"/>
      <c r="AD141" s="137"/>
      <c r="AE141" s="137"/>
      <c r="AF141" s="137"/>
      <c r="AG141" s="137"/>
      <c r="AH141" s="137"/>
      <c r="AI141" s="137"/>
      <c r="AJ141" s="137"/>
      <c r="AK141" s="137"/>
      <c r="AL141" s="137"/>
      <c r="AM141" s="137"/>
      <c r="AN141" s="137"/>
      <c r="AO141" s="137"/>
      <c r="AP141" s="138"/>
      <c r="AQ141" s="100">
        <v>42</v>
      </c>
      <c r="AR141" s="120">
        <v>2280</v>
      </c>
      <c r="AS141" s="120">
        <v>266</v>
      </c>
      <c r="AT141" s="151">
        <f t="shared" si="25"/>
        <v>478.8</v>
      </c>
      <c r="AU141" s="459">
        <v>36</v>
      </c>
      <c r="AV141" s="150">
        <v>11200000</v>
      </c>
      <c r="AW141" s="149">
        <v>6.75</v>
      </c>
      <c r="AX141" s="430">
        <v>0.9</v>
      </c>
      <c r="AY141" s="120">
        <v>575</v>
      </c>
      <c r="AZ141" s="120">
        <v>8</v>
      </c>
      <c r="BA141" s="139">
        <v>7</v>
      </c>
      <c r="BB141" s="137"/>
      <c r="BC141" s="137"/>
      <c r="BD141" s="137"/>
      <c r="BE141" s="137"/>
      <c r="BF141" s="137"/>
      <c r="BG141" s="137"/>
      <c r="BH141" s="202"/>
      <c r="BI141" s="202"/>
      <c r="BJ141" s="202"/>
      <c r="BK141" s="202"/>
      <c r="BL141" s="202"/>
      <c r="BM141" s="202"/>
      <c r="BN141" s="202"/>
      <c r="BO141" s="202"/>
      <c r="BP141" s="202"/>
      <c r="BQ141" s="202"/>
      <c r="BR141" s="202"/>
      <c r="BS141" s="137"/>
      <c r="BT141" s="137"/>
    </row>
    <row r="142" spans="1:72">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c r="AA142" s="137"/>
      <c r="AB142" s="137"/>
      <c r="AC142" s="137"/>
      <c r="AD142" s="137"/>
      <c r="AE142" s="137"/>
      <c r="AF142" s="137"/>
      <c r="AG142" s="137"/>
      <c r="AH142" s="137"/>
      <c r="AI142" s="137"/>
      <c r="AJ142" s="137"/>
      <c r="AK142" s="137"/>
      <c r="AL142" s="137"/>
      <c r="AM142" s="137"/>
      <c r="AN142" s="137"/>
      <c r="AO142" s="137"/>
      <c r="AP142" s="138"/>
      <c r="AQ142" s="100">
        <v>43</v>
      </c>
      <c r="AR142" s="120">
        <v>2300</v>
      </c>
      <c r="AS142" s="120">
        <v>271</v>
      </c>
      <c r="AT142" s="151">
        <f t="shared" si="25"/>
        <v>487.8</v>
      </c>
      <c r="AU142" s="459">
        <v>36</v>
      </c>
      <c r="AV142" s="150">
        <v>11600000</v>
      </c>
      <c r="AW142" s="149">
        <v>6.75</v>
      </c>
      <c r="AX142" s="430">
        <v>0.9</v>
      </c>
      <c r="AY142" s="120">
        <v>575</v>
      </c>
      <c r="AZ142" s="120">
        <v>8</v>
      </c>
      <c r="BA142" s="139">
        <v>7</v>
      </c>
      <c r="BB142" s="137"/>
      <c r="BC142" s="137"/>
      <c r="BD142" s="137"/>
      <c r="BE142" s="137"/>
      <c r="BF142" s="137"/>
      <c r="BG142" s="137"/>
      <c r="BH142" s="202"/>
      <c r="BI142" s="202"/>
      <c r="BJ142" s="202"/>
      <c r="BK142" s="202"/>
      <c r="BL142" s="202"/>
      <c r="BM142" s="202"/>
      <c r="BN142" s="202"/>
      <c r="BO142" s="202"/>
      <c r="BP142" s="202"/>
      <c r="BQ142" s="202"/>
      <c r="BR142" s="202"/>
      <c r="BS142" s="137"/>
      <c r="BT142" s="137"/>
    </row>
    <row r="143" spans="1:72">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7"/>
      <c r="AJ143" s="137"/>
      <c r="AK143" s="137"/>
      <c r="AL143" s="137"/>
      <c r="AM143" s="137"/>
      <c r="AN143" s="137"/>
      <c r="AO143" s="137"/>
      <c r="AP143" s="138"/>
      <c r="AQ143" s="100">
        <v>44</v>
      </c>
      <c r="AR143" s="120">
        <v>2320</v>
      </c>
      <c r="AS143" s="120">
        <v>275</v>
      </c>
      <c r="AT143" s="151">
        <f t="shared" si="25"/>
        <v>495</v>
      </c>
      <c r="AU143" s="459">
        <v>36</v>
      </c>
      <c r="AV143" s="150">
        <v>12000000</v>
      </c>
      <c r="AW143" s="149">
        <v>6.75</v>
      </c>
      <c r="AX143" s="430">
        <v>0.9</v>
      </c>
      <c r="AY143" s="120">
        <v>575</v>
      </c>
      <c r="AZ143" s="120">
        <v>8</v>
      </c>
      <c r="BA143" s="139">
        <v>7</v>
      </c>
      <c r="BB143" s="137"/>
      <c r="BC143" s="137"/>
      <c r="BD143" s="137"/>
      <c r="BE143" s="137"/>
      <c r="BF143" s="137"/>
      <c r="BG143" s="137"/>
      <c r="BH143" s="202"/>
      <c r="BI143" s="202"/>
      <c r="BJ143" s="202"/>
      <c r="BK143" s="202"/>
      <c r="BL143" s="202"/>
      <c r="BM143" s="202"/>
      <c r="BN143" s="202"/>
      <c r="BO143" s="202"/>
      <c r="BP143" s="202"/>
      <c r="BQ143" s="137"/>
      <c r="BR143" s="137"/>
      <c r="BS143" s="137"/>
      <c r="BT143" s="137"/>
    </row>
    <row r="144" spans="1:72">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8"/>
      <c r="AQ144" s="100">
        <v>45</v>
      </c>
      <c r="AR144" s="120">
        <v>2340</v>
      </c>
      <c r="AS144" s="120">
        <v>279</v>
      </c>
      <c r="AT144" s="151">
        <f t="shared" si="25"/>
        <v>502.2</v>
      </c>
      <c r="AU144" s="459">
        <v>38</v>
      </c>
      <c r="AV144" s="150">
        <v>12400000</v>
      </c>
      <c r="AW144" s="149">
        <v>6.75</v>
      </c>
      <c r="AX144" s="430">
        <v>0.9</v>
      </c>
      <c r="AY144" s="120">
        <v>575</v>
      </c>
      <c r="AZ144" s="120">
        <v>9</v>
      </c>
      <c r="BA144" s="139">
        <v>7.5</v>
      </c>
      <c r="BB144" s="137"/>
      <c r="BC144" s="137"/>
      <c r="BD144" s="137"/>
      <c r="BE144" s="137"/>
      <c r="BF144" s="137"/>
      <c r="BG144" s="137"/>
      <c r="BH144" s="202"/>
      <c r="BI144" s="202"/>
      <c r="BJ144" s="202"/>
      <c r="BK144" s="202"/>
      <c r="BL144" s="202"/>
      <c r="BM144" s="202"/>
      <c r="BN144" s="202"/>
      <c r="BO144" s="202"/>
      <c r="BP144" s="202"/>
      <c r="BQ144" s="137"/>
      <c r="BR144" s="137"/>
      <c r="BS144" s="137"/>
      <c r="BT144" s="137"/>
    </row>
    <row r="145" spans="1:72">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c r="X145" s="137"/>
      <c r="Y145" s="137"/>
      <c r="Z145" s="137"/>
      <c r="AA145" s="137"/>
      <c r="AB145" s="137"/>
      <c r="AC145" s="137"/>
      <c r="AD145" s="137"/>
      <c r="AE145" s="137"/>
      <c r="AF145" s="137"/>
      <c r="AG145" s="137"/>
      <c r="AH145" s="137"/>
      <c r="AI145" s="137"/>
      <c r="AJ145" s="137"/>
      <c r="AK145" s="137"/>
      <c r="AL145" s="137"/>
      <c r="AM145" s="137"/>
      <c r="AN145" s="137"/>
      <c r="AO145" s="137"/>
      <c r="AP145" s="138"/>
      <c r="AQ145" s="100">
        <v>46</v>
      </c>
      <c r="AR145" s="120">
        <v>2360</v>
      </c>
      <c r="AS145" s="120">
        <v>283</v>
      </c>
      <c r="AT145" s="151">
        <f t="shared" si="25"/>
        <v>509.40000000000003</v>
      </c>
      <c r="AU145" s="459">
        <v>38</v>
      </c>
      <c r="AV145" s="150">
        <v>12800000</v>
      </c>
      <c r="AW145" s="149">
        <v>7.25</v>
      </c>
      <c r="AX145" s="430">
        <v>0.9</v>
      </c>
      <c r="AY145" s="120">
        <v>575</v>
      </c>
      <c r="AZ145" s="120">
        <v>9</v>
      </c>
      <c r="BA145" s="139">
        <v>7.5</v>
      </c>
      <c r="BB145" s="137"/>
      <c r="BC145" s="137"/>
      <c r="BD145" s="137"/>
      <c r="BE145" s="137"/>
      <c r="BF145" s="137"/>
      <c r="BG145" s="137"/>
      <c r="BH145" s="202"/>
      <c r="BI145" s="202"/>
      <c r="BJ145" s="202"/>
      <c r="BK145" s="202"/>
      <c r="BL145" s="202"/>
      <c r="BM145" s="202"/>
      <c r="BN145" s="202"/>
      <c r="BO145" s="202"/>
      <c r="BP145" s="202"/>
      <c r="BQ145" s="137"/>
      <c r="BR145" s="137"/>
      <c r="BS145" s="137"/>
      <c r="BT145" s="137"/>
    </row>
    <row r="146" spans="1:72">
      <c r="A146" s="137"/>
      <c r="B146" s="137"/>
      <c r="C146" s="137"/>
      <c r="D146" s="521" t="s">
        <v>637</v>
      </c>
      <c r="E146" s="521"/>
      <c r="F146" s="133"/>
      <c r="G146" s="133"/>
      <c r="H146" s="133"/>
      <c r="I146" s="133"/>
      <c r="J146" s="133"/>
      <c r="K146" s="133"/>
      <c r="L146" s="133"/>
      <c r="M146" s="133"/>
      <c r="N146" s="133"/>
      <c r="O146" s="133"/>
      <c r="P146" s="133"/>
      <c r="Q146" s="133"/>
      <c r="R146" s="142"/>
      <c r="S146" s="133"/>
      <c r="T146" s="133"/>
      <c r="U146" s="133"/>
      <c r="V146" s="133"/>
      <c r="W146" s="133"/>
      <c r="X146" s="133"/>
      <c r="Y146" s="133"/>
      <c r="Z146" s="133"/>
      <c r="AA146" s="133"/>
      <c r="AB146" s="133"/>
      <c r="AC146" s="133"/>
      <c r="AD146" s="133"/>
      <c r="AE146" s="133"/>
      <c r="AF146" s="133"/>
      <c r="AG146" s="133"/>
      <c r="AH146" s="133"/>
      <c r="AI146" s="133"/>
      <c r="AJ146" s="133"/>
      <c r="AK146" s="137"/>
      <c r="AL146" s="137"/>
      <c r="AM146" s="137"/>
      <c r="AN146" s="137"/>
      <c r="AO146" s="137"/>
      <c r="AP146" s="138"/>
      <c r="AQ146" s="100">
        <v>47</v>
      </c>
      <c r="AR146" s="120">
        <v>2380</v>
      </c>
      <c r="AS146" s="120">
        <v>287</v>
      </c>
      <c r="AT146" s="151">
        <f t="shared" si="25"/>
        <v>516.6</v>
      </c>
      <c r="AU146" s="459">
        <v>38</v>
      </c>
      <c r="AV146" s="150">
        <v>13200000</v>
      </c>
      <c r="AW146" s="149">
        <v>7.25</v>
      </c>
      <c r="AX146" s="430">
        <v>0.9</v>
      </c>
      <c r="AY146" s="120">
        <v>575</v>
      </c>
      <c r="AZ146" s="120">
        <v>9</v>
      </c>
      <c r="BA146" s="139">
        <v>7.5</v>
      </c>
      <c r="BB146" s="137"/>
      <c r="BC146" s="137"/>
      <c r="BD146" s="137"/>
      <c r="BE146" s="137"/>
      <c r="BF146" s="137"/>
      <c r="BG146" s="137"/>
      <c r="BH146" s="202"/>
      <c r="BI146" s="202"/>
      <c r="BJ146" s="202"/>
      <c r="BK146" s="202"/>
      <c r="BL146" s="202"/>
      <c r="BM146" s="202"/>
      <c r="BN146" s="202"/>
      <c r="BO146" s="202"/>
      <c r="BP146" s="202"/>
      <c r="BQ146" s="137"/>
      <c r="BR146" s="137"/>
      <c r="BS146" s="137"/>
      <c r="BT146" s="137"/>
    </row>
    <row r="147" spans="1:72">
      <c r="A147" s="137"/>
      <c r="B147" s="137"/>
      <c r="C147" s="137"/>
      <c r="D147" s="532"/>
      <c r="E147" s="532"/>
      <c r="F147" s="383"/>
      <c r="G147" s="359"/>
      <c r="H147" s="359"/>
      <c r="I147" s="359"/>
      <c r="J147" s="359"/>
      <c r="K147" s="359"/>
      <c r="L147" s="359"/>
      <c r="M147" s="359"/>
      <c r="N147" s="359"/>
      <c r="O147" s="359"/>
      <c r="P147" s="359"/>
      <c r="Q147" s="359"/>
      <c r="R147" s="359"/>
      <c r="S147" s="359"/>
      <c r="T147" s="359"/>
      <c r="U147" s="359"/>
      <c r="V147" s="359"/>
      <c r="W147" s="359"/>
      <c r="X147" s="359"/>
      <c r="Y147" s="359"/>
      <c r="Z147" s="359"/>
      <c r="AA147" s="359"/>
      <c r="AB147" s="359"/>
      <c r="AC147" s="359"/>
      <c r="AD147" s="359"/>
      <c r="AE147" s="359"/>
      <c r="AF147" s="359"/>
      <c r="AG147" s="359"/>
      <c r="AH147" s="359"/>
      <c r="AI147" s="359"/>
      <c r="AJ147" s="359"/>
      <c r="AK147" s="359"/>
      <c r="AL147" s="359"/>
      <c r="AM147" s="137"/>
      <c r="AN147" s="137"/>
      <c r="AO147" s="137"/>
      <c r="AP147" s="138"/>
      <c r="AQ147" s="100">
        <v>48</v>
      </c>
      <c r="AR147" s="120">
        <v>2400</v>
      </c>
      <c r="AS147" s="120">
        <v>291</v>
      </c>
      <c r="AT147" s="151">
        <f t="shared" si="25"/>
        <v>523.80000000000007</v>
      </c>
      <c r="AU147" s="459">
        <v>38</v>
      </c>
      <c r="AV147" s="150">
        <v>13600000</v>
      </c>
      <c r="AW147" s="149">
        <v>7.25</v>
      </c>
      <c r="AX147" s="430">
        <v>0.9</v>
      </c>
      <c r="AY147" s="120">
        <v>575</v>
      </c>
      <c r="AZ147" s="120">
        <v>9</v>
      </c>
      <c r="BA147" s="139">
        <v>7.5</v>
      </c>
      <c r="BB147" s="137"/>
      <c r="BC147" s="137"/>
      <c r="BD147" s="137"/>
      <c r="BE147" s="137"/>
      <c r="BF147" s="137"/>
      <c r="BG147" s="137"/>
      <c r="BH147" s="202"/>
      <c r="BI147" s="202"/>
      <c r="BJ147" s="202"/>
      <c r="BK147" s="202"/>
      <c r="BL147" s="202"/>
      <c r="BM147" s="202"/>
      <c r="BN147" s="202"/>
      <c r="BO147" s="202"/>
      <c r="BP147" s="202"/>
      <c r="BQ147" s="137"/>
      <c r="BR147" s="137"/>
      <c r="BS147" s="137"/>
      <c r="BT147" s="137"/>
    </row>
    <row r="148" spans="1:72">
      <c r="A148" s="137"/>
      <c r="B148" s="137"/>
      <c r="C148" s="137"/>
      <c r="D148" s="137" t="s">
        <v>231</v>
      </c>
      <c r="E148" s="137"/>
      <c r="F148" s="137"/>
      <c r="G148" s="137"/>
      <c r="H148" s="137"/>
      <c r="I148" s="137"/>
      <c r="J148" s="137"/>
      <c r="K148" s="137"/>
      <c r="L148" s="137"/>
      <c r="M148" s="137"/>
      <c r="N148" s="137"/>
      <c r="O148" s="137"/>
      <c r="P148" s="137"/>
      <c r="Q148" s="137"/>
      <c r="R148" s="137"/>
      <c r="S148" s="137"/>
      <c r="T148" s="137"/>
      <c r="U148" s="137"/>
      <c r="V148" s="137"/>
      <c r="W148" s="137"/>
      <c r="X148" s="137"/>
      <c r="Y148" s="137"/>
      <c r="Z148" s="137"/>
      <c r="AA148" s="137"/>
      <c r="AB148" s="137"/>
      <c r="AC148" s="137"/>
      <c r="AD148" s="137"/>
      <c r="AE148" s="137"/>
      <c r="AF148" s="137"/>
      <c r="AG148" s="137"/>
      <c r="AH148" s="137"/>
      <c r="AI148" s="137"/>
      <c r="AJ148" s="137"/>
      <c r="AK148" s="137"/>
      <c r="AL148" s="137"/>
      <c r="AM148" s="137"/>
      <c r="AN148" s="137"/>
      <c r="AO148" s="137"/>
      <c r="AP148" s="138"/>
      <c r="AQ148" s="100">
        <v>49</v>
      </c>
      <c r="AR148" s="120">
        <v>2420</v>
      </c>
      <c r="AS148" s="120">
        <v>295</v>
      </c>
      <c r="AT148" s="151">
        <f t="shared" si="25"/>
        <v>531</v>
      </c>
      <c r="AU148" s="459">
        <v>38</v>
      </c>
      <c r="AV148" s="150">
        <v>14300000</v>
      </c>
      <c r="AW148" s="149">
        <v>7.25</v>
      </c>
      <c r="AX148" s="430">
        <v>0.9</v>
      </c>
      <c r="AY148" s="120">
        <v>575</v>
      </c>
      <c r="AZ148" s="120">
        <v>9</v>
      </c>
      <c r="BA148" s="139">
        <v>7.5</v>
      </c>
      <c r="BB148" s="137"/>
      <c r="BC148" s="137"/>
      <c r="BD148" s="137"/>
      <c r="BE148" s="137"/>
      <c r="BF148" s="137"/>
      <c r="BG148" s="137"/>
      <c r="BH148" s="137"/>
      <c r="BI148" s="137"/>
      <c r="BJ148" s="137"/>
      <c r="BK148" s="137"/>
      <c r="BL148" s="137"/>
      <c r="BM148" s="137"/>
      <c r="BN148" s="137"/>
      <c r="BO148" s="137"/>
      <c r="BP148" s="137"/>
      <c r="BQ148" s="137"/>
      <c r="BR148" s="137"/>
      <c r="BS148" s="137"/>
      <c r="BT148" s="137"/>
    </row>
    <row r="149" spans="1:72">
      <c r="A149" s="137"/>
      <c r="B149" s="137"/>
      <c r="C149" s="137"/>
      <c r="D149" s="163" t="s">
        <v>638</v>
      </c>
      <c r="E149" s="137"/>
      <c r="F149" s="137" t="s">
        <v>639</v>
      </c>
      <c r="G149" s="137"/>
      <c r="H149" s="137"/>
      <c r="I149" s="137"/>
      <c r="J149" s="137"/>
      <c r="K149" s="137"/>
      <c r="L149" s="137"/>
      <c r="M149" s="137"/>
      <c r="N149" s="137"/>
      <c r="O149" s="137" t="s">
        <v>640</v>
      </c>
      <c r="P149" s="137"/>
      <c r="Q149" s="137"/>
      <c r="R149" s="137"/>
      <c r="S149" s="137"/>
      <c r="T149" s="137"/>
      <c r="U149" s="137"/>
      <c r="V149" s="137"/>
      <c r="W149" s="137"/>
      <c r="X149" s="137"/>
      <c r="Y149" s="137" t="s">
        <v>641</v>
      </c>
      <c r="Z149" s="137"/>
      <c r="AA149" s="137" t="s">
        <v>642</v>
      </c>
      <c r="AB149" s="137"/>
      <c r="AC149" s="137"/>
      <c r="AD149" s="137"/>
      <c r="AE149" s="137"/>
      <c r="AF149" s="137"/>
      <c r="AG149" s="137"/>
      <c r="AH149" s="137"/>
      <c r="AI149" s="137"/>
      <c r="AJ149" s="137"/>
      <c r="AK149" s="137"/>
      <c r="AL149" s="137"/>
      <c r="AM149" s="137"/>
      <c r="AN149" s="137"/>
      <c r="AO149" s="137"/>
      <c r="AP149" s="138"/>
      <c r="AQ149" s="100">
        <v>50</v>
      </c>
      <c r="AR149" s="482">
        <v>2440</v>
      </c>
      <c r="AS149" s="482">
        <v>299</v>
      </c>
      <c r="AT149" s="483">
        <f t="shared" si="25"/>
        <v>538.20000000000005</v>
      </c>
      <c r="AU149" s="462">
        <v>40</v>
      </c>
      <c r="AV149" s="463">
        <v>15500000</v>
      </c>
      <c r="AW149" s="467">
        <v>7.25</v>
      </c>
      <c r="AX149" s="492">
        <v>0.9</v>
      </c>
      <c r="AY149" s="482">
        <v>575</v>
      </c>
      <c r="AZ149" s="482">
        <v>10</v>
      </c>
      <c r="BA149" s="484">
        <v>8</v>
      </c>
      <c r="BB149" s="137"/>
      <c r="BC149" s="137"/>
      <c r="BD149" s="137"/>
      <c r="BE149" s="137"/>
      <c r="BF149" s="137"/>
      <c r="BG149" s="137"/>
      <c r="BH149" s="137"/>
      <c r="BI149" s="137"/>
      <c r="BJ149" s="137"/>
      <c r="BK149" s="137"/>
      <c r="BL149" s="137"/>
      <c r="BM149" s="137"/>
      <c r="BN149" s="137"/>
      <c r="BO149" s="137"/>
      <c r="BP149" s="137"/>
      <c r="BQ149" s="137"/>
      <c r="BR149" s="137"/>
      <c r="BS149" s="137"/>
      <c r="BT149" s="137"/>
    </row>
    <row r="150" spans="1:72">
      <c r="A150" s="137"/>
      <c r="B150" s="137"/>
      <c r="C150" s="137"/>
      <c r="D150" s="163" t="s">
        <v>643</v>
      </c>
      <c r="E150" s="137"/>
      <c r="F150" s="342" t="s">
        <v>242</v>
      </c>
      <c r="G150" s="344"/>
      <c r="H150" s="136" t="s">
        <v>243</v>
      </c>
      <c r="I150" s="136" t="s">
        <v>244</v>
      </c>
      <c r="J150" s="136" t="s">
        <v>245</v>
      </c>
      <c r="K150" s="136" t="s">
        <v>250</v>
      </c>
      <c r="L150" s="136" t="s">
        <v>246</v>
      </c>
      <c r="M150" s="136" t="s">
        <v>247</v>
      </c>
      <c r="N150" s="137"/>
      <c r="O150" s="342" t="s">
        <v>242</v>
      </c>
      <c r="P150" s="344"/>
      <c r="Q150" s="136" t="s">
        <v>243</v>
      </c>
      <c r="R150" s="136" t="s">
        <v>244</v>
      </c>
      <c r="S150" s="136" t="s">
        <v>245</v>
      </c>
      <c r="T150" s="136" t="s">
        <v>250</v>
      </c>
      <c r="U150" s="136" t="s">
        <v>644</v>
      </c>
      <c r="V150" s="136" t="s">
        <v>246</v>
      </c>
      <c r="W150" s="136" t="s">
        <v>247</v>
      </c>
      <c r="X150" s="137"/>
      <c r="Y150" s="342" t="s">
        <v>645</v>
      </c>
      <c r="Z150" s="344"/>
      <c r="AA150" s="136" t="s">
        <v>243</v>
      </c>
      <c r="AB150" s="136" t="s">
        <v>244</v>
      </c>
      <c r="AC150" s="136" t="s">
        <v>245</v>
      </c>
      <c r="AD150" s="136" t="s">
        <v>250</v>
      </c>
      <c r="AE150" s="136" t="s">
        <v>646</v>
      </c>
      <c r="AF150" s="136" t="s">
        <v>647</v>
      </c>
      <c r="AG150" s="136" t="s">
        <v>246</v>
      </c>
      <c r="AH150" s="136" t="s">
        <v>247</v>
      </c>
      <c r="AI150" s="137"/>
      <c r="AJ150" s="137"/>
      <c r="AK150" s="137"/>
      <c r="AL150" s="137"/>
      <c r="AM150" s="137"/>
      <c r="AN150" s="137"/>
      <c r="AO150" s="137"/>
      <c r="AP150" s="138"/>
      <c r="AQ150" s="121">
        <v>51</v>
      </c>
      <c r="AR150" s="475">
        <v>2460</v>
      </c>
      <c r="AS150" s="475">
        <v>303</v>
      </c>
      <c r="AT150" s="476">
        <f t="shared" si="25"/>
        <v>545.4</v>
      </c>
      <c r="AU150" s="465">
        <v>40</v>
      </c>
      <c r="AV150" s="466">
        <v>16600000</v>
      </c>
      <c r="AW150" s="468">
        <v>8</v>
      </c>
      <c r="AX150" s="493">
        <v>0.9</v>
      </c>
      <c r="AY150" s="475">
        <v>575</v>
      </c>
      <c r="AZ150" s="475">
        <v>10</v>
      </c>
      <c r="BA150" s="485">
        <v>8</v>
      </c>
      <c r="BB150" s="137"/>
      <c r="BC150" s="137"/>
      <c r="BD150" s="137"/>
      <c r="BE150" s="137"/>
      <c r="BF150" s="137"/>
      <c r="BG150" s="137"/>
      <c r="BH150" s="137"/>
      <c r="BI150" s="137"/>
      <c r="BJ150" s="137"/>
      <c r="BK150" s="137"/>
      <c r="BL150" s="137"/>
      <c r="BM150" s="137"/>
      <c r="BN150" s="137"/>
      <c r="BO150" s="137"/>
      <c r="BP150" s="137"/>
      <c r="BQ150" s="137"/>
      <c r="BR150" s="137"/>
      <c r="BS150" s="137"/>
      <c r="BT150" s="137"/>
    </row>
    <row r="151" spans="1:72">
      <c r="A151" s="137"/>
      <c r="B151" s="137"/>
      <c r="C151" s="137"/>
      <c r="D151" s="163" t="s">
        <v>648</v>
      </c>
      <c r="E151" s="137"/>
      <c r="F151" s="95" t="s">
        <v>438</v>
      </c>
      <c r="G151" s="345"/>
      <c r="H151" s="121">
        <v>1</v>
      </c>
      <c r="I151" s="120">
        <v>2700</v>
      </c>
      <c r="J151" s="120">
        <v>150</v>
      </c>
      <c r="K151" s="120">
        <f>J151*0.9</f>
        <v>135</v>
      </c>
      <c r="L151" s="120"/>
      <c r="M151" s="149"/>
      <c r="N151" s="137"/>
      <c r="O151" s="95" t="s">
        <v>649</v>
      </c>
      <c r="P151" s="345"/>
      <c r="Q151" s="121">
        <v>1</v>
      </c>
      <c r="R151" s="120">
        <v>3750</v>
      </c>
      <c r="S151" s="120">
        <v>60</v>
      </c>
      <c r="T151" s="357">
        <f>S151*2.1</f>
        <v>126</v>
      </c>
      <c r="U151" s="120">
        <f>T151*20</f>
        <v>2520</v>
      </c>
      <c r="V151" s="120"/>
      <c r="W151" s="149"/>
      <c r="X151" s="137"/>
      <c r="Y151" s="95" t="s">
        <v>259</v>
      </c>
      <c r="Z151" s="345"/>
      <c r="AA151" s="122">
        <v>1</v>
      </c>
      <c r="AB151" s="486" t="s">
        <v>650</v>
      </c>
      <c r="AC151" s="486">
        <v>94</v>
      </c>
      <c r="AD151" s="486">
        <v>112.8</v>
      </c>
      <c r="AE151" s="486">
        <v>1</v>
      </c>
      <c r="AF151" s="486">
        <v>4</v>
      </c>
      <c r="AG151" s="120"/>
      <c r="AH151" s="149"/>
      <c r="AI151" s="137"/>
      <c r="AJ151" s="137"/>
      <c r="AK151" s="137"/>
      <c r="AL151" s="137"/>
      <c r="AM151" s="137"/>
      <c r="AN151" s="137"/>
      <c r="AO151" s="137"/>
      <c r="AP151" s="138"/>
      <c r="AQ151" s="121">
        <v>52</v>
      </c>
      <c r="AR151" s="120">
        <v>2480</v>
      </c>
      <c r="AS151" s="120">
        <v>307</v>
      </c>
      <c r="AT151" s="151">
        <f t="shared" si="25"/>
        <v>552.6</v>
      </c>
      <c r="AU151" s="459">
        <v>40</v>
      </c>
      <c r="AV151" s="150">
        <v>17100000</v>
      </c>
      <c r="AW151" s="149">
        <v>8</v>
      </c>
      <c r="AX151" s="430">
        <v>0.9</v>
      </c>
      <c r="AY151" s="120">
        <v>575</v>
      </c>
      <c r="AZ151" s="120">
        <v>10</v>
      </c>
      <c r="BA151" s="139">
        <v>8</v>
      </c>
      <c r="BB151" s="137"/>
      <c r="BC151" s="137"/>
      <c r="BD151" s="137"/>
      <c r="BE151" s="137"/>
      <c r="BF151" s="137"/>
      <c r="BG151" s="137"/>
      <c r="BH151" s="137"/>
      <c r="BI151" s="137"/>
      <c r="BJ151" s="137"/>
      <c r="BK151" s="137"/>
      <c r="BL151" s="137"/>
      <c r="BM151" s="137"/>
      <c r="BN151" s="137"/>
      <c r="BO151" s="137"/>
      <c r="BP151" s="137"/>
      <c r="BQ151" s="137"/>
      <c r="BR151" s="137"/>
      <c r="BS151" s="137"/>
      <c r="BT151" s="137"/>
    </row>
    <row r="152" spans="1:72">
      <c r="A152" s="137"/>
      <c r="B152" s="137"/>
      <c r="C152" s="137"/>
      <c r="D152" s="163" t="s">
        <v>651</v>
      </c>
      <c r="E152" s="137"/>
      <c r="F152" s="95" t="s">
        <v>652</v>
      </c>
      <c r="G152" s="345"/>
      <c r="H152" s="121">
        <v>2</v>
      </c>
      <c r="I152" s="120">
        <v>2800</v>
      </c>
      <c r="J152" s="120">
        <v>160</v>
      </c>
      <c r="K152" s="120">
        <f t="shared" ref="K152:K160" si="26">J152*0.9</f>
        <v>144</v>
      </c>
      <c r="L152" s="150">
        <v>115000</v>
      </c>
      <c r="M152" s="149">
        <v>3</v>
      </c>
      <c r="N152" s="137"/>
      <c r="O152" s="95" t="s">
        <v>653</v>
      </c>
      <c r="P152" s="345"/>
      <c r="Q152" s="121">
        <v>2</v>
      </c>
      <c r="R152" s="120">
        <v>4000</v>
      </c>
      <c r="S152" s="120">
        <v>64</v>
      </c>
      <c r="T152" s="357">
        <f t="shared" ref="T152:T160" si="27">S152*2.1</f>
        <v>134.4</v>
      </c>
      <c r="U152" s="120">
        <f t="shared" ref="U152:U160" si="28">T152*20</f>
        <v>2688</v>
      </c>
      <c r="V152" s="150">
        <v>165000</v>
      </c>
      <c r="W152" s="149">
        <v>3</v>
      </c>
      <c r="X152" s="137"/>
      <c r="Y152" s="95" t="s">
        <v>282</v>
      </c>
      <c r="Z152" s="345"/>
      <c r="AA152" s="122">
        <v>2</v>
      </c>
      <c r="AB152" s="486" t="s">
        <v>654</v>
      </c>
      <c r="AC152" s="486">
        <v>98</v>
      </c>
      <c r="AD152" s="486">
        <v>117.6</v>
      </c>
      <c r="AE152" s="486">
        <v>1</v>
      </c>
      <c r="AF152" s="486">
        <v>4</v>
      </c>
      <c r="AG152" s="150">
        <v>215000</v>
      </c>
      <c r="AH152" s="149">
        <v>3</v>
      </c>
      <c r="AI152" s="137"/>
      <c r="AJ152" s="137"/>
      <c r="AK152" s="137"/>
      <c r="AL152" s="137"/>
      <c r="AM152" s="137"/>
      <c r="AN152" s="137"/>
      <c r="AO152" s="137"/>
      <c r="AP152" s="138"/>
      <c r="AQ152" s="121">
        <v>53</v>
      </c>
      <c r="AR152" s="120">
        <v>2500</v>
      </c>
      <c r="AS152" s="120">
        <v>311</v>
      </c>
      <c r="AT152" s="151">
        <f t="shared" si="25"/>
        <v>559.80000000000007</v>
      </c>
      <c r="AU152" s="459">
        <v>40</v>
      </c>
      <c r="AV152" s="150">
        <v>17600000</v>
      </c>
      <c r="AW152" s="149">
        <v>8</v>
      </c>
      <c r="AX152" s="430">
        <v>0.9</v>
      </c>
      <c r="AY152" s="120">
        <v>575</v>
      </c>
      <c r="AZ152" s="120">
        <v>10</v>
      </c>
      <c r="BA152" s="139">
        <v>8</v>
      </c>
      <c r="BB152" s="137"/>
      <c r="BC152" s="137"/>
      <c r="BD152" s="137"/>
      <c r="BE152" s="137"/>
      <c r="BF152" s="137"/>
      <c r="BG152" s="137"/>
      <c r="BH152" s="137"/>
      <c r="BI152" s="137"/>
      <c r="BJ152" s="137"/>
      <c r="BK152" s="137"/>
      <c r="BL152" s="137"/>
      <c r="BM152" s="137"/>
      <c r="BN152" s="137"/>
      <c r="BO152" s="137"/>
      <c r="BP152" s="137"/>
      <c r="BQ152" s="137"/>
      <c r="BR152" s="137"/>
      <c r="BS152" s="137"/>
      <c r="BT152" s="137"/>
    </row>
    <row r="153" spans="1:72">
      <c r="A153" s="137"/>
      <c r="B153" s="137"/>
      <c r="C153" s="137"/>
      <c r="D153" s="163" t="s">
        <v>655</v>
      </c>
      <c r="E153" s="137"/>
      <c r="F153" s="346" t="s">
        <v>360</v>
      </c>
      <c r="G153" s="347"/>
      <c r="H153" s="121">
        <v>3</v>
      </c>
      <c r="I153" s="120">
        <v>2900</v>
      </c>
      <c r="J153" s="120">
        <v>170</v>
      </c>
      <c r="K153" s="120">
        <f t="shared" si="26"/>
        <v>153</v>
      </c>
      <c r="L153" s="150">
        <v>130000</v>
      </c>
      <c r="M153" s="149">
        <v>4</v>
      </c>
      <c r="N153" s="137"/>
      <c r="O153" s="346" t="s">
        <v>280</v>
      </c>
      <c r="P153" s="347"/>
      <c r="Q153" s="121">
        <v>3</v>
      </c>
      <c r="R153" s="120">
        <v>4250</v>
      </c>
      <c r="S153" s="120">
        <v>68</v>
      </c>
      <c r="T153" s="357">
        <f t="shared" si="27"/>
        <v>142.80000000000001</v>
      </c>
      <c r="U153" s="120">
        <f t="shared" si="28"/>
        <v>2856</v>
      </c>
      <c r="V153" s="150">
        <v>185000</v>
      </c>
      <c r="W153" s="149">
        <v>4</v>
      </c>
      <c r="X153" s="137"/>
      <c r="Y153" s="346" t="s">
        <v>280</v>
      </c>
      <c r="Z153" s="347"/>
      <c r="AA153" s="122">
        <v>3</v>
      </c>
      <c r="AB153" s="486" t="s">
        <v>656</v>
      </c>
      <c r="AC153" s="486">
        <v>102</v>
      </c>
      <c r="AD153" s="486">
        <v>122.4</v>
      </c>
      <c r="AE153" s="486">
        <v>1</v>
      </c>
      <c r="AF153" s="486">
        <v>4</v>
      </c>
      <c r="AG153" s="150">
        <v>225000</v>
      </c>
      <c r="AH153" s="149">
        <v>4</v>
      </c>
      <c r="AI153" s="137"/>
      <c r="AJ153" s="137"/>
      <c r="AK153" s="137"/>
      <c r="AL153" s="137"/>
      <c r="AM153" s="137"/>
      <c r="AN153" s="137"/>
      <c r="AO153" s="137"/>
      <c r="AP153" s="138"/>
      <c r="AQ153" s="121">
        <v>54</v>
      </c>
      <c r="AR153" s="120">
        <v>2520</v>
      </c>
      <c r="AS153" s="120">
        <v>315</v>
      </c>
      <c r="AT153" s="151">
        <f t="shared" si="25"/>
        <v>567</v>
      </c>
      <c r="AU153" s="459">
        <v>40</v>
      </c>
      <c r="AV153" s="150">
        <v>18100000</v>
      </c>
      <c r="AW153" s="149">
        <v>8</v>
      </c>
      <c r="AX153" s="430">
        <v>0.9</v>
      </c>
      <c r="AY153" s="120">
        <v>575</v>
      </c>
      <c r="AZ153" s="120">
        <v>10</v>
      </c>
      <c r="BA153" s="139">
        <v>8</v>
      </c>
      <c r="BB153" s="137"/>
      <c r="BC153" s="137"/>
      <c r="BD153" s="137"/>
      <c r="BE153" s="137"/>
      <c r="BF153" s="137"/>
      <c r="BG153" s="137"/>
      <c r="BH153" s="137"/>
      <c r="BI153" s="137"/>
      <c r="BJ153" s="137"/>
      <c r="BK153" s="137"/>
      <c r="BL153" s="137"/>
      <c r="BM153" s="137"/>
      <c r="BN153" s="137"/>
      <c r="BO153" s="137"/>
      <c r="BP153" s="137"/>
      <c r="BQ153" s="137"/>
      <c r="BR153" s="137"/>
      <c r="BS153" s="137"/>
      <c r="BT153" s="137"/>
    </row>
    <row r="154" spans="1:72">
      <c r="A154" s="137"/>
      <c r="B154" s="137"/>
      <c r="C154" s="137"/>
      <c r="D154" s="163" t="s">
        <v>657</v>
      </c>
      <c r="E154" s="137"/>
      <c r="F154" s="342" t="s">
        <v>287</v>
      </c>
      <c r="G154" s="344"/>
      <c r="H154" s="121">
        <v>4</v>
      </c>
      <c r="I154" s="120">
        <v>3000</v>
      </c>
      <c r="J154" s="120">
        <v>180</v>
      </c>
      <c r="K154" s="120">
        <f t="shared" si="26"/>
        <v>162</v>
      </c>
      <c r="L154" s="150">
        <v>145000</v>
      </c>
      <c r="M154" s="149">
        <v>5</v>
      </c>
      <c r="N154" s="137"/>
      <c r="O154" s="342" t="s">
        <v>287</v>
      </c>
      <c r="P154" s="344"/>
      <c r="Q154" s="121">
        <v>4</v>
      </c>
      <c r="R154" s="120">
        <v>4500</v>
      </c>
      <c r="S154" s="120">
        <v>72</v>
      </c>
      <c r="T154" s="357">
        <f t="shared" si="27"/>
        <v>151.20000000000002</v>
      </c>
      <c r="U154" s="120">
        <f t="shared" si="28"/>
        <v>3024.0000000000005</v>
      </c>
      <c r="V154" s="150">
        <v>205000</v>
      </c>
      <c r="W154" s="149">
        <v>5</v>
      </c>
      <c r="X154" s="137"/>
      <c r="Y154" s="342" t="s">
        <v>287</v>
      </c>
      <c r="Z154" s="344"/>
      <c r="AA154" s="122">
        <v>4</v>
      </c>
      <c r="AB154" s="486" t="s">
        <v>658</v>
      </c>
      <c r="AC154" s="486">
        <v>106</v>
      </c>
      <c r="AD154" s="486">
        <v>127.2</v>
      </c>
      <c r="AE154" s="486">
        <v>1</v>
      </c>
      <c r="AF154" s="486">
        <v>4</v>
      </c>
      <c r="AG154" s="150">
        <v>235000</v>
      </c>
      <c r="AH154" s="149">
        <v>5</v>
      </c>
      <c r="AI154" s="137"/>
      <c r="AJ154" s="137"/>
      <c r="AK154" s="137"/>
      <c r="AL154" s="137"/>
      <c r="AM154" s="137"/>
      <c r="AN154" s="137"/>
      <c r="AO154" s="137"/>
      <c r="AP154" s="138"/>
      <c r="AQ154" s="121">
        <v>55</v>
      </c>
      <c r="AR154" s="482">
        <v>2540</v>
      </c>
      <c r="AS154" s="482">
        <v>319</v>
      </c>
      <c r="AT154" s="151">
        <f t="shared" si="25"/>
        <v>574.20000000000005</v>
      </c>
      <c r="AU154" s="459">
        <v>42</v>
      </c>
      <c r="AV154" s="150">
        <v>18600000</v>
      </c>
      <c r="AW154" s="149">
        <v>8</v>
      </c>
      <c r="AX154" s="430">
        <v>0.9</v>
      </c>
      <c r="AY154" s="120">
        <v>575</v>
      </c>
      <c r="AZ154" s="120">
        <v>11</v>
      </c>
      <c r="BA154" s="139">
        <v>8.5</v>
      </c>
      <c r="BB154" s="137"/>
      <c r="BC154" s="137"/>
      <c r="BD154" s="137"/>
      <c r="BE154" s="137"/>
      <c r="BF154" s="137"/>
      <c r="BG154" s="137"/>
      <c r="BH154" s="137"/>
      <c r="BI154" s="137"/>
      <c r="BJ154" s="137"/>
      <c r="BK154" s="137"/>
      <c r="BL154" s="137"/>
      <c r="BM154" s="137"/>
      <c r="BN154" s="137"/>
      <c r="BO154" s="137"/>
      <c r="BP154" s="137"/>
      <c r="BQ154" s="137"/>
      <c r="BR154" s="137"/>
      <c r="BS154" s="137"/>
      <c r="BT154" s="137"/>
    </row>
    <row r="155" spans="1:72">
      <c r="A155" s="137"/>
      <c r="B155" s="137"/>
      <c r="C155" s="137"/>
      <c r="D155" s="163" t="s">
        <v>659</v>
      </c>
      <c r="E155" s="137"/>
      <c r="F155" s="95" t="s">
        <v>486</v>
      </c>
      <c r="G155" s="345"/>
      <c r="H155" s="121">
        <v>5</v>
      </c>
      <c r="I155" s="120">
        <v>3100</v>
      </c>
      <c r="J155" s="120">
        <v>190</v>
      </c>
      <c r="K155" s="120">
        <f t="shared" si="26"/>
        <v>171</v>
      </c>
      <c r="L155" s="150">
        <v>160000</v>
      </c>
      <c r="M155" s="149">
        <v>5.5</v>
      </c>
      <c r="N155" s="137"/>
      <c r="O155" s="95"/>
      <c r="P155" s="345"/>
      <c r="Q155" s="121">
        <v>5</v>
      </c>
      <c r="R155" s="120">
        <v>4750</v>
      </c>
      <c r="S155" s="120">
        <v>76</v>
      </c>
      <c r="T155" s="357">
        <f t="shared" si="27"/>
        <v>159.6</v>
      </c>
      <c r="U155" s="120">
        <f t="shared" si="28"/>
        <v>3192</v>
      </c>
      <c r="V155" s="150">
        <v>225000</v>
      </c>
      <c r="W155" s="149">
        <v>5.5</v>
      </c>
      <c r="X155" s="137"/>
      <c r="Y155" s="95" t="s">
        <v>486</v>
      </c>
      <c r="Z155" s="345"/>
      <c r="AA155" s="122">
        <v>5</v>
      </c>
      <c r="AB155" s="486" t="s">
        <v>660</v>
      </c>
      <c r="AC155" s="486">
        <v>110</v>
      </c>
      <c r="AD155" s="486">
        <v>132</v>
      </c>
      <c r="AE155" s="486">
        <v>2</v>
      </c>
      <c r="AF155" s="486">
        <v>8</v>
      </c>
      <c r="AG155" s="150">
        <v>245000</v>
      </c>
      <c r="AH155" s="149">
        <v>5.5</v>
      </c>
      <c r="AI155" s="137"/>
      <c r="AJ155" s="137"/>
      <c r="AK155" s="137"/>
      <c r="AL155" s="137"/>
      <c r="AM155" s="137"/>
      <c r="AN155" s="137"/>
      <c r="AO155" s="137"/>
      <c r="AP155" s="138"/>
      <c r="AQ155" s="122">
        <v>56</v>
      </c>
      <c r="AR155" s="120">
        <v>2560</v>
      </c>
      <c r="AS155" s="120">
        <v>322</v>
      </c>
      <c r="AT155" s="476">
        <f t="shared" ref="AT155:AT159" si="29">AS155*1.8</f>
        <v>579.6</v>
      </c>
      <c r="AU155" s="465">
        <v>42</v>
      </c>
      <c r="AV155" s="466">
        <v>19200000</v>
      </c>
      <c r="AW155" s="468">
        <v>8</v>
      </c>
      <c r="AX155" s="493">
        <v>0.9</v>
      </c>
      <c r="AY155" s="475">
        <v>575</v>
      </c>
      <c r="AZ155" s="475">
        <v>11</v>
      </c>
      <c r="BA155" s="485">
        <v>8.5</v>
      </c>
      <c r="BB155" s="137"/>
      <c r="BC155" s="137"/>
      <c r="BD155" s="137"/>
      <c r="BE155" s="137"/>
      <c r="BF155" s="137"/>
      <c r="BG155" s="137"/>
      <c r="BH155" s="137"/>
      <c r="BI155" s="137"/>
      <c r="BJ155" s="137"/>
      <c r="BK155" s="137"/>
      <c r="BL155" s="137"/>
      <c r="BM155" s="137"/>
      <c r="BN155" s="137"/>
      <c r="BO155" s="137"/>
      <c r="BP155" s="137"/>
      <c r="BQ155" s="137"/>
      <c r="BR155" s="137"/>
      <c r="BS155" s="137"/>
      <c r="BT155" s="137"/>
    </row>
    <row r="156" spans="1:72">
      <c r="A156" s="137"/>
      <c r="B156" s="137"/>
      <c r="C156" s="137"/>
      <c r="D156" s="163" t="s">
        <v>661</v>
      </c>
      <c r="E156" s="137"/>
      <c r="F156" s="346"/>
      <c r="G156" s="347"/>
      <c r="H156" s="121">
        <v>6</v>
      </c>
      <c r="I156" s="120">
        <v>3200</v>
      </c>
      <c r="J156" s="120">
        <v>200</v>
      </c>
      <c r="K156" s="120">
        <f t="shared" si="26"/>
        <v>180</v>
      </c>
      <c r="L156" s="150">
        <v>175000</v>
      </c>
      <c r="M156" s="149">
        <v>6</v>
      </c>
      <c r="N156" s="137"/>
      <c r="O156" s="346" t="s">
        <v>662</v>
      </c>
      <c r="P156" s="347"/>
      <c r="Q156" s="121">
        <v>6</v>
      </c>
      <c r="R156" s="120">
        <v>4950</v>
      </c>
      <c r="S156" s="120">
        <v>80</v>
      </c>
      <c r="T156" s="357">
        <f t="shared" si="27"/>
        <v>168</v>
      </c>
      <c r="U156" s="120">
        <f t="shared" si="28"/>
        <v>3360</v>
      </c>
      <c r="V156" s="150">
        <v>245000</v>
      </c>
      <c r="W156" s="149">
        <v>6</v>
      </c>
      <c r="X156" s="137"/>
      <c r="Y156" s="471" t="s">
        <v>424</v>
      </c>
      <c r="Z156" s="344"/>
      <c r="AA156" s="122">
        <v>6</v>
      </c>
      <c r="AB156" s="486" t="s">
        <v>663</v>
      </c>
      <c r="AC156" s="486">
        <v>114</v>
      </c>
      <c r="AD156" s="486">
        <v>136.80000000000001</v>
      </c>
      <c r="AE156" s="486">
        <v>2</v>
      </c>
      <c r="AF156" s="486">
        <v>8</v>
      </c>
      <c r="AG156" s="150">
        <v>255000</v>
      </c>
      <c r="AH156" s="149">
        <v>6</v>
      </c>
      <c r="AI156" s="137"/>
      <c r="AJ156" s="137"/>
      <c r="AK156" s="137"/>
      <c r="AL156" s="137"/>
      <c r="AM156" s="137"/>
      <c r="AN156" s="137"/>
      <c r="AO156" s="137"/>
      <c r="AP156" s="138"/>
      <c r="AQ156" s="122">
        <v>57</v>
      </c>
      <c r="AR156" s="120">
        <v>2580</v>
      </c>
      <c r="AS156" s="120">
        <v>325</v>
      </c>
      <c r="AT156" s="151">
        <f t="shared" si="29"/>
        <v>585</v>
      </c>
      <c r="AU156" s="459">
        <v>42</v>
      </c>
      <c r="AV156" s="150">
        <v>19400000</v>
      </c>
      <c r="AW156" s="149">
        <v>8</v>
      </c>
      <c r="AX156" s="430">
        <v>0.9</v>
      </c>
      <c r="AY156" s="120">
        <v>575</v>
      </c>
      <c r="AZ156" s="120">
        <v>11</v>
      </c>
      <c r="BA156" s="139">
        <v>8.5</v>
      </c>
      <c r="BB156" s="137"/>
      <c r="BC156" s="137"/>
      <c r="BD156" s="137"/>
      <c r="BE156" s="137"/>
      <c r="BF156" s="137"/>
      <c r="BG156" s="137"/>
      <c r="BH156" s="137"/>
      <c r="BI156" s="137"/>
      <c r="BJ156" s="137"/>
      <c r="BK156" s="137"/>
      <c r="BL156" s="137"/>
      <c r="BM156" s="137"/>
      <c r="BN156" s="137"/>
      <c r="BO156" s="137"/>
      <c r="BP156" s="137"/>
      <c r="BQ156" s="137"/>
      <c r="BR156" s="137"/>
      <c r="BS156" s="137"/>
      <c r="BT156" s="137"/>
    </row>
    <row r="157" spans="1:72">
      <c r="A157" s="137"/>
      <c r="B157" s="137"/>
      <c r="C157" s="137"/>
      <c r="D157" s="340"/>
      <c r="E157" s="137"/>
      <c r="F157" s="95" t="s">
        <v>424</v>
      </c>
      <c r="G157" s="344"/>
      <c r="H157" s="121">
        <v>7</v>
      </c>
      <c r="I157" s="120">
        <v>3300</v>
      </c>
      <c r="J157" s="120">
        <v>210</v>
      </c>
      <c r="K157" s="120">
        <f t="shared" si="26"/>
        <v>189</v>
      </c>
      <c r="L157" s="150">
        <v>190000</v>
      </c>
      <c r="M157" s="149">
        <v>6.5</v>
      </c>
      <c r="N157" s="137"/>
      <c r="O157" s="95" t="s">
        <v>424</v>
      </c>
      <c r="P157" s="344"/>
      <c r="Q157" s="121">
        <v>7</v>
      </c>
      <c r="R157" s="120">
        <v>5100</v>
      </c>
      <c r="S157" s="120">
        <v>84</v>
      </c>
      <c r="T157" s="357">
        <f t="shared" si="27"/>
        <v>176.4</v>
      </c>
      <c r="U157" s="120">
        <f t="shared" si="28"/>
        <v>3528</v>
      </c>
      <c r="V157" s="150">
        <v>255000</v>
      </c>
      <c r="W157" s="149">
        <v>6.5</v>
      </c>
      <c r="X157" s="137"/>
      <c r="Y157" s="95" t="s">
        <v>664</v>
      </c>
      <c r="Z157" s="345"/>
      <c r="AA157" s="122">
        <v>7</v>
      </c>
      <c r="AB157" s="486" t="s">
        <v>665</v>
      </c>
      <c r="AC157" s="486">
        <v>118</v>
      </c>
      <c r="AD157" s="486">
        <v>141.6</v>
      </c>
      <c r="AE157" s="486">
        <v>2</v>
      </c>
      <c r="AF157" s="486">
        <v>8</v>
      </c>
      <c r="AG157" s="150">
        <v>265000</v>
      </c>
      <c r="AH157" s="149">
        <v>6.5</v>
      </c>
      <c r="AI157" s="137"/>
      <c r="AJ157" s="137"/>
      <c r="AK157" s="137"/>
      <c r="AL157" s="137"/>
      <c r="AM157" s="137"/>
      <c r="AN157" s="137"/>
      <c r="AO157" s="137"/>
      <c r="AP157" s="138"/>
      <c r="AQ157" s="122">
        <v>58</v>
      </c>
      <c r="AR157" s="120">
        <v>2600</v>
      </c>
      <c r="AS157" s="120">
        <v>328</v>
      </c>
      <c r="AT157" s="151">
        <f t="shared" si="29"/>
        <v>590.4</v>
      </c>
      <c r="AU157" s="459">
        <v>42</v>
      </c>
      <c r="AV157" s="150">
        <v>19600000</v>
      </c>
      <c r="AW157" s="149">
        <v>8</v>
      </c>
      <c r="AX157" s="430">
        <v>0.9</v>
      </c>
      <c r="AY157" s="120">
        <v>575</v>
      </c>
      <c r="AZ157" s="120">
        <v>11</v>
      </c>
      <c r="BA157" s="139">
        <v>8.5</v>
      </c>
      <c r="BB157" s="137"/>
      <c r="BC157" s="137"/>
      <c r="BD157" s="137"/>
      <c r="BE157" s="137"/>
      <c r="BF157" s="137"/>
      <c r="BG157" s="137"/>
      <c r="BH157" s="137"/>
      <c r="BI157" s="137"/>
      <c r="BJ157" s="137"/>
      <c r="BK157" s="137"/>
      <c r="BL157" s="137"/>
      <c r="BM157" s="137"/>
      <c r="BN157" s="137"/>
      <c r="BO157" s="137"/>
      <c r="BP157" s="137"/>
      <c r="BQ157" s="137"/>
      <c r="BR157" s="137"/>
      <c r="BS157" s="137"/>
      <c r="BT157" s="137"/>
    </row>
    <row r="158" spans="1:72">
      <c r="A158" s="137"/>
      <c r="B158" s="137"/>
      <c r="C158" s="137"/>
      <c r="D158" s="142" t="s">
        <v>288</v>
      </c>
      <c r="E158" s="137"/>
      <c r="F158" s="95" t="s">
        <v>666</v>
      </c>
      <c r="G158" s="345"/>
      <c r="H158" s="121">
        <v>8</v>
      </c>
      <c r="I158" s="120">
        <v>3400</v>
      </c>
      <c r="J158" s="120">
        <v>220</v>
      </c>
      <c r="K158" s="120">
        <f t="shared" si="26"/>
        <v>198</v>
      </c>
      <c r="L158" s="150">
        <v>205000</v>
      </c>
      <c r="M158" s="149">
        <v>7</v>
      </c>
      <c r="N158" s="137"/>
      <c r="O158" s="95" t="s">
        <v>667</v>
      </c>
      <c r="P158" s="345"/>
      <c r="Q158" s="121">
        <v>8</v>
      </c>
      <c r="R158" s="120">
        <v>5250</v>
      </c>
      <c r="S158" s="120">
        <v>88</v>
      </c>
      <c r="T158" s="357">
        <f t="shared" si="27"/>
        <v>184.8</v>
      </c>
      <c r="U158" s="120">
        <f t="shared" si="28"/>
        <v>3696</v>
      </c>
      <c r="V158" s="150">
        <v>265000</v>
      </c>
      <c r="W158" s="149">
        <v>7</v>
      </c>
      <c r="X158" s="137"/>
      <c r="Y158" s="95" t="s">
        <v>668</v>
      </c>
      <c r="Z158" s="345"/>
      <c r="AA158" s="122">
        <v>8</v>
      </c>
      <c r="AB158" s="486" t="s">
        <v>669</v>
      </c>
      <c r="AC158" s="486">
        <v>122</v>
      </c>
      <c r="AD158" s="486">
        <v>146.4</v>
      </c>
      <c r="AE158" s="486">
        <v>2</v>
      </c>
      <c r="AF158" s="486">
        <v>8</v>
      </c>
      <c r="AG158" s="150">
        <v>275000</v>
      </c>
      <c r="AH158" s="149">
        <v>7</v>
      </c>
      <c r="AI158" s="137"/>
      <c r="AJ158" s="137"/>
      <c r="AK158" s="137"/>
      <c r="AL158" s="137"/>
      <c r="AM158" s="137"/>
      <c r="AN158" s="137"/>
      <c r="AO158" s="137"/>
      <c r="AP158" s="138"/>
      <c r="AQ158" s="122">
        <v>59</v>
      </c>
      <c r="AR158" s="120">
        <v>2620</v>
      </c>
      <c r="AS158" s="120">
        <v>331</v>
      </c>
      <c r="AT158" s="151">
        <f t="shared" si="29"/>
        <v>595.80000000000007</v>
      </c>
      <c r="AU158" s="459">
        <v>42</v>
      </c>
      <c r="AV158" s="150">
        <v>19800000</v>
      </c>
      <c r="AW158" s="149">
        <v>8</v>
      </c>
      <c r="AX158" s="430">
        <v>0.9</v>
      </c>
      <c r="AY158" s="120">
        <v>575</v>
      </c>
      <c r="AZ158" s="120">
        <v>11</v>
      </c>
      <c r="BA158" s="139">
        <v>8.5</v>
      </c>
      <c r="BB158" s="137"/>
      <c r="BC158" s="137"/>
      <c r="BD158" s="137"/>
      <c r="BE158" s="137"/>
      <c r="BF158" s="137"/>
      <c r="BG158" s="137"/>
      <c r="BH158" s="137"/>
      <c r="BI158" s="137"/>
      <c r="BJ158" s="137"/>
      <c r="BK158" s="137"/>
      <c r="BL158" s="137"/>
      <c r="BM158" s="137"/>
      <c r="BN158" s="137"/>
      <c r="BO158" s="137"/>
      <c r="BP158" s="137"/>
      <c r="BQ158" s="137"/>
      <c r="BR158" s="137"/>
      <c r="BS158" s="137"/>
      <c r="BT158" s="137"/>
    </row>
    <row r="159" spans="1:72">
      <c r="A159" s="137"/>
      <c r="B159" s="137"/>
      <c r="C159" s="137"/>
      <c r="D159" s="142" t="s">
        <v>292</v>
      </c>
      <c r="E159" s="137"/>
      <c r="F159" s="95" t="s">
        <v>668</v>
      </c>
      <c r="G159" s="345"/>
      <c r="H159" s="121">
        <v>9</v>
      </c>
      <c r="I159" s="120">
        <v>3500</v>
      </c>
      <c r="J159" s="120">
        <v>230</v>
      </c>
      <c r="K159" s="120">
        <f t="shared" si="26"/>
        <v>207</v>
      </c>
      <c r="L159" s="150">
        <v>220000</v>
      </c>
      <c r="M159" s="149">
        <v>7.5</v>
      </c>
      <c r="N159" s="137"/>
      <c r="O159" s="95" t="s">
        <v>668</v>
      </c>
      <c r="P159" s="345"/>
      <c r="Q159" s="121">
        <v>9</v>
      </c>
      <c r="R159" s="120">
        <v>5400</v>
      </c>
      <c r="S159" s="120">
        <v>92</v>
      </c>
      <c r="T159" s="357">
        <f t="shared" si="27"/>
        <v>193.20000000000002</v>
      </c>
      <c r="U159" s="120">
        <f t="shared" si="28"/>
        <v>3864.0000000000005</v>
      </c>
      <c r="V159" s="150">
        <v>275000</v>
      </c>
      <c r="W159" s="149">
        <v>7.5</v>
      </c>
      <c r="X159" s="137"/>
      <c r="Y159" s="137"/>
      <c r="Z159" s="345"/>
      <c r="AA159" s="122">
        <v>9</v>
      </c>
      <c r="AB159" s="486" t="s">
        <v>670</v>
      </c>
      <c r="AC159" s="486">
        <v>126</v>
      </c>
      <c r="AD159" s="486">
        <v>151.19999999999999</v>
      </c>
      <c r="AE159" s="486">
        <v>2</v>
      </c>
      <c r="AF159" s="486">
        <v>8</v>
      </c>
      <c r="AG159" s="150">
        <v>285000</v>
      </c>
      <c r="AH159" s="149">
        <v>7.5</v>
      </c>
      <c r="AI159" s="137"/>
      <c r="AJ159" s="137"/>
      <c r="AK159" s="137"/>
      <c r="AL159" s="137"/>
      <c r="AM159" s="137"/>
      <c r="AN159" s="137"/>
      <c r="AO159" s="137"/>
      <c r="AP159" s="138"/>
      <c r="AQ159" s="122">
        <v>60</v>
      </c>
      <c r="AR159" s="120">
        <v>2640</v>
      </c>
      <c r="AS159" s="120">
        <v>334</v>
      </c>
      <c r="AT159" s="151">
        <f t="shared" si="29"/>
        <v>601.20000000000005</v>
      </c>
      <c r="AU159" s="459">
        <v>44</v>
      </c>
      <c r="AV159" s="150">
        <v>20000000</v>
      </c>
      <c r="AW159" s="149">
        <v>8</v>
      </c>
      <c r="AX159" s="430">
        <v>0.9</v>
      </c>
      <c r="AY159" s="120">
        <v>575</v>
      </c>
      <c r="AZ159" s="120">
        <v>12</v>
      </c>
      <c r="BA159" s="428">
        <v>8.75</v>
      </c>
      <c r="BB159" s="137"/>
      <c r="BC159" s="137"/>
      <c r="BD159" s="137"/>
      <c r="BE159" s="137"/>
      <c r="BF159" s="137"/>
      <c r="BG159" s="137"/>
      <c r="BH159" s="137"/>
      <c r="BI159" s="137"/>
      <c r="BJ159" s="137"/>
      <c r="BK159" s="137"/>
      <c r="BL159" s="137"/>
      <c r="BM159" s="137"/>
      <c r="BN159" s="137"/>
      <c r="BO159" s="137"/>
      <c r="BP159" s="137"/>
      <c r="BQ159" s="137"/>
      <c r="BR159" s="137"/>
      <c r="BS159" s="137"/>
      <c r="BT159" s="137"/>
    </row>
    <row r="160" spans="1:72">
      <c r="A160" s="137"/>
      <c r="B160" s="137"/>
      <c r="C160" s="137"/>
      <c r="D160" s="142" t="s">
        <v>359</v>
      </c>
      <c r="E160" s="137"/>
      <c r="F160" s="137"/>
      <c r="G160" s="345"/>
      <c r="H160" s="121">
        <v>10</v>
      </c>
      <c r="I160" s="120">
        <v>3600</v>
      </c>
      <c r="J160" s="120">
        <v>240</v>
      </c>
      <c r="K160" s="120">
        <f t="shared" si="26"/>
        <v>216</v>
      </c>
      <c r="L160" s="150">
        <v>235000</v>
      </c>
      <c r="M160" s="149">
        <v>8</v>
      </c>
      <c r="N160" s="137"/>
      <c r="O160" s="137"/>
      <c r="P160" s="345"/>
      <c r="Q160" s="121">
        <v>10</v>
      </c>
      <c r="R160" s="120">
        <v>5550</v>
      </c>
      <c r="S160" s="120">
        <v>96</v>
      </c>
      <c r="T160" s="357">
        <f t="shared" si="27"/>
        <v>201.60000000000002</v>
      </c>
      <c r="U160" s="120">
        <f t="shared" si="28"/>
        <v>4032.0000000000005</v>
      </c>
      <c r="V160" s="150">
        <v>285000</v>
      </c>
      <c r="W160" s="149">
        <v>8</v>
      </c>
      <c r="X160" s="137"/>
      <c r="Y160" s="137" t="s">
        <v>671</v>
      </c>
      <c r="Z160" s="488"/>
      <c r="AA160" s="122">
        <v>10</v>
      </c>
      <c r="AB160" s="486" t="s">
        <v>672</v>
      </c>
      <c r="AC160" s="486">
        <v>130</v>
      </c>
      <c r="AD160" s="486">
        <v>156</v>
      </c>
      <c r="AE160" s="486">
        <v>2</v>
      </c>
      <c r="AF160" s="486">
        <v>10</v>
      </c>
      <c r="AG160" s="150">
        <v>295000</v>
      </c>
      <c r="AH160" s="149">
        <v>8</v>
      </c>
      <c r="AI160" s="137"/>
      <c r="AJ160" s="137"/>
      <c r="AK160" s="137"/>
      <c r="AL160" s="137"/>
      <c r="AM160" s="137"/>
      <c r="AN160" s="137"/>
      <c r="AO160" s="137"/>
      <c r="AP160" s="137"/>
      <c r="AQ160" s="365" t="s">
        <v>673</v>
      </c>
      <c r="AR160" s="137"/>
      <c r="AS160" s="137"/>
      <c r="AT160" s="137"/>
      <c r="AU160" s="137"/>
      <c r="AV160" s="137"/>
      <c r="AW160" s="137"/>
      <c r="AX160" s="137"/>
      <c r="AY160" s="137"/>
      <c r="AZ160" s="137"/>
      <c r="BA160" s="137"/>
      <c r="BB160" s="137"/>
      <c r="BC160" s="137"/>
      <c r="BD160" s="137"/>
      <c r="BE160" s="137"/>
      <c r="BF160" s="137"/>
      <c r="BG160" s="137"/>
      <c r="BH160" s="137"/>
      <c r="BI160" s="137"/>
      <c r="BJ160" s="137"/>
      <c r="BK160" s="137"/>
      <c r="BL160" s="137"/>
      <c r="BM160" s="137"/>
      <c r="BN160" s="137"/>
      <c r="BO160" s="137"/>
      <c r="BP160" s="137"/>
      <c r="BQ160" s="137"/>
      <c r="BR160" s="137"/>
      <c r="BS160" s="137"/>
      <c r="BT160" s="137"/>
    </row>
    <row r="161" spans="1:72">
      <c r="A161" s="137"/>
      <c r="B161" s="137"/>
      <c r="C161" s="137"/>
      <c r="D161" s="142" t="s">
        <v>307</v>
      </c>
      <c r="E161" s="137"/>
      <c r="F161" s="137"/>
      <c r="G161" s="137"/>
      <c r="H161" s="137"/>
      <c r="I161" s="137"/>
      <c r="J161" s="137"/>
      <c r="K161" s="137"/>
      <c r="L161" s="137"/>
      <c r="M161" s="137"/>
      <c r="N161" s="137"/>
      <c r="O161" s="137"/>
      <c r="P161" s="137"/>
      <c r="Q161" s="137" t="s">
        <v>674</v>
      </c>
      <c r="R161" s="137"/>
      <c r="S161" s="137"/>
      <c r="T161" s="137"/>
      <c r="U161" s="137"/>
      <c r="V161" s="137"/>
      <c r="W161" s="137"/>
      <c r="X161" s="137"/>
      <c r="Y161" s="366" t="s">
        <v>675</v>
      </c>
      <c r="Z161" s="137"/>
      <c r="AA161" s="489" t="s">
        <v>244</v>
      </c>
      <c r="AB161" s="136" t="s">
        <v>245</v>
      </c>
      <c r="AC161" s="136" t="s">
        <v>250</v>
      </c>
      <c r="AD161" s="366" t="s">
        <v>676</v>
      </c>
      <c r="AE161" s="490" t="s">
        <v>677</v>
      </c>
      <c r="AF161" s="366" t="s">
        <v>678</v>
      </c>
      <c r="AG161" s="420" t="s">
        <v>679</v>
      </c>
      <c r="AH161" s="137"/>
      <c r="AI161" s="137"/>
      <c r="AJ161" s="137"/>
      <c r="AK161" s="137"/>
      <c r="AL161" s="137"/>
      <c r="AM161" s="137"/>
      <c r="AN161" s="137"/>
      <c r="AO161" s="137"/>
      <c r="AP161" s="137"/>
      <c r="AQ161" s="137"/>
      <c r="AR161" s="137"/>
      <c r="AS161" s="137"/>
      <c r="AT161" s="137"/>
      <c r="AU161" s="137"/>
      <c r="AV161" s="137"/>
      <c r="AW161" s="137"/>
      <c r="AX161" s="137"/>
      <c r="AY161" s="137"/>
      <c r="AZ161" s="137"/>
      <c r="BA161" s="137"/>
      <c r="BB161" s="137"/>
      <c r="BC161" s="137"/>
      <c r="BD161" s="137"/>
      <c r="BE161" s="137"/>
      <c r="BF161" s="137"/>
      <c r="BG161" s="137"/>
      <c r="BH161" s="137"/>
      <c r="BI161" s="137"/>
      <c r="BJ161" s="137"/>
      <c r="BK161" s="137"/>
      <c r="BL161" s="137"/>
      <c r="BM161" s="137"/>
      <c r="BN161" s="137"/>
      <c r="BO161" s="137"/>
      <c r="BP161" s="137"/>
      <c r="BQ161" s="137"/>
      <c r="BR161" s="137"/>
      <c r="BS161" s="137"/>
      <c r="BT161" s="137"/>
    </row>
    <row r="162" spans="1:72">
      <c r="A162" s="137"/>
      <c r="B162" s="137"/>
      <c r="C162" s="137"/>
      <c r="D162" s="137"/>
      <c r="E162" s="137"/>
      <c r="F162" s="137" t="s">
        <v>680</v>
      </c>
      <c r="G162" s="137"/>
      <c r="H162" s="137"/>
      <c r="I162" s="137"/>
      <c r="J162" s="137"/>
      <c r="K162" s="137"/>
      <c r="L162" s="137"/>
      <c r="M162" s="137"/>
      <c r="N162" s="137"/>
      <c r="O162" s="137" t="s">
        <v>681</v>
      </c>
      <c r="P162" s="137"/>
      <c r="Q162" s="137"/>
      <c r="R162" s="137"/>
      <c r="S162" s="137"/>
      <c r="T162" s="137"/>
      <c r="U162" s="137"/>
      <c r="V162" s="137"/>
      <c r="W162" s="137"/>
      <c r="X162" s="137"/>
      <c r="Y162" s="95" t="s">
        <v>272</v>
      </c>
      <c r="Z162" s="137"/>
      <c r="AA162" s="491">
        <v>450</v>
      </c>
      <c r="AB162" s="120">
        <v>15</v>
      </c>
      <c r="AC162" s="120">
        <v>15</v>
      </c>
      <c r="AD162" s="413" t="s">
        <v>682</v>
      </c>
      <c r="AE162" s="120" t="s">
        <v>683</v>
      </c>
      <c r="AF162" s="413" t="s">
        <v>684</v>
      </c>
      <c r="AG162" s="362">
        <v>0.5</v>
      </c>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c r="BI162" s="137"/>
      <c r="BJ162" s="137"/>
      <c r="BK162" s="137"/>
      <c r="BL162" s="137"/>
      <c r="BM162" s="137"/>
      <c r="BN162" s="137"/>
      <c r="BO162" s="137"/>
      <c r="BP162" s="137"/>
      <c r="BQ162" s="137"/>
      <c r="BR162" s="137"/>
      <c r="BS162" s="137"/>
      <c r="BT162" s="137"/>
    </row>
    <row r="163" spans="1:72">
      <c r="A163" s="137"/>
      <c r="B163" s="137"/>
      <c r="C163" s="137"/>
      <c r="D163" s="137"/>
      <c r="E163" s="137"/>
      <c r="F163" s="342" t="s">
        <v>645</v>
      </c>
      <c r="G163" s="344"/>
      <c r="H163" s="136" t="s">
        <v>243</v>
      </c>
      <c r="I163" s="136" t="s">
        <v>244</v>
      </c>
      <c r="J163" s="136" t="s">
        <v>245</v>
      </c>
      <c r="K163" s="136" t="s">
        <v>250</v>
      </c>
      <c r="L163" s="136" t="s">
        <v>246</v>
      </c>
      <c r="M163" s="136" t="s">
        <v>247</v>
      </c>
      <c r="N163" s="137"/>
      <c r="O163" s="342" t="s">
        <v>685</v>
      </c>
      <c r="P163" s="344"/>
      <c r="Q163" s="136" t="s">
        <v>243</v>
      </c>
      <c r="R163" s="136" t="s">
        <v>244</v>
      </c>
      <c r="S163" s="136" t="s">
        <v>686</v>
      </c>
      <c r="T163" s="136" t="s">
        <v>246</v>
      </c>
      <c r="U163" s="136" t="s">
        <v>247</v>
      </c>
      <c r="V163" s="137"/>
      <c r="W163" s="137"/>
      <c r="X163" s="137"/>
      <c r="Y163" s="95" t="s">
        <v>280</v>
      </c>
      <c r="Z163" s="391"/>
      <c r="AA163" s="137" t="s">
        <v>493</v>
      </c>
      <c r="AB163" s="137"/>
      <c r="AC163" s="137" t="s">
        <v>687</v>
      </c>
      <c r="AD163" s="137"/>
      <c r="AE163" s="137"/>
      <c r="AF163" s="137"/>
      <c r="AG163" s="137"/>
      <c r="AH163" s="137"/>
      <c r="AI163" s="137"/>
      <c r="AJ163" s="137"/>
      <c r="AK163" s="137"/>
      <c r="AL163" s="137"/>
      <c r="AM163" s="137"/>
      <c r="AN163" s="137"/>
      <c r="AO163" s="137"/>
      <c r="AP163" s="137"/>
      <c r="AQ163" s="137"/>
      <c r="AR163" s="137"/>
      <c r="AS163" s="137"/>
      <c r="AT163" s="137"/>
      <c r="AU163" s="137"/>
      <c r="AV163" s="137"/>
      <c r="AW163" s="137"/>
      <c r="AX163" s="137"/>
      <c r="AY163" s="137"/>
      <c r="AZ163" s="137"/>
      <c r="BA163" s="137"/>
      <c r="BB163" s="137"/>
      <c r="BC163" s="137"/>
      <c r="BD163" s="137"/>
      <c r="BE163" s="137"/>
      <c r="BF163" s="137"/>
      <c r="BG163" s="137"/>
      <c r="BH163" s="137"/>
      <c r="BI163" s="137"/>
      <c r="BJ163" s="137"/>
      <c r="BK163" s="137"/>
      <c r="BL163" s="137"/>
      <c r="BM163" s="137"/>
      <c r="BN163" s="137"/>
      <c r="BO163" s="137"/>
      <c r="BP163" s="137"/>
      <c r="BQ163" s="137"/>
      <c r="BR163" s="137"/>
      <c r="BS163" s="137"/>
      <c r="BT163" s="137"/>
    </row>
    <row r="164" spans="1:72">
      <c r="A164" s="137"/>
      <c r="B164" s="137"/>
      <c r="C164" s="137"/>
      <c r="D164" s="137"/>
      <c r="E164" s="137"/>
      <c r="F164" s="95" t="s">
        <v>688</v>
      </c>
      <c r="G164" s="345"/>
      <c r="H164" s="121">
        <v>1</v>
      </c>
      <c r="I164" s="120">
        <v>1600</v>
      </c>
      <c r="J164" s="120">
        <v>100</v>
      </c>
      <c r="K164" s="120">
        <f>J164*1.4</f>
        <v>140</v>
      </c>
      <c r="L164" s="120"/>
      <c r="M164" s="149"/>
      <c r="N164" s="137"/>
      <c r="O164" s="95" t="s">
        <v>689</v>
      </c>
      <c r="P164" s="345"/>
      <c r="Q164" s="121">
        <v>1</v>
      </c>
      <c r="R164" s="120">
        <v>1400</v>
      </c>
      <c r="S164" s="120">
        <v>50</v>
      </c>
      <c r="T164" s="120"/>
      <c r="U164" s="149"/>
      <c r="V164" s="137"/>
      <c r="W164" s="137"/>
      <c r="X164" s="137"/>
      <c r="Y164" s="137"/>
      <c r="Z164" s="137"/>
      <c r="AA164" s="137"/>
      <c r="AB164" s="137"/>
      <c r="AC164" s="137"/>
      <c r="AD164" s="137"/>
      <c r="AE164" s="137"/>
      <c r="AF164" s="137"/>
      <c r="AG164" s="137"/>
      <c r="AH164" s="137"/>
      <c r="AI164" s="137"/>
      <c r="AJ164" s="137"/>
      <c r="AK164" s="137"/>
      <c r="AL164" s="137"/>
      <c r="AM164" s="137"/>
      <c r="AN164" s="137"/>
      <c r="AO164" s="137"/>
      <c r="AP164" s="137"/>
      <c r="AQ164" s="137"/>
      <c r="AR164" s="137"/>
      <c r="AS164" s="137"/>
      <c r="AT164" s="137"/>
      <c r="AU164" s="137"/>
      <c r="AV164" s="137"/>
      <c r="AW164" s="137"/>
      <c r="AX164" s="137"/>
      <c r="AY164" s="137"/>
      <c r="AZ164" s="137"/>
      <c r="BA164" s="137"/>
      <c r="BB164" s="137"/>
      <c r="BC164" s="137"/>
      <c r="BD164" s="137"/>
      <c r="BE164" s="137"/>
      <c r="BF164" s="137"/>
      <c r="BG164" s="137"/>
      <c r="BH164" s="137"/>
      <c r="BI164" s="137"/>
      <c r="BJ164" s="137"/>
      <c r="BK164" s="137"/>
      <c r="BL164" s="137"/>
      <c r="BM164" s="137"/>
      <c r="BN164" s="137"/>
      <c r="BO164" s="137"/>
      <c r="BP164" s="137"/>
      <c r="BQ164" s="137"/>
      <c r="BR164" s="137"/>
      <c r="BS164" s="137"/>
      <c r="BT164" s="137"/>
    </row>
    <row r="165" spans="1:72">
      <c r="A165" s="137"/>
      <c r="B165" s="137"/>
      <c r="C165" s="137"/>
      <c r="D165" s="137"/>
      <c r="E165" s="137"/>
      <c r="F165" s="95" t="s">
        <v>690</v>
      </c>
      <c r="G165" s="345"/>
      <c r="H165" s="121">
        <v>2</v>
      </c>
      <c r="I165" s="120">
        <v>1700</v>
      </c>
      <c r="J165" s="120">
        <v>105</v>
      </c>
      <c r="K165" s="120">
        <f t="shared" ref="K165:K173" si="30">J165*1.4</f>
        <v>147</v>
      </c>
      <c r="L165" s="150">
        <v>115000</v>
      </c>
      <c r="M165" s="149">
        <v>3</v>
      </c>
      <c r="N165" s="137"/>
      <c r="O165" s="95" t="s">
        <v>691</v>
      </c>
      <c r="P165" s="345"/>
      <c r="Q165" s="121">
        <v>2</v>
      </c>
      <c r="R165" s="120">
        <v>1450</v>
      </c>
      <c r="S165" s="120">
        <v>53</v>
      </c>
      <c r="T165" s="150">
        <v>210000</v>
      </c>
      <c r="U165" s="149">
        <v>3</v>
      </c>
      <c r="V165" s="137"/>
      <c r="W165" s="137"/>
      <c r="X165" s="137"/>
      <c r="Y165" s="137" t="s">
        <v>692</v>
      </c>
      <c r="Z165" s="137"/>
      <c r="AA165" s="137"/>
      <c r="AB165" s="137"/>
      <c r="AC165" s="137"/>
      <c r="AD165" s="137"/>
      <c r="AE165" s="137"/>
      <c r="AF165" s="137"/>
      <c r="AG165" s="137"/>
      <c r="AH165" s="137"/>
      <c r="AI165" s="137"/>
      <c r="AJ165" s="137"/>
      <c r="AK165" s="137"/>
      <c r="AL165" s="137"/>
      <c r="AM165" s="137"/>
      <c r="AN165" s="137"/>
      <c r="AO165" s="137"/>
      <c r="AP165" s="137"/>
      <c r="AQ165" s="137"/>
      <c r="AR165" s="137"/>
      <c r="AS165" s="137"/>
      <c r="AT165" s="137"/>
      <c r="AU165" s="137"/>
      <c r="AV165" s="137"/>
      <c r="AW165" s="137"/>
      <c r="AX165" s="137"/>
      <c r="AY165" s="137"/>
      <c r="AZ165" s="137"/>
      <c r="BA165" s="137"/>
      <c r="BB165" s="137"/>
      <c r="BC165" s="137"/>
      <c r="BD165" s="137"/>
      <c r="BE165" s="137"/>
      <c r="BF165" s="137"/>
      <c r="BG165" s="137"/>
      <c r="BH165" s="137"/>
      <c r="BI165" s="137"/>
      <c r="BJ165" s="137"/>
      <c r="BK165" s="137"/>
      <c r="BL165" s="137"/>
      <c r="BM165" s="137"/>
      <c r="BN165" s="137"/>
      <c r="BO165" s="137"/>
      <c r="BP165" s="137"/>
      <c r="BQ165" s="137"/>
      <c r="BR165" s="137"/>
      <c r="BS165" s="137"/>
      <c r="BT165" s="137"/>
    </row>
    <row r="166" spans="1:72">
      <c r="A166" s="137"/>
      <c r="B166" s="137"/>
      <c r="C166" s="137"/>
      <c r="D166" s="137"/>
      <c r="E166" s="137"/>
      <c r="F166" s="346" t="s">
        <v>445</v>
      </c>
      <c r="G166" s="347"/>
      <c r="H166" s="121">
        <v>3</v>
      </c>
      <c r="I166" s="120">
        <v>1800</v>
      </c>
      <c r="J166" s="120">
        <v>110</v>
      </c>
      <c r="K166" s="120">
        <f t="shared" si="30"/>
        <v>154</v>
      </c>
      <c r="L166" s="150">
        <v>130000</v>
      </c>
      <c r="M166" s="149">
        <v>4</v>
      </c>
      <c r="N166" s="137"/>
      <c r="O166" s="346" t="s">
        <v>279</v>
      </c>
      <c r="P166" s="347"/>
      <c r="Q166" s="121">
        <v>3</v>
      </c>
      <c r="R166" s="120">
        <v>1500</v>
      </c>
      <c r="S166" s="120">
        <v>56</v>
      </c>
      <c r="T166" s="150">
        <v>220000</v>
      </c>
      <c r="U166" s="149">
        <v>4</v>
      </c>
      <c r="V166" s="137"/>
      <c r="W166" s="137"/>
      <c r="X166" s="137"/>
      <c r="Y166" s="342" t="s">
        <v>693</v>
      </c>
      <c r="Z166" s="344"/>
      <c r="AA166" s="136" t="s">
        <v>243</v>
      </c>
      <c r="AB166" s="136" t="s">
        <v>244</v>
      </c>
      <c r="AC166" s="136" t="s">
        <v>245</v>
      </c>
      <c r="AD166" s="136" t="s">
        <v>250</v>
      </c>
      <c r="AE166" s="136" t="s">
        <v>694</v>
      </c>
      <c r="AF166" s="136" t="s">
        <v>246</v>
      </c>
      <c r="AG166" s="136" t="s">
        <v>247</v>
      </c>
      <c r="AH166" s="137"/>
      <c r="AI166" s="137"/>
      <c r="AJ166" s="137"/>
      <c r="AK166" s="137"/>
      <c r="AL166" s="137"/>
      <c r="AM166" s="137"/>
      <c r="AN166" s="137"/>
      <c r="AO166" s="137"/>
      <c r="AP166" s="137"/>
      <c r="AQ166" s="137"/>
      <c r="AR166" s="137"/>
      <c r="AS166" s="137"/>
      <c r="AT166" s="137"/>
      <c r="AU166" s="137"/>
      <c r="AV166" s="137"/>
      <c r="AW166" s="137"/>
      <c r="AX166" s="137"/>
      <c r="AY166" s="137"/>
      <c r="AZ166" s="137"/>
      <c r="BA166" s="137"/>
      <c r="BB166" s="137"/>
      <c r="BC166" s="137"/>
      <c r="BD166" s="137"/>
      <c r="BE166" s="137"/>
      <c r="BF166" s="137"/>
      <c r="BG166" s="137"/>
      <c r="BH166" s="137"/>
      <c r="BI166" s="137"/>
      <c r="BJ166" s="137"/>
      <c r="BK166" s="137"/>
      <c r="BL166" s="137"/>
      <c r="BM166" s="137"/>
      <c r="BN166" s="137"/>
      <c r="BO166" s="137"/>
      <c r="BP166" s="137"/>
      <c r="BQ166" s="137"/>
      <c r="BR166" s="137"/>
      <c r="BS166" s="137"/>
      <c r="BT166" s="137"/>
    </row>
    <row r="167" spans="1:72">
      <c r="A167" s="137"/>
      <c r="B167" s="137"/>
      <c r="C167" s="137"/>
      <c r="D167" s="137"/>
      <c r="E167" s="137"/>
      <c r="F167" s="342" t="s">
        <v>287</v>
      </c>
      <c r="G167" s="344"/>
      <c r="H167" s="121">
        <v>4</v>
      </c>
      <c r="I167" s="120">
        <v>1900</v>
      </c>
      <c r="J167" s="120">
        <v>115</v>
      </c>
      <c r="K167" s="120">
        <f t="shared" si="30"/>
        <v>161</v>
      </c>
      <c r="L167" s="150">
        <v>145000</v>
      </c>
      <c r="M167" s="149">
        <v>5</v>
      </c>
      <c r="N167" s="137"/>
      <c r="O167" s="342" t="s">
        <v>695</v>
      </c>
      <c r="P167" s="344"/>
      <c r="Q167" s="121">
        <v>4</v>
      </c>
      <c r="R167" s="120">
        <v>1550</v>
      </c>
      <c r="S167" s="120">
        <v>59</v>
      </c>
      <c r="T167" s="150">
        <v>230000</v>
      </c>
      <c r="U167" s="149">
        <v>5</v>
      </c>
      <c r="V167" s="137"/>
      <c r="W167" s="137"/>
      <c r="X167" s="137"/>
      <c r="Y167" s="95" t="s">
        <v>437</v>
      </c>
      <c r="Z167" s="345"/>
      <c r="AA167" s="122">
        <v>1</v>
      </c>
      <c r="AB167" s="486" t="s">
        <v>696</v>
      </c>
      <c r="AC167" s="486">
        <v>105</v>
      </c>
      <c r="AD167" s="486">
        <v>115.5</v>
      </c>
      <c r="AE167" s="486">
        <v>2</v>
      </c>
      <c r="AF167" s="120"/>
      <c r="AG167" s="149"/>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137"/>
      <c r="BK167" s="137"/>
      <c r="BL167" s="137"/>
      <c r="BM167" s="137"/>
      <c r="BN167" s="137"/>
      <c r="BO167" s="137"/>
      <c r="BP167" s="137"/>
      <c r="BQ167" s="137"/>
      <c r="BR167" s="137"/>
      <c r="BS167" s="137"/>
      <c r="BT167" s="137"/>
    </row>
    <row r="168" spans="1:72">
      <c r="A168" s="137"/>
      <c r="B168" s="137"/>
      <c r="C168" s="137"/>
      <c r="D168" s="137"/>
      <c r="E168" s="137"/>
      <c r="F168" s="137" t="s">
        <v>697</v>
      </c>
      <c r="G168" s="345"/>
      <c r="H168" s="121">
        <v>5</v>
      </c>
      <c r="I168" s="120">
        <v>2000</v>
      </c>
      <c r="J168" s="120">
        <v>120</v>
      </c>
      <c r="K168" s="120">
        <f t="shared" si="30"/>
        <v>168</v>
      </c>
      <c r="L168" s="150">
        <v>160000</v>
      </c>
      <c r="M168" s="149">
        <v>5.5</v>
      </c>
      <c r="N168" s="137"/>
      <c r="O168" s="95" t="s">
        <v>486</v>
      </c>
      <c r="P168" s="345"/>
      <c r="Q168" s="121">
        <v>5</v>
      </c>
      <c r="R168" s="120">
        <v>1600</v>
      </c>
      <c r="S168" s="120">
        <v>62</v>
      </c>
      <c r="T168" s="150">
        <v>240000</v>
      </c>
      <c r="U168" s="149">
        <v>5.5</v>
      </c>
      <c r="V168" s="137"/>
      <c r="W168" s="137"/>
      <c r="X168" s="137"/>
      <c r="Y168" s="95" t="s">
        <v>698</v>
      </c>
      <c r="Z168" s="345"/>
      <c r="AA168" s="122">
        <v>2</v>
      </c>
      <c r="AB168" s="486" t="s">
        <v>699</v>
      </c>
      <c r="AC168" s="486">
        <v>110</v>
      </c>
      <c r="AD168" s="486">
        <v>121</v>
      </c>
      <c r="AE168" s="486">
        <v>2</v>
      </c>
      <c r="AF168" s="150">
        <v>220000</v>
      </c>
      <c r="AG168" s="149">
        <v>3</v>
      </c>
      <c r="AH168" s="137"/>
      <c r="AI168" s="137"/>
      <c r="AJ168" s="137"/>
      <c r="AK168" s="137"/>
      <c r="AL168" s="137"/>
      <c r="AM168" s="137"/>
      <c r="AN168" s="137"/>
      <c r="AO168" s="137"/>
      <c r="AP168" s="137"/>
      <c r="AQ168" s="137"/>
      <c r="AR168" s="137"/>
      <c r="AS168" s="137"/>
      <c r="AT168" s="137"/>
      <c r="AU168" s="137"/>
      <c r="AV168" s="137"/>
      <c r="AW168" s="137"/>
      <c r="AX168" s="137"/>
      <c r="AY168" s="137"/>
      <c r="AZ168" s="137"/>
      <c r="BA168" s="137"/>
      <c r="BB168" s="137"/>
      <c r="BC168" s="137"/>
      <c r="BD168" s="137"/>
      <c r="BE168" s="137"/>
      <c r="BF168" s="137"/>
      <c r="BG168" s="137"/>
      <c r="BH168" s="137"/>
      <c r="BI168" s="137"/>
      <c r="BJ168" s="137"/>
      <c r="BK168" s="137"/>
      <c r="BL168" s="137"/>
      <c r="BM168" s="137"/>
      <c r="BN168" s="137"/>
      <c r="BO168" s="137"/>
      <c r="BP168" s="137"/>
      <c r="BQ168" s="137"/>
      <c r="BR168" s="137"/>
      <c r="BS168" s="137"/>
      <c r="BT168" s="137"/>
    </row>
    <row r="169" spans="1:72">
      <c r="A169" s="137"/>
      <c r="B169" s="137"/>
      <c r="C169" s="137"/>
      <c r="D169" s="137"/>
      <c r="E169" s="137"/>
      <c r="F169" s="346"/>
      <c r="G169" s="347"/>
      <c r="H169" s="121">
        <v>6</v>
      </c>
      <c r="I169" s="120">
        <v>2100</v>
      </c>
      <c r="J169" s="120">
        <v>125</v>
      </c>
      <c r="K169" s="120">
        <f t="shared" si="30"/>
        <v>175</v>
      </c>
      <c r="L169" s="150">
        <v>175000</v>
      </c>
      <c r="M169" s="149">
        <v>6</v>
      </c>
      <c r="N169" s="137"/>
      <c r="O169" s="346"/>
      <c r="P169" s="347"/>
      <c r="Q169" s="121">
        <v>6</v>
      </c>
      <c r="R169" s="120">
        <v>1675</v>
      </c>
      <c r="S169" s="120">
        <v>65</v>
      </c>
      <c r="T169" s="150">
        <v>250000</v>
      </c>
      <c r="U169" s="149">
        <v>6</v>
      </c>
      <c r="V169" s="137"/>
      <c r="W169" s="137"/>
      <c r="X169" s="137"/>
      <c r="Y169" s="346" t="s">
        <v>700</v>
      </c>
      <c r="Z169" s="347"/>
      <c r="AA169" s="122">
        <v>3</v>
      </c>
      <c r="AB169" s="486" t="s">
        <v>701</v>
      </c>
      <c r="AC169" s="486">
        <v>115</v>
      </c>
      <c r="AD169" s="486">
        <v>126.5</v>
      </c>
      <c r="AE169" s="486">
        <v>2</v>
      </c>
      <c r="AF169" s="150">
        <v>230000</v>
      </c>
      <c r="AG169" s="149">
        <v>4</v>
      </c>
      <c r="AH169" s="137"/>
      <c r="AI169" s="137"/>
      <c r="AJ169" s="137"/>
      <c r="AK169" s="137"/>
      <c r="AL169" s="137"/>
      <c r="AM169" s="137"/>
      <c r="AN169" s="137"/>
      <c r="AO169" s="137"/>
      <c r="AP169" s="137"/>
      <c r="AQ169" s="137"/>
      <c r="AR169" s="137"/>
      <c r="AS169" s="137"/>
      <c r="AT169" s="137"/>
      <c r="AU169" s="137"/>
      <c r="AV169" s="137"/>
      <c r="AW169" s="137"/>
      <c r="AX169" s="137"/>
      <c r="AY169" s="137"/>
      <c r="AZ169" s="137"/>
      <c r="BA169" s="137"/>
      <c r="BB169" s="137"/>
      <c r="BC169" s="137"/>
      <c r="BD169" s="137"/>
      <c r="BE169" s="137"/>
      <c r="BF169" s="137"/>
      <c r="BG169" s="137"/>
      <c r="BH169" s="137"/>
      <c r="BI169" s="137"/>
      <c r="BJ169" s="137"/>
      <c r="BK169" s="137"/>
      <c r="BL169" s="137"/>
      <c r="BM169" s="137"/>
      <c r="BN169" s="137"/>
      <c r="BO169" s="137"/>
      <c r="BP169" s="137"/>
      <c r="BQ169" s="137"/>
      <c r="BR169" s="137"/>
      <c r="BS169" s="137"/>
      <c r="BT169" s="137"/>
    </row>
    <row r="170" spans="1:72">
      <c r="A170" s="137"/>
      <c r="B170" s="137"/>
      <c r="C170" s="137"/>
      <c r="D170" s="137"/>
      <c r="E170" s="137"/>
      <c r="F170" s="95" t="s">
        <v>424</v>
      </c>
      <c r="G170" s="344"/>
      <c r="H170" s="121">
        <v>7</v>
      </c>
      <c r="I170" s="120">
        <v>2200</v>
      </c>
      <c r="J170" s="120">
        <v>130</v>
      </c>
      <c r="K170" s="120">
        <f t="shared" si="30"/>
        <v>182</v>
      </c>
      <c r="L170" s="150">
        <v>190000</v>
      </c>
      <c r="M170" s="149">
        <v>6.5</v>
      </c>
      <c r="N170" s="137"/>
      <c r="O170" s="95" t="s">
        <v>424</v>
      </c>
      <c r="P170" s="344"/>
      <c r="Q170" s="121">
        <v>7</v>
      </c>
      <c r="R170" s="120">
        <v>1725</v>
      </c>
      <c r="S170" s="120">
        <v>68</v>
      </c>
      <c r="T170" s="150">
        <v>260000</v>
      </c>
      <c r="U170" s="149">
        <v>6.5</v>
      </c>
      <c r="V170" s="137"/>
      <c r="W170" s="137"/>
      <c r="X170" s="137"/>
      <c r="Y170" s="342" t="s">
        <v>287</v>
      </c>
      <c r="Z170" s="344"/>
      <c r="AA170" s="122">
        <v>4</v>
      </c>
      <c r="AB170" s="486" t="s">
        <v>702</v>
      </c>
      <c r="AC170" s="486">
        <v>120</v>
      </c>
      <c r="AD170" s="486">
        <v>132</v>
      </c>
      <c r="AE170" s="486">
        <v>2</v>
      </c>
      <c r="AF170" s="150">
        <v>240000</v>
      </c>
      <c r="AG170" s="149">
        <v>5</v>
      </c>
      <c r="AH170" s="137"/>
      <c r="AI170" s="137"/>
      <c r="AJ170" s="137"/>
      <c r="AK170" s="137"/>
      <c r="AL170" s="137"/>
      <c r="AM170" s="137"/>
      <c r="AN170" s="137"/>
      <c r="AO170" s="137"/>
      <c r="AP170" s="137"/>
      <c r="AQ170" s="137"/>
      <c r="AR170" s="137"/>
      <c r="AS170" s="137"/>
      <c r="AT170" s="137"/>
      <c r="AU170" s="137"/>
      <c r="AV170" s="137"/>
      <c r="AW170" s="137"/>
      <c r="AX170" s="137"/>
      <c r="AY170" s="137"/>
      <c r="AZ170" s="137"/>
      <c r="BA170" s="137"/>
      <c r="BB170" s="137"/>
      <c r="BC170" s="137"/>
      <c r="BD170" s="137"/>
      <c r="BE170" s="137"/>
      <c r="BF170" s="137"/>
      <c r="BG170" s="137"/>
      <c r="BH170" s="137"/>
      <c r="BI170" s="137"/>
      <c r="BJ170" s="137"/>
      <c r="BK170" s="137"/>
      <c r="BL170" s="137"/>
      <c r="BM170" s="137"/>
      <c r="BN170" s="137"/>
      <c r="BO170" s="137"/>
      <c r="BP170" s="137"/>
      <c r="BQ170" s="137"/>
      <c r="BR170" s="137"/>
      <c r="BS170" s="137"/>
      <c r="BT170" s="137"/>
    </row>
    <row r="171" spans="1:72">
      <c r="A171" s="137"/>
      <c r="B171" s="137"/>
      <c r="C171" s="137"/>
      <c r="D171" s="137"/>
      <c r="E171" s="137"/>
      <c r="F171" s="95" t="s">
        <v>470</v>
      </c>
      <c r="G171" s="345"/>
      <c r="H171" s="121">
        <v>8</v>
      </c>
      <c r="I171" s="120">
        <v>2300</v>
      </c>
      <c r="J171" s="120">
        <v>135</v>
      </c>
      <c r="K171" s="120">
        <f t="shared" si="30"/>
        <v>189</v>
      </c>
      <c r="L171" s="150">
        <v>205000</v>
      </c>
      <c r="M171" s="149">
        <v>7</v>
      </c>
      <c r="N171" s="137"/>
      <c r="O171" s="95" t="s">
        <v>668</v>
      </c>
      <c r="P171" s="345"/>
      <c r="Q171" s="121">
        <v>8</v>
      </c>
      <c r="R171" s="120">
        <v>1800</v>
      </c>
      <c r="S171" s="120">
        <v>71</v>
      </c>
      <c r="T171" s="150">
        <v>270000</v>
      </c>
      <c r="U171" s="149">
        <v>7</v>
      </c>
      <c r="V171" s="137"/>
      <c r="W171" s="137"/>
      <c r="X171" s="137"/>
      <c r="Y171" s="137" t="s">
        <v>703</v>
      </c>
      <c r="Z171" s="345"/>
      <c r="AA171" s="122">
        <v>5</v>
      </c>
      <c r="AB171" s="486" t="s">
        <v>704</v>
      </c>
      <c r="AC171" s="486">
        <v>125</v>
      </c>
      <c r="AD171" s="486">
        <v>137.5</v>
      </c>
      <c r="AE171" s="486">
        <v>2.5</v>
      </c>
      <c r="AF171" s="150">
        <v>250000</v>
      </c>
      <c r="AG171" s="149">
        <v>5.5</v>
      </c>
      <c r="AH171" s="137"/>
      <c r="AI171" s="137"/>
      <c r="AJ171" s="137"/>
      <c r="AK171" s="137"/>
      <c r="AL171" s="137"/>
      <c r="AM171" s="137"/>
      <c r="AN171" s="137"/>
      <c r="AO171" s="137"/>
      <c r="AP171" s="137"/>
      <c r="AQ171" s="137"/>
      <c r="AR171" s="137"/>
      <c r="AS171" s="137"/>
      <c r="AT171" s="137"/>
      <c r="AU171" s="137"/>
      <c r="AV171" s="137"/>
      <c r="AW171" s="137"/>
      <c r="AX171" s="137"/>
      <c r="AY171" s="137"/>
      <c r="AZ171" s="137"/>
      <c r="BA171" s="137"/>
      <c r="BB171" s="137"/>
      <c r="BC171" s="137"/>
      <c r="BD171" s="137"/>
      <c r="BE171" s="137"/>
      <c r="BF171" s="137"/>
      <c r="BG171" s="137"/>
      <c r="BH171" s="137"/>
      <c r="BI171" s="137"/>
      <c r="BJ171" s="137"/>
      <c r="BK171" s="137"/>
      <c r="BL171" s="137"/>
      <c r="BM171" s="137"/>
      <c r="BN171" s="137"/>
      <c r="BO171" s="137"/>
      <c r="BP171" s="137"/>
      <c r="BQ171" s="137"/>
      <c r="BR171" s="137"/>
      <c r="BS171" s="137"/>
      <c r="BT171" s="137"/>
    </row>
    <row r="172" spans="1:72">
      <c r="A172" s="137"/>
      <c r="B172" s="137"/>
      <c r="C172" s="137"/>
      <c r="D172" s="137"/>
      <c r="E172" s="137"/>
      <c r="F172" s="95" t="s">
        <v>473</v>
      </c>
      <c r="G172" s="345"/>
      <c r="H172" s="121">
        <v>9</v>
      </c>
      <c r="I172" s="120">
        <v>2400</v>
      </c>
      <c r="J172" s="120">
        <v>140</v>
      </c>
      <c r="K172" s="120">
        <f t="shared" si="30"/>
        <v>196</v>
      </c>
      <c r="L172" s="150">
        <v>220000</v>
      </c>
      <c r="M172" s="149">
        <v>7.5</v>
      </c>
      <c r="N172" s="137"/>
      <c r="O172" s="95"/>
      <c r="P172" s="345"/>
      <c r="Q172" s="121">
        <v>9</v>
      </c>
      <c r="R172" s="120">
        <v>1875</v>
      </c>
      <c r="S172" s="120">
        <v>74</v>
      </c>
      <c r="T172" s="150">
        <v>280000</v>
      </c>
      <c r="U172" s="149">
        <v>7.5</v>
      </c>
      <c r="V172" s="137"/>
      <c r="W172" s="137"/>
      <c r="X172" s="137"/>
      <c r="Y172" s="346"/>
      <c r="Z172" s="347"/>
      <c r="AA172" s="122">
        <v>6</v>
      </c>
      <c r="AB172" s="486" t="s">
        <v>705</v>
      </c>
      <c r="AC172" s="486">
        <v>130</v>
      </c>
      <c r="AD172" s="486">
        <v>143</v>
      </c>
      <c r="AE172" s="486">
        <v>2.5</v>
      </c>
      <c r="AF172" s="150">
        <v>260000</v>
      </c>
      <c r="AG172" s="149">
        <v>6</v>
      </c>
      <c r="AH172" s="137"/>
      <c r="AI172" s="137"/>
      <c r="AJ172" s="137"/>
      <c r="AK172" s="137"/>
      <c r="AL172" s="137"/>
      <c r="AM172" s="137"/>
      <c r="AN172" s="137"/>
      <c r="AO172" s="137"/>
      <c r="AP172" s="137"/>
      <c r="AQ172" s="137"/>
      <c r="AR172" s="137"/>
      <c r="AS172" s="137"/>
      <c r="AT172" s="137"/>
      <c r="AU172" s="137"/>
      <c r="AV172" s="137"/>
      <c r="AW172" s="137"/>
      <c r="AX172" s="137"/>
      <c r="AY172" s="137"/>
      <c r="AZ172" s="137"/>
      <c r="BA172" s="137"/>
      <c r="BB172" s="137"/>
      <c r="BC172" s="137"/>
      <c r="BD172" s="137"/>
      <c r="BE172" s="137"/>
      <c r="BF172" s="137"/>
      <c r="BG172" s="137"/>
      <c r="BH172" s="137"/>
      <c r="BI172" s="137"/>
      <c r="BJ172" s="137"/>
      <c r="BK172" s="137"/>
      <c r="BL172" s="137"/>
      <c r="BM172" s="137"/>
      <c r="BN172" s="137"/>
      <c r="BO172" s="137"/>
      <c r="BP172" s="137"/>
      <c r="BQ172" s="137"/>
      <c r="BR172" s="137"/>
      <c r="BS172" s="137"/>
      <c r="BT172" s="137"/>
    </row>
    <row r="173" spans="1:72">
      <c r="A173" s="137"/>
      <c r="B173" s="137"/>
      <c r="C173" s="137"/>
      <c r="D173" s="137"/>
      <c r="E173" s="137"/>
      <c r="F173" s="95" t="s">
        <v>475</v>
      </c>
      <c r="G173" s="345"/>
      <c r="H173" s="121">
        <v>10</v>
      </c>
      <c r="I173" s="120">
        <v>2500</v>
      </c>
      <c r="J173" s="120">
        <v>145</v>
      </c>
      <c r="K173" s="120">
        <f t="shared" si="30"/>
        <v>203</v>
      </c>
      <c r="L173" s="150">
        <v>235000</v>
      </c>
      <c r="M173" s="149">
        <v>8</v>
      </c>
      <c r="N173" s="137"/>
      <c r="O173" s="137"/>
      <c r="P173" s="345"/>
      <c r="Q173" s="121">
        <v>10</v>
      </c>
      <c r="R173" s="120">
        <v>1950</v>
      </c>
      <c r="S173" s="120">
        <v>77</v>
      </c>
      <c r="T173" s="150">
        <v>290000</v>
      </c>
      <c r="U173" s="149">
        <v>8</v>
      </c>
      <c r="V173" s="137"/>
      <c r="W173" s="137"/>
      <c r="X173" s="137"/>
      <c r="Y173" s="95" t="s">
        <v>424</v>
      </c>
      <c r="Z173" s="344"/>
      <c r="AA173" s="122">
        <v>7</v>
      </c>
      <c r="AB173" s="486" t="s">
        <v>706</v>
      </c>
      <c r="AC173" s="486">
        <v>135</v>
      </c>
      <c r="AD173" s="486">
        <v>148.5</v>
      </c>
      <c r="AE173" s="486">
        <v>2.5</v>
      </c>
      <c r="AF173" s="150">
        <v>270000</v>
      </c>
      <c r="AG173" s="149">
        <v>6.5</v>
      </c>
      <c r="AH173" s="137"/>
      <c r="AI173" s="137"/>
      <c r="AJ173" s="137"/>
      <c r="AK173" s="137"/>
      <c r="AL173" s="137"/>
      <c r="AM173" s="137"/>
      <c r="AN173" s="137"/>
      <c r="AO173" s="137"/>
      <c r="AP173" s="137"/>
      <c r="AQ173" s="137"/>
      <c r="AR173" s="137"/>
      <c r="AS173" s="137"/>
      <c r="AT173" s="137"/>
      <c r="AU173" s="137"/>
      <c r="AV173" s="137"/>
      <c r="AW173" s="137"/>
      <c r="AX173" s="137"/>
      <c r="AY173" s="137"/>
      <c r="AZ173" s="137"/>
      <c r="BA173" s="137"/>
      <c r="BB173" s="137"/>
      <c r="BC173" s="137"/>
      <c r="BD173" s="137"/>
      <c r="BE173" s="137"/>
      <c r="BF173" s="137"/>
      <c r="BG173" s="137"/>
      <c r="BH173" s="137"/>
      <c r="BI173" s="137"/>
      <c r="BJ173" s="137"/>
      <c r="BK173" s="137"/>
      <c r="BL173" s="137"/>
      <c r="BM173" s="137"/>
      <c r="BN173" s="137"/>
      <c r="BO173" s="137"/>
      <c r="BP173" s="137"/>
      <c r="BQ173" s="137"/>
      <c r="BR173" s="137"/>
      <c r="BS173" s="137"/>
      <c r="BT173" s="137"/>
    </row>
    <row r="174" spans="1:72">
      <c r="A174" s="137"/>
      <c r="B174" s="137"/>
      <c r="C174" s="137"/>
      <c r="D174" s="137"/>
      <c r="E174" s="137"/>
      <c r="F174" s="95" t="s">
        <v>668</v>
      </c>
      <c r="G174" s="137"/>
      <c r="H174" s="137" t="s">
        <v>707</v>
      </c>
      <c r="I174" s="137"/>
      <c r="J174" s="137"/>
      <c r="K174" s="137"/>
      <c r="L174" s="137"/>
      <c r="M174" s="137"/>
      <c r="N174" s="137"/>
      <c r="O174" s="137"/>
      <c r="P174" s="137"/>
      <c r="Q174" s="137" t="s">
        <v>708</v>
      </c>
      <c r="R174" s="137"/>
      <c r="S174" s="137"/>
      <c r="T174" s="137"/>
      <c r="U174" s="137"/>
      <c r="V174" s="137"/>
      <c r="W174" s="137"/>
      <c r="X174" s="137"/>
      <c r="Y174" s="95"/>
      <c r="Z174" s="345"/>
      <c r="AA174" s="122">
        <v>8</v>
      </c>
      <c r="AB174" s="486" t="s">
        <v>709</v>
      </c>
      <c r="AC174" s="486">
        <v>140</v>
      </c>
      <c r="AD174" s="486">
        <v>154</v>
      </c>
      <c r="AE174" s="486">
        <v>2.5</v>
      </c>
      <c r="AF174" s="150">
        <v>280000</v>
      </c>
      <c r="AG174" s="149">
        <v>7</v>
      </c>
      <c r="AH174" s="137"/>
      <c r="AI174" s="137"/>
      <c r="AJ174" s="137"/>
      <c r="AK174" s="137"/>
      <c r="AL174" s="137"/>
      <c r="AM174" s="137"/>
      <c r="AN174" s="137"/>
      <c r="AO174" s="137"/>
      <c r="AP174" s="137"/>
      <c r="AQ174" s="137"/>
      <c r="AR174" s="137"/>
      <c r="AS174" s="137"/>
      <c r="AT174" s="137"/>
      <c r="AU174" s="137"/>
      <c r="AV174" s="137"/>
      <c r="AW174" s="137"/>
      <c r="AX174" s="137"/>
      <c r="AY174" s="137"/>
      <c r="AZ174" s="137"/>
      <c r="BA174" s="137"/>
      <c r="BB174" s="137"/>
      <c r="BC174" s="137"/>
      <c r="BD174" s="137"/>
      <c r="BE174" s="137"/>
      <c r="BF174" s="137"/>
      <c r="BG174" s="137"/>
      <c r="BH174" s="137"/>
      <c r="BI174" s="137"/>
      <c r="BJ174" s="137"/>
      <c r="BK174" s="137"/>
      <c r="BL174" s="137"/>
      <c r="BM174" s="137"/>
      <c r="BN174" s="137"/>
      <c r="BO174" s="137"/>
      <c r="BP174" s="137"/>
      <c r="BQ174" s="137"/>
      <c r="BR174" s="137"/>
      <c r="BS174" s="137"/>
      <c r="BT174" s="137"/>
    </row>
    <row r="175" spans="1:72">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95" t="s">
        <v>668</v>
      </c>
      <c r="Z175" s="345"/>
      <c r="AA175" s="122">
        <v>9</v>
      </c>
      <c r="AB175" s="486" t="s">
        <v>710</v>
      </c>
      <c r="AC175" s="486">
        <v>145</v>
      </c>
      <c r="AD175" s="486">
        <v>159.5</v>
      </c>
      <c r="AE175" s="486">
        <v>2.5</v>
      </c>
      <c r="AF175" s="150">
        <v>290000</v>
      </c>
      <c r="AG175" s="149">
        <v>7.5</v>
      </c>
      <c r="AH175" s="137"/>
      <c r="AI175" s="137"/>
      <c r="AJ175" s="137"/>
      <c r="AK175" s="137"/>
      <c r="AL175" s="137"/>
      <c r="AM175" s="137"/>
      <c r="AN175" s="137"/>
      <c r="AO175" s="137"/>
      <c r="AP175" s="137"/>
      <c r="AQ175" s="137"/>
      <c r="AR175" s="137"/>
      <c r="AS175" s="137"/>
      <c r="AT175" s="137"/>
      <c r="AU175" s="137"/>
      <c r="AV175" s="137"/>
      <c r="AW175" s="137"/>
      <c r="AX175" s="137"/>
      <c r="AY175" s="137"/>
      <c r="AZ175" s="137"/>
      <c r="BA175" s="137"/>
      <c r="BB175" s="137"/>
      <c r="BC175" s="137"/>
      <c r="BD175" s="137"/>
      <c r="BE175" s="137"/>
      <c r="BF175" s="137"/>
      <c r="BG175" s="137"/>
      <c r="BH175" s="137"/>
      <c r="BI175" s="137"/>
      <c r="BJ175" s="137"/>
      <c r="BK175" s="137"/>
      <c r="BL175" s="137"/>
      <c r="BM175" s="137"/>
      <c r="BN175" s="137"/>
      <c r="BO175" s="137"/>
      <c r="BP175" s="137"/>
      <c r="BQ175" s="137"/>
      <c r="BR175" s="137"/>
      <c r="BS175" s="137"/>
      <c r="BT175" s="137"/>
    </row>
    <row r="176" spans="1:72">
      <c r="A176" s="137"/>
      <c r="B176" s="137"/>
      <c r="C176" s="137"/>
      <c r="D176" s="137"/>
      <c r="E176" s="137"/>
      <c r="F176" s="137" t="s">
        <v>711</v>
      </c>
      <c r="G176" s="137"/>
      <c r="H176" s="137"/>
      <c r="I176" s="137"/>
      <c r="J176" s="137"/>
      <c r="K176" s="137"/>
      <c r="L176" s="137"/>
      <c r="M176" s="137"/>
      <c r="N176" s="137"/>
      <c r="O176" s="137"/>
      <c r="P176" s="137"/>
      <c r="Q176" s="137"/>
      <c r="R176" s="137"/>
      <c r="S176" s="137"/>
      <c r="T176" s="137"/>
      <c r="U176" s="137"/>
      <c r="V176" s="137"/>
      <c r="W176" s="137"/>
      <c r="X176" s="137"/>
      <c r="Y176" s="95"/>
      <c r="Z176" s="345"/>
      <c r="AA176" s="122">
        <v>10</v>
      </c>
      <c r="AB176" s="486" t="s">
        <v>712</v>
      </c>
      <c r="AC176" s="486">
        <v>150</v>
      </c>
      <c r="AD176" s="486">
        <v>165</v>
      </c>
      <c r="AE176" s="486">
        <v>3</v>
      </c>
      <c r="AF176" s="150">
        <v>300000</v>
      </c>
      <c r="AG176" s="149">
        <v>8</v>
      </c>
      <c r="AH176" s="137"/>
      <c r="AI176" s="137"/>
      <c r="AJ176" s="137"/>
      <c r="AK176" s="137"/>
      <c r="AL176" s="137"/>
      <c r="AM176" s="137"/>
      <c r="AN176" s="137"/>
      <c r="AO176" s="137"/>
      <c r="AP176" s="137"/>
      <c r="AQ176" s="137"/>
      <c r="AR176" s="137"/>
      <c r="AS176" s="137"/>
      <c r="AT176" s="137"/>
      <c r="AU176" s="137"/>
      <c r="AV176" s="137"/>
      <c r="AW176" s="137"/>
      <c r="AX176" s="137"/>
      <c r="AY176" s="137"/>
      <c r="AZ176" s="137"/>
      <c r="BA176" s="137"/>
      <c r="BB176" s="137"/>
      <c r="BC176" s="137"/>
      <c r="BD176" s="137"/>
      <c r="BE176" s="137"/>
      <c r="BF176" s="137"/>
      <c r="BG176" s="137"/>
      <c r="BH176" s="137"/>
      <c r="BI176" s="137"/>
      <c r="BJ176" s="137"/>
      <c r="BK176" s="137"/>
      <c r="BL176" s="137"/>
      <c r="BM176" s="137"/>
      <c r="BN176" s="137"/>
      <c r="BO176" s="137"/>
      <c r="BP176" s="137"/>
      <c r="BQ176" s="137"/>
      <c r="BR176" s="137"/>
      <c r="BS176" s="137"/>
      <c r="BT176" s="137"/>
    </row>
    <row r="177" spans="1:72">
      <c r="A177" s="137"/>
      <c r="B177" s="137"/>
      <c r="C177" s="137"/>
      <c r="D177" s="137"/>
      <c r="E177" s="137"/>
      <c r="F177" s="342" t="s">
        <v>693</v>
      </c>
      <c r="G177" s="344"/>
      <c r="H177" s="136" t="s">
        <v>243</v>
      </c>
      <c r="I177" s="136" t="s">
        <v>244</v>
      </c>
      <c r="J177" s="136" t="s">
        <v>245</v>
      </c>
      <c r="K177" s="136" t="s">
        <v>713</v>
      </c>
      <c r="L177" s="136" t="s">
        <v>714</v>
      </c>
      <c r="M177" s="136" t="s">
        <v>715</v>
      </c>
      <c r="N177" s="136" t="s">
        <v>246</v>
      </c>
      <c r="O177" s="136" t="s">
        <v>247</v>
      </c>
      <c r="P177" s="137"/>
      <c r="Q177" s="137"/>
      <c r="R177" s="137"/>
      <c r="S177" s="137"/>
      <c r="T177" s="137"/>
      <c r="U177" s="137"/>
      <c r="V177" s="137"/>
      <c r="W177" s="137"/>
      <c r="X177" s="137"/>
      <c r="Y177" s="171"/>
      <c r="Z177" s="137"/>
      <c r="AA177" s="137"/>
      <c r="AB177" s="137"/>
      <c r="AC177" s="137"/>
      <c r="AD177" s="137"/>
      <c r="AE177" s="137"/>
      <c r="AF177" s="137"/>
      <c r="AG177" s="137"/>
      <c r="AH177" s="137"/>
      <c r="AI177" s="137"/>
      <c r="AJ177" s="137"/>
      <c r="AK177" s="137"/>
      <c r="AL177" s="137"/>
      <c r="AM177" s="137"/>
      <c r="AN177" s="137"/>
      <c r="AO177" s="137"/>
      <c r="AP177" s="137"/>
      <c r="AQ177" s="137"/>
      <c r="AR177" s="137"/>
      <c r="AS177" s="137"/>
      <c r="AT177" s="137"/>
      <c r="AU177" s="137"/>
      <c r="AV177" s="137"/>
      <c r="AW177" s="137"/>
      <c r="AX177" s="137"/>
      <c r="AY177" s="137"/>
      <c r="AZ177" s="137"/>
      <c r="BA177" s="137"/>
      <c r="BB177" s="137"/>
      <c r="BC177" s="137"/>
      <c r="BD177" s="137"/>
      <c r="BE177" s="137"/>
      <c r="BF177" s="137"/>
      <c r="BG177" s="137"/>
      <c r="BH177" s="137"/>
      <c r="BI177" s="137"/>
      <c r="BJ177" s="137"/>
      <c r="BK177" s="137"/>
      <c r="BL177" s="137"/>
      <c r="BM177" s="137"/>
      <c r="BN177" s="137"/>
      <c r="BO177" s="137"/>
      <c r="BP177" s="137"/>
      <c r="BQ177" s="137"/>
      <c r="BR177" s="137"/>
      <c r="BS177" s="137"/>
      <c r="BT177" s="137"/>
    </row>
    <row r="178" spans="1:72">
      <c r="A178" s="171"/>
      <c r="B178" s="171"/>
      <c r="C178" s="171"/>
      <c r="D178" s="171"/>
      <c r="E178" s="171"/>
      <c r="F178" s="95" t="s">
        <v>259</v>
      </c>
      <c r="G178" s="345"/>
      <c r="H178" s="122">
        <v>1</v>
      </c>
      <c r="I178" s="486" t="s">
        <v>716</v>
      </c>
      <c r="J178" s="486">
        <v>181</v>
      </c>
      <c r="K178" s="486">
        <v>80</v>
      </c>
      <c r="L178" s="487">
        <v>0.26</v>
      </c>
      <c r="M178" s="487">
        <v>0.35</v>
      </c>
      <c r="N178" s="120"/>
      <c r="O178" s="149"/>
      <c r="P178" s="171"/>
      <c r="Q178" s="171"/>
      <c r="R178" s="171"/>
      <c r="S178" s="171"/>
      <c r="T178" s="171"/>
      <c r="U178" s="171"/>
      <c r="V178" s="171"/>
      <c r="W178" s="171"/>
      <c r="X178" s="171"/>
      <c r="Y178" s="171"/>
      <c r="Z178" s="171"/>
      <c r="AA178" s="171"/>
      <c r="AB178" s="171"/>
      <c r="AC178" s="171"/>
      <c r="AD178" s="171"/>
      <c r="AE178" s="171"/>
      <c r="AF178" s="171"/>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c r="BP178" s="171"/>
      <c r="BQ178" s="171"/>
      <c r="BR178" s="171"/>
      <c r="BS178" s="171"/>
      <c r="BT178" s="171"/>
    </row>
    <row r="179" spans="1:72">
      <c r="A179" s="171"/>
      <c r="B179" s="171"/>
      <c r="C179" s="171"/>
      <c r="D179" s="171"/>
      <c r="E179" s="171"/>
      <c r="F179" s="95" t="s">
        <v>717</v>
      </c>
      <c r="G179" s="345"/>
      <c r="H179" s="122">
        <v>2</v>
      </c>
      <c r="I179" s="486" t="s">
        <v>718</v>
      </c>
      <c r="J179" s="486">
        <v>192</v>
      </c>
      <c r="K179" s="486">
        <v>80</v>
      </c>
      <c r="L179" s="487">
        <v>0.26</v>
      </c>
      <c r="M179" s="487">
        <v>0.35</v>
      </c>
      <c r="N179" s="150">
        <v>225000</v>
      </c>
      <c r="O179" s="149">
        <v>3</v>
      </c>
      <c r="P179" s="171"/>
      <c r="Q179" s="171"/>
      <c r="R179" s="171"/>
      <c r="S179" s="171"/>
      <c r="T179" s="171"/>
      <c r="U179" s="171"/>
      <c r="V179" s="171"/>
      <c r="W179" s="171"/>
      <c r="X179" s="171"/>
      <c r="Y179" s="171"/>
      <c r="Z179" s="171"/>
      <c r="AA179" s="171"/>
      <c r="AB179" s="171"/>
      <c r="AC179" s="171"/>
      <c r="AD179" s="171"/>
      <c r="AE179" s="171"/>
      <c r="AF179" s="171"/>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c r="BP179" s="171"/>
      <c r="BQ179" s="171"/>
      <c r="BR179" s="171"/>
      <c r="BS179" s="171"/>
      <c r="BT179" s="171"/>
    </row>
    <row r="180" spans="1:72">
      <c r="A180" s="171"/>
      <c r="B180" s="171"/>
      <c r="C180" s="171"/>
      <c r="D180" s="171"/>
      <c r="E180" s="171"/>
      <c r="F180" s="346" t="s">
        <v>719</v>
      </c>
      <c r="G180" s="347"/>
      <c r="H180" s="122">
        <v>3</v>
      </c>
      <c r="I180" s="486" t="s">
        <v>720</v>
      </c>
      <c r="J180" s="486">
        <v>203</v>
      </c>
      <c r="K180" s="486">
        <v>80</v>
      </c>
      <c r="L180" s="487">
        <v>0.26</v>
      </c>
      <c r="M180" s="487">
        <v>0.35</v>
      </c>
      <c r="N180" s="150">
        <v>235000</v>
      </c>
      <c r="O180" s="149">
        <v>4</v>
      </c>
      <c r="P180" s="171"/>
      <c r="Q180" s="171"/>
      <c r="R180" s="171"/>
      <c r="S180" s="171"/>
      <c r="T180" s="171"/>
      <c r="U180" s="171"/>
      <c r="V180" s="171"/>
      <c r="W180" s="171"/>
      <c r="X180" s="171"/>
      <c r="Y180" s="171"/>
      <c r="Z180" s="171"/>
      <c r="AA180" s="171"/>
      <c r="AB180" s="171"/>
      <c r="AC180" s="171"/>
      <c r="AD180" s="171"/>
      <c r="AE180" s="171"/>
      <c r="AF180" s="171"/>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c r="BP180" s="171"/>
      <c r="BQ180" s="171"/>
      <c r="BR180" s="171"/>
      <c r="BS180" s="171"/>
      <c r="BT180" s="171"/>
    </row>
    <row r="181" spans="1:72">
      <c r="A181" s="171"/>
      <c r="B181" s="171"/>
      <c r="C181" s="171"/>
      <c r="D181" s="171"/>
      <c r="E181" s="171"/>
      <c r="F181" s="342" t="s">
        <v>287</v>
      </c>
      <c r="G181" s="344"/>
      <c r="H181" s="122">
        <v>4</v>
      </c>
      <c r="I181" s="486" t="s">
        <v>721</v>
      </c>
      <c r="J181" s="486">
        <v>214</v>
      </c>
      <c r="K181" s="486">
        <v>80</v>
      </c>
      <c r="L181" s="487">
        <v>0.26</v>
      </c>
      <c r="M181" s="487">
        <v>0.35</v>
      </c>
      <c r="N181" s="150">
        <v>245000</v>
      </c>
      <c r="O181" s="149">
        <v>5</v>
      </c>
      <c r="P181" s="171"/>
      <c r="Q181" s="171"/>
      <c r="R181" s="171"/>
      <c r="S181" s="171"/>
      <c r="T181" s="171"/>
      <c r="U181" s="171"/>
      <c r="V181" s="171"/>
      <c r="W181" s="171"/>
      <c r="X181" s="171"/>
      <c r="Y181" s="171"/>
      <c r="Z181" s="171"/>
      <c r="AA181" s="171"/>
      <c r="AB181" s="171"/>
      <c r="AC181" s="171"/>
      <c r="AD181" s="171"/>
      <c r="AE181" s="171"/>
      <c r="AF181" s="171"/>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c r="BP181" s="171"/>
      <c r="BQ181" s="171"/>
      <c r="BR181" s="171"/>
      <c r="BS181" s="171"/>
      <c r="BT181" s="171"/>
    </row>
    <row r="182" spans="1:72">
      <c r="A182" s="171"/>
      <c r="B182" s="171"/>
      <c r="C182" s="171"/>
      <c r="D182" s="171"/>
      <c r="E182" s="171"/>
      <c r="F182" s="137"/>
      <c r="G182" s="345"/>
      <c r="H182" s="122">
        <v>5</v>
      </c>
      <c r="I182" s="486" t="s">
        <v>722</v>
      </c>
      <c r="J182" s="486">
        <v>225</v>
      </c>
      <c r="K182" s="486">
        <v>100</v>
      </c>
      <c r="L182" s="487">
        <v>0.34</v>
      </c>
      <c r="M182" s="487">
        <v>0.45</v>
      </c>
      <c r="N182" s="150">
        <v>255000</v>
      </c>
      <c r="O182" s="149">
        <v>5.5</v>
      </c>
      <c r="P182" s="171"/>
      <c r="Q182" s="171"/>
      <c r="R182" s="171"/>
      <c r="S182" s="171"/>
      <c r="T182" s="171"/>
      <c r="U182" s="171"/>
      <c r="V182" s="171"/>
      <c r="W182" s="171"/>
      <c r="X182" s="171"/>
      <c r="Y182" s="171"/>
      <c r="Z182" s="171"/>
      <c r="AA182" s="171"/>
      <c r="AB182" s="171"/>
      <c r="AC182" s="171"/>
      <c r="AD182" s="171"/>
      <c r="AE182" s="171"/>
      <c r="AF182" s="171"/>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c r="BP182" s="171"/>
      <c r="BQ182" s="171"/>
      <c r="BR182" s="171"/>
      <c r="BS182" s="171"/>
      <c r="BT182" s="171"/>
    </row>
    <row r="183" spans="1:72">
      <c r="A183" s="171"/>
      <c r="B183" s="171"/>
      <c r="C183" s="171"/>
      <c r="D183" s="171"/>
      <c r="E183" s="171"/>
      <c r="F183" s="346"/>
      <c r="G183" s="347"/>
      <c r="H183" s="122">
        <v>6</v>
      </c>
      <c r="I183" s="486" t="s">
        <v>723</v>
      </c>
      <c r="J183" s="486">
        <v>236</v>
      </c>
      <c r="K183" s="486">
        <v>100</v>
      </c>
      <c r="L183" s="487">
        <v>0.34</v>
      </c>
      <c r="M183" s="487">
        <v>0.45</v>
      </c>
      <c r="N183" s="150">
        <v>265000</v>
      </c>
      <c r="O183" s="149">
        <v>6</v>
      </c>
      <c r="P183" s="171"/>
      <c r="Q183" s="171"/>
      <c r="R183" s="171"/>
      <c r="S183" s="171"/>
      <c r="T183" s="171"/>
      <c r="U183" s="171"/>
      <c r="V183" s="171"/>
      <c r="W183" s="171"/>
      <c r="X183" s="171"/>
      <c r="Y183" s="171"/>
      <c r="Z183" s="171"/>
      <c r="AA183" s="171"/>
      <c r="AB183" s="171"/>
      <c r="AC183" s="171"/>
      <c r="AD183" s="171"/>
      <c r="AE183" s="171"/>
      <c r="AF183" s="171"/>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c r="BP183" s="171"/>
      <c r="BQ183" s="171"/>
      <c r="BR183" s="171"/>
      <c r="BS183" s="171"/>
      <c r="BT183" s="171"/>
    </row>
    <row r="184" spans="1:72">
      <c r="A184" s="171"/>
      <c r="B184" s="171"/>
      <c r="C184" s="171"/>
      <c r="D184" s="171"/>
      <c r="E184" s="171"/>
      <c r="F184" s="95" t="s">
        <v>424</v>
      </c>
      <c r="G184" s="344"/>
      <c r="H184" s="122">
        <v>7</v>
      </c>
      <c r="I184" s="486" t="s">
        <v>724</v>
      </c>
      <c r="J184" s="486">
        <v>247</v>
      </c>
      <c r="K184" s="486">
        <v>100</v>
      </c>
      <c r="L184" s="487">
        <v>0.34</v>
      </c>
      <c r="M184" s="487">
        <v>0.45</v>
      </c>
      <c r="N184" s="150">
        <v>275000</v>
      </c>
      <c r="O184" s="149">
        <v>6.5</v>
      </c>
      <c r="P184" s="171"/>
      <c r="Q184" s="171"/>
      <c r="R184" s="171"/>
      <c r="S184" s="171"/>
      <c r="T184" s="171"/>
      <c r="U184" s="171"/>
      <c r="V184" s="171"/>
      <c r="W184" s="171"/>
      <c r="X184" s="171"/>
      <c r="Y184" s="171"/>
      <c r="Z184" s="171"/>
      <c r="AA184" s="171"/>
      <c r="AB184" s="171"/>
      <c r="AC184" s="171"/>
      <c r="AD184" s="171"/>
      <c r="AE184" s="171"/>
      <c r="AF184" s="171"/>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c r="BP184" s="171"/>
      <c r="BQ184" s="171"/>
      <c r="BR184" s="171"/>
      <c r="BS184" s="171"/>
      <c r="BT184" s="171"/>
    </row>
    <row r="185" spans="1:72">
      <c r="A185" s="171"/>
      <c r="B185" s="171"/>
      <c r="C185" s="171"/>
      <c r="D185" s="171"/>
      <c r="E185" s="171"/>
      <c r="F185" s="95" t="s">
        <v>725</v>
      </c>
      <c r="G185" s="345"/>
      <c r="H185" s="122">
        <v>8</v>
      </c>
      <c r="I185" s="486" t="s">
        <v>726</v>
      </c>
      <c r="J185" s="486">
        <v>258</v>
      </c>
      <c r="K185" s="486">
        <v>100</v>
      </c>
      <c r="L185" s="487">
        <v>0.34</v>
      </c>
      <c r="M185" s="487">
        <v>0.45</v>
      </c>
      <c r="N185" s="150">
        <v>285000</v>
      </c>
      <c r="O185" s="149">
        <v>7</v>
      </c>
      <c r="P185" s="171"/>
      <c r="Q185" s="171"/>
      <c r="R185" s="171"/>
      <c r="S185" s="171"/>
      <c r="T185" s="171"/>
      <c r="U185" s="171"/>
      <c r="V185" s="171"/>
      <c r="W185" s="171"/>
      <c r="X185" s="171"/>
      <c r="Y185" s="171"/>
      <c r="Z185" s="171"/>
      <c r="AA185" s="171"/>
      <c r="AB185" s="171"/>
      <c r="AC185" s="171"/>
      <c r="AD185" s="171"/>
      <c r="AE185" s="171"/>
      <c r="AF185" s="171"/>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c r="BP185" s="171"/>
      <c r="BQ185" s="171"/>
      <c r="BR185" s="171"/>
      <c r="BS185" s="171"/>
      <c r="BT185" s="171"/>
    </row>
    <row r="186" spans="1:72">
      <c r="A186" s="171"/>
      <c r="B186" s="171"/>
      <c r="C186" s="171"/>
      <c r="D186" s="171"/>
      <c r="E186" s="171"/>
      <c r="F186" s="95" t="s">
        <v>668</v>
      </c>
      <c r="G186" s="345"/>
      <c r="H186" s="122">
        <v>9</v>
      </c>
      <c r="I186" s="486" t="s">
        <v>727</v>
      </c>
      <c r="J186" s="486">
        <v>269</v>
      </c>
      <c r="K186" s="486">
        <v>100</v>
      </c>
      <c r="L186" s="487">
        <v>0.34</v>
      </c>
      <c r="M186" s="487">
        <v>0.45</v>
      </c>
      <c r="N186" s="150">
        <v>295000</v>
      </c>
      <c r="O186" s="149">
        <v>7.5</v>
      </c>
      <c r="P186" s="171"/>
      <c r="Q186" s="171"/>
      <c r="R186" s="171"/>
      <c r="S186" s="171"/>
      <c r="T186" s="171"/>
      <c r="U186" s="171"/>
      <c r="V186" s="171"/>
      <c r="W186" s="171"/>
      <c r="X186" s="171"/>
      <c r="Y186" s="171"/>
      <c r="Z186" s="171"/>
      <c r="AA186" s="171"/>
      <c r="AB186" s="171"/>
      <c r="AC186" s="171"/>
      <c r="AD186" s="171"/>
      <c r="AE186" s="171"/>
      <c r="AF186" s="171"/>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c r="BP186" s="171"/>
      <c r="BQ186" s="171"/>
      <c r="BR186" s="171"/>
      <c r="BS186" s="171"/>
      <c r="BT186" s="171"/>
    </row>
    <row r="187" spans="1:72">
      <c r="A187" s="171"/>
      <c r="B187" s="171"/>
      <c r="C187" s="171"/>
      <c r="D187" s="171"/>
      <c r="E187" s="171"/>
      <c r="F187" s="95"/>
      <c r="G187" s="345"/>
      <c r="H187" s="122">
        <v>10</v>
      </c>
      <c r="I187" s="486" t="s">
        <v>728</v>
      </c>
      <c r="J187" s="486">
        <v>280</v>
      </c>
      <c r="K187" s="486">
        <v>120</v>
      </c>
      <c r="L187" s="487">
        <v>0.38</v>
      </c>
      <c r="M187" s="487">
        <v>0.5</v>
      </c>
      <c r="N187" s="150">
        <v>305000</v>
      </c>
      <c r="O187" s="149">
        <v>8</v>
      </c>
      <c r="P187" s="171"/>
      <c r="Q187" s="171"/>
      <c r="R187" s="171"/>
      <c r="S187" s="171"/>
      <c r="T187" s="171"/>
      <c r="U187" s="171"/>
      <c r="V187" s="171"/>
      <c r="W187" s="171"/>
      <c r="X187" s="171"/>
      <c r="Y187" s="171"/>
      <c r="Z187" s="171"/>
      <c r="AA187" s="171"/>
      <c r="AB187" s="171"/>
      <c r="AC187" s="171"/>
      <c r="AD187" s="171"/>
      <c r="AE187" s="171"/>
      <c r="AF187" s="171"/>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c r="BP187" s="171"/>
      <c r="BQ187" s="171"/>
      <c r="BR187" s="171"/>
      <c r="BS187" s="171"/>
      <c r="BT187" s="171"/>
    </row>
    <row r="188" spans="1:72">
      <c r="A188" s="171"/>
      <c r="B188" s="171"/>
      <c r="C188" s="171"/>
      <c r="D188" s="171"/>
      <c r="E188" s="171"/>
      <c r="F188" s="171"/>
      <c r="G188" s="171"/>
      <c r="H188" s="340" t="s">
        <v>729</v>
      </c>
      <c r="I188" s="171"/>
      <c r="J188" s="171"/>
      <c r="K188" s="171"/>
      <c r="L188" s="171"/>
      <c r="M188" s="171"/>
      <c r="N188" s="171"/>
      <c r="O188" s="171"/>
      <c r="P188" s="171"/>
      <c r="Q188" s="171"/>
      <c r="R188" s="171"/>
      <c r="S188" s="171"/>
      <c r="T188" s="171"/>
      <c r="U188" s="171"/>
      <c r="V188" s="171"/>
      <c r="W188" s="171"/>
      <c r="X188" s="171"/>
      <c r="Y188" s="171"/>
      <c r="Z188" s="171"/>
      <c r="AA188" s="171"/>
      <c r="AB188" s="171"/>
      <c r="AC188" s="171"/>
      <c r="AD188" s="171"/>
      <c r="AE188" s="171"/>
      <c r="AF188" s="171"/>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c r="BP188" s="171"/>
      <c r="BQ188" s="171"/>
      <c r="BR188" s="171"/>
      <c r="BS188" s="171"/>
      <c r="BT188" s="171"/>
    </row>
    <row r="189" spans="1:72">
      <c r="A189" s="171"/>
      <c r="B189" s="171"/>
      <c r="C189" s="171"/>
      <c r="D189" s="171"/>
      <c r="E189" s="171"/>
      <c r="F189" s="171"/>
      <c r="G189" s="171"/>
      <c r="H189" s="340" t="s">
        <v>730</v>
      </c>
      <c r="I189" s="171"/>
      <c r="J189" s="171"/>
      <c r="K189" s="171"/>
      <c r="L189" s="171"/>
      <c r="M189" s="171"/>
      <c r="N189" s="171"/>
      <c r="O189" s="171"/>
      <c r="P189" s="171"/>
      <c r="Q189" s="171"/>
      <c r="R189" s="171"/>
      <c r="S189" s="171"/>
      <c r="T189" s="171"/>
      <c r="U189" s="171"/>
      <c r="V189" s="171"/>
      <c r="W189" s="171"/>
      <c r="X189" s="171"/>
      <c r="Y189" s="171"/>
      <c r="Z189" s="171"/>
      <c r="AA189" s="171"/>
      <c r="AB189" s="171"/>
      <c r="AC189" s="171"/>
      <c r="AD189" s="171"/>
      <c r="AE189" s="171"/>
      <c r="AF189" s="171"/>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c r="BP189" s="171"/>
      <c r="BQ189" s="171"/>
      <c r="BR189" s="171"/>
      <c r="BS189" s="171"/>
      <c r="BT189" s="171"/>
    </row>
    <row r="190" spans="1:72">
      <c r="A190" s="171"/>
      <c r="B190" s="171"/>
      <c r="C190" s="171"/>
      <c r="D190" s="171"/>
      <c r="E190" s="171"/>
      <c r="F190" s="171"/>
      <c r="G190" s="171"/>
      <c r="H190" s="171"/>
      <c r="I190" s="171"/>
      <c r="J190" s="171"/>
      <c r="K190" s="171"/>
      <c r="L190" s="171"/>
      <c r="M190" s="171"/>
      <c r="N190" s="171"/>
      <c r="O190" s="171"/>
      <c r="P190" s="171"/>
      <c r="Q190" s="171"/>
      <c r="R190" s="171"/>
      <c r="S190" s="171"/>
      <c r="T190" s="171"/>
      <c r="U190" s="171"/>
      <c r="V190" s="171"/>
      <c r="W190" s="171"/>
      <c r="X190" s="171"/>
      <c r="Y190" s="171"/>
      <c r="Z190" s="171"/>
      <c r="AA190" s="171"/>
      <c r="AB190" s="171"/>
      <c r="AC190" s="171"/>
      <c r="AD190" s="171"/>
      <c r="AE190" s="171"/>
      <c r="AF190" s="171"/>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c r="BP190" s="171"/>
      <c r="BQ190" s="171"/>
      <c r="BR190" s="171"/>
      <c r="BS190" s="171"/>
      <c r="BT190" s="171"/>
    </row>
    <row r="191" spans="1:72">
      <c r="A191" s="171"/>
      <c r="B191" s="171"/>
      <c r="C191" s="171"/>
      <c r="D191" s="171"/>
      <c r="E191" s="171"/>
      <c r="F191" s="137" t="s">
        <v>731</v>
      </c>
      <c r="G191" s="137"/>
      <c r="H191" s="137"/>
      <c r="I191" s="137"/>
      <c r="J191" s="137"/>
      <c r="K191" s="137"/>
      <c r="L191" s="137"/>
      <c r="M191" s="137"/>
      <c r="N191" s="137"/>
      <c r="O191" s="171"/>
      <c r="P191" s="171"/>
      <c r="Q191" s="171"/>
      <c r="R191" s="171"/>
      <c r="S191" s="171"/>
      <c r="T191" s="171"/>
      <c r="U191" s="171"/>
      <c r="V191" s="171"/>
      <c r="W191" s="171"/>
      <c r="X191" s="171"/>
      <c r="Y191" s="171"/>
      <c r="Z191" s="171"/>
      <c r="AA191" s="171"/>
      <c r="AB191" s="171"/>
      <c r="AC191" s="171"/>
      <c r="AD191" s="171"/>
      <c r="AE191" s="171"/>
      <c r="AF191" s="171"/>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c r="BP191" s="171"/>
      <c r="BQ191" s="171"/>
      <c r="BR191" s="171"/>
      <c r="BS191" s="171"/>
      <c r="BT191" s="171"/>
    </row>
    <row r="192" spans="1:72">
      <c r="A192" s="171"/>
      <c r="B192" s="171"/>
      <c r="C192" s="171"/>
      <c r="D192" s="171"/>
      <c r="E192" s="171"/>
      <c r="F192" s="342" t="s">
        <v>732</v>
      </c>
      <c r="G192" s="344"/>
      <c r="H192" s="136" t="s">
        <v>243</v>
      </c>
      <c r="I192" s="136" t="s">
        <v>244</v>
      </c>
      <c r="J192" s="136" t="s">
        <v>245</v>
      </c>
      <c r="K192" s="136" t="s">
        <v>250</v>
      </c>
      <c r="L192" s="136" t="s">
        <v>733</v>
      </c>
      <c r="M192" s="136" t="s">
        <v>246</v>
      </c>
      <c r="N192" s="136" t="s">
        <v>247</v>
      </c>
      <c r="O192" s="171"/>
      <c r="P192" s="171"/>
      <c r="Q192" s="171"/>
      <c r="R192" s="171"/>
      <c r="S192" s="171"/>
      <c r="T192" s="171"/>
      <c r="U192" s="171"/>
      <c r="V192" s="171"/>
      <c r="W192" s="171"/>
      <c r="X192" s="171"/>
      <c r="Y192" s="171"/>
      <c r="Z192" s="171"/>
      <c r="AA192" s="171"/>
      <c r="AB192" s="171"/>
      <c r="AC192" s="171"/>
      <c r="AD192" s="171"/>
      <c r="AE192" s="171"/>
      <c r="AF192" s="171"/>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c r="BP192" s="171"/>
      <c r="BQ192" s="171"/>
      <c r="BR192" s="171"/>
      <c r="BS192" s="171"/>
      <c r="BT192" s="171"/>
    </row>
    <row r="193" spans="1:72">
      <c r="A193" s="171"/>
      <c r="B193" s="171"/>
      <c r="C193" s="171"/>
      <c r="D193" s="171"/>
      <c r="E193" s="171"/>
      <c r="F193" s="95" t="s">
        <v>689</v>
      </c>
      <c r="G193" s="345"/>
      <c r="H193" s="122">
        <v>1</v>
      </c>
      <c r="I193" s="486" t="s">
        <v>734</v>
      </c>
      <c r="J193" s="486">
        <v>178</v>
      </c>
      <c r="K193" s="486">
        <v>178</v>
      </c>
      <c r="L193" s="486">
        <v>6</v>
      </c>
      <c r="M193" s="120"/>
      <c r="N193" s="149"/>
      <c r="O193" s="171"/>
      <c r="P193" s="171"/>
      <c r="Q193" s="171"/>
      <c r="R193" s="171"/>
      <c r="S193" s="171"/>
      <c r="T193" s="171"/>
      <c r="U193" s="171"/>
      <c r="V193" s="171"/>
      <c r="W193" s="171"/>
      <c r="X193" s="171"/>
      <c r="Y193" s="171"/>
      <c r="Z193" s="171"/>
      <c r="AA193" s="171"/>
      <c r="AB193" s="171"/>
      <c r="AC193" s="171"/>
      <c r="AD193" s="171"/>
      <c r="AE193" s="171"/>
      <c r="AF193" s="171"/>
      <c r="AG193" s="171"/>
      <c r="AH193" s="171"/>
      <c r="AI193" s="171"/>
      <c r="AJ193" s="171"/>
      <c r="AK193" s="171"/>
      <c r="AL193" s="171"/>
      <c r="AM193" s="171"/>
      <c r="AN193" s="171"/>
      <c r="AO193" s="171"/>
      <c r="AP193" s="171"/>
      <c r="AQ193" s="171"/>
      <c r="AR193" s="171"/>
      <c r="AS193" s="171"/>
      <c r="AT193" s="171"/>
      <c r="AU193" s="171"/>
      <c r="AV193" s="171"/>
      <c r="AW193" s="171"/>
      <c r="AX193" s="171"/>
      <c r="AY193" s="171"/>
      <c r="AZ193" s="171"/>
      <c r="BA193" s="171"/>
      <c r="BB193" s="171"/>
      <c r="BC193" s="171"/>
      <c r="BD193" s="171"/>
      <c r="BE193" s="171"/>
      <c r="BF193" s="171"/>
      <c r="BG193" s="171"/>
      <c r="BH193" s="171"/>
      <c r="BI193" s="171"/>
      <c r="BJ193" s="171"/>
      <c r="BK193" s="171"/>
      <c r="BL193" s="171"/>
      <c r="BM193" s="171"/>
      <c r="BN193" s="171"/>
      <c r="BO193" s="171"/>
      <c r="BP193" s="171"/>
      <c r="BQ193" s="171"/>
      <c r="BR193" s="171"/>
      <c r="BS193" s="171"/>
      <c r="BT193" s="171"/>
    </row>
    <row r="194" spans="1:72">
      <c r="A194" s="171"/>
      <c r="B194" s="171"/>
      <c r="C194" s="171"/>
      <c r="D194" s="171"/>
      <c r="E194" s="171"/>
      <c r="F194" s="95" t="s">
        <v>272</v>
      </c>
      <c r="G194" s="345"/>
      <c r="H194" s="122">
        <v>2</v>
      </c>
      <c r="I194" s="486" t="s">
        <v>735</v>
      </c>
      <c r="J194" s="486">
        <v>186</v>
      </c>
      <c r="K194" s="486">
        <v>186</v>
      </c>
      <c r="L194" s="486">
        <v>6</v>
      </c>
      <c r="M194" s="150">
        <v>230000</v>
      </c>
      <c r="N194" s="149">
        <v>3</v>
      </c>
      <c r="O194" s="171"/>
      <c r="P194" s="171"/>
      <c r="Q194" s="171"/>
      <c r="R194" s="171"/>
      <c r="S194" s="171"/>
      <c r="T194" s="171"/>
      <c r="U194" s="171"/>
      <c r="V194" s="171"/>
      <c r="W194" s="171"/>
      <c r="X194" s="171"/>
      <c r="Y194" s="171"/>
      <c r="Z194" s="171"/>
      <c r="AA194" s="171"/>
      <c r="AB194" s="171"/>
      <c r="AC194" s="171"/>
      <c r="AD194" s="171"/>
      <c r="AE194" s="171"/>
      <c r="AF194" s="171"/>
      <c r="AG194" s="171"/>
      <c r="AH194" s="171"/>
      <c r="AI194" s="171"/>
      <c r="AJ194" s="171"/>
      <c r="AK194" s="171"/>
      <c r="AL194" s="171"/>
      <c r="AM194" s="171"/>
      <c r="AN194" s="171"/>
      <c r="AO194" s="171"/>
      <c r="AP194" s="171"/>
      <c r="AQ194" s="171"/>
      <c r="AR194" s="171"/>
      <c r="AS194" s="171"/>
      <c r="AT194" s="171"/>
      <c r="AU194" s="171"/>
      <c r="AV194" s="171"/>
      <c r="AW194" s="171"/>
      <c r="AX194" s="171"/>
      <c r="AY194" s="171"/>
      <c r="AZ194" s="171"/>
      <c r="BA194" s="171"/>
      <c r="BB194" s="171"/>
      <c r="BC194" s="171"/>
      <c r="BD194" s="171"/>
      <c r="BE194" s="171"/>
      <c r="BF194" s="171"/>
      <c r="BG194" s="171"/>
      <c r="BH194" s="171"/>
      <c r="BI194" s="171"/>
      <c r="BJ194" s="171"/>
      <c r="BK194" s="171"/>
      <c r="BL194" s="171"/>
      <c r="BM194" s="171"/>
      <c r="BN194" s="171"/>
      <c r="BO194" s="171"/>
      <c r="BP194" s="171"/>
      <c r="BQ194" s="171"/>
      <c r="BR194" s="171"/>
      <c r="BS194" s="171"/>
      <c r="BT194" s="171"/>
    </row>
    <row r="195" spans="1:72">
      <c r="A195" s="171"/>
      <c r="B195" s="171"/>
      <c r="C195" s="171"/>
      <c r="D195" s="171"/>
      <c r="E195" s="171"/>
      <c r="F195" s="346" t="s">
        <v>736</v>
      </c>
      <c r="G195" s="347"/>
      <c r="H195" s="122">
        <v>3</v>
      </c>
      <c r="I195" s="486" t="s">
        <v>737</v>
      </c>
      <c r="J195" s="486">
        <v>194</v>
      </c>
      <c r="K195" s="486">
        <v>194</v>
      </c>
      <c r="L195" s="486">
        <v>6</v>
      </c>
      <c r="M195" s="150">
        <v>240000</v>
      </c>
      <c r="N195" s="149">
        <v>4</v>
      </c>
      <c r="O195" s="171"/>
      <c r="P195" s="171"/>
      <c r="Q195" s="171"/>
      <c r="R195" s="171"/>
      <c r="S195" s="171"/>
      <c r="T195" s="171"/>
      <c r="U195" s="171"/>
      <c r="V195" s="171"/>
      <c r="W195" s="171"/>
      <c r="X195" s="171"/>
      <c r="Y195" s="171"/>
      <c r="Z195" s="171"/>
      <c r="AA195" s="171"/>
      <c r="AB195" s="171"/>
      <c r="AC195" s="171"/>
      <c r="AD195" s="171"/>
      <c r="AE195" s="171"/>
      <c r="AF195" s="171"/>
      <c r="AG195" s="171"/>
      <c r="AH195" s="171"/>
      <c r="AI195" s="171"/>
      <c r="AJ195" s="171"/>
      <c r="AK195" s="171"/>
      <c r="AL195" s="171"/>
      <c r="AM195" s="171"/>
      <c r="AN195" s="171"/>
      <c r="AO195" s="171"/>
      <c r="AP195" s="171"/>
      <c r="AQ195" s="171"/>
      <c r="AR195" s="171"/>
      <c r="AS195" s="171"/>
      <c r="AT195" s="171"/>
      <c r="AU195" s="171"/>
      <c r="AV195" s="171"/>
      <c r="AW195" s="171"/>
      <c r="AX195" s="171"/>
      <c r="AY195" s="171"/>
      <c r="AZ195" s="171"/>
      <c r="BA195" s="171"/>
      <c r="BB195" s="171"/>
      <c r="BC195" s="171"/>
      <c r="BD195" s="171"/>
      <c r="BE195" s="171"/>
      <c r="BF195" s="171"/>
      <c r="BG195" s="171"/>
      <c r="BH195" s="171"/>
      <c r="BI195" s="171"/>
      <c r="BJ195" s="171"/>
      <c r="BK195" s="171"/>
      <c r="BL195" s="171"/>
      <c r="BM195" s="171"/>
      <c r="BN195" s="171"/>
      <c r="BO195" s="171"/>
      <c r="BP195" s="171"/>
      <c r="BQ195" s="171"/>
      <c r="BR195" s="171"/>
      <c r="BS195" s="171"/>
      <c r="BT195" s="171"/>
    </row>
    <row r="196" spans="1:72">
      <c r="A196" s="171"/>
      <c r="B196" s="171"/>
      <c r="C196" s="171"/>
      <c r="D196" s="171"/>
      <c r="E196" s="171"/>
      <c r="F196" s="342" t="s">
        <v>738</v>
      </c>
      <c r="G196" s="344"/>
      <c r="H196" s="122">
        <v>4</v>
      </c>
      <c r="I196" s="486" t="s">
        <v>739</v>
      </c>
      <c r="J196" s="486">
        <v>202</v>
      </c>
      <c r="K196" s="486">
        <v>202</v>
      </c>
      <c r="L196" s="486">
        <v>6</v>
      </c>
      <c r="M196" s="150">
        <v>250000</v>
      </c>
      <c r="N196" s="149">
        <v>5</v>
      </c>
      <c r="O196" s="171"/>
      <c r="P196" s="171"/>
      <c r="Q196" s="171"/>
      <c r="R196" s="171"/>
      <c r="S196" s="171"/>
      <c r="T196" s="171"/>
      <c r="U196" s="171"/>
      <c r="V196" s="171"/>
      <c r="W196" s="171"/>
      <c r="X196" s="171"/>
      <c r="Y196" s="171"/>
      <c r="Z196" s="171"/>
      <c r="AA196" s="171"/>
      <c r="AB196" s="171"/>
      <c r="AC196" s="171"/>
      <c r="AD196" s="171"/>
      <c r="AE196" s="171"/>
      <c r="AF196" s="171"/>
      <c r="AG196" s="171"/>
      <c r="AH196" s="171"/>
      <c r="AI196" s="171"/>
      <c r="AJ196" s="171"/>
      <c r="AK196" s="171"/>
      <c r="AL196" s="171"/>
      <c r="AM196" s="171"/>
      <c r="AN196" s="171"/>
      <c r="AO196" s="171"/>
      <c r="AP196" s="171"/>
      <c r="AQ196" s="171"/>
      <c r="AR196" s="171"/>
      <c r="AS196" s="171"/>
      <c r="AT196" s="171"/>
      <c r="AU196" s="171"/>
      <c r="AV196" s="171"/>
      <c r="AW196" s="171"/>
      <c r="AX196" s="171"/>
      <c r="AY196" s="171"/>
      <c r="AZ196" s="171"/>
      <c r="BA196" s="171"/>
      <c r="BB196" s="171"/>
      <c r="BC196" s="171"/>
      <c r="BD196" s="171"/>
      <c r="BE196" s="171"/>
      <c r="BF196" s="171"/>
      <c r="BG196" s="171"/>
      <c r="BH196" s="171"/>
      <c r="BI196" s="171"/>
      <c r="BJ196" s="171"/>
      <c r="BK196" s="171"/>
      <c r="BL196" s="171"/>
      <c r="BM196" s="171"/>
      <c r="BN196" s="171"/>
      <c r="BO196" s="171"/>
      <c r="BP196" s="171"/>
      <c r="BQ196" s="171"/>
      <c r="BR196" s="171"/>
      <c r="BS196" s="171"/>
      <c r="BT196" s="171"/>
    </row>
    <row r="197" spans="1:72">
      <c r="A197" s="171"/>
      <c r="B197" s="171"/>
      <c r="C197" s="171"/>
      <c r="D197" s="171"/>
      <c r="E197" s="171"/>
      <c r="F197" s="137"/>
      <c r="G197" s="345"/>
      <c r="H197" s="122">
        <v>5</v>
      </c>
      <c r="I197" s="486" t="s">
        <v>740</v>
      </c>
      <c r="J197" s="486">
        <v>210</v>
      </c>
      <c r="K197" s="486">
        <v>210</v>
      </c>
      <c r="L197" s="486">
        <v>7</v>
      </c>
      <c r="M197" s="150">
        <v>260000</v>
      </c>
      <c r="N197" s="149">
        <v>5.5</v>
      </c>
      <c r="O197" s="171"/>
      <c r="P197" s="171"/>
      <c r="Q197" s="171"/>
      <c r="R197" s="171"/>
      <c r="S197" s="171"/>
      <c r="T197" s="171"/>
      <c r="U197" s="171"/>
      <c r="V197" s="171"/>
      <c r="W197" s="171"/>
      <c r="X197" s="171"/>
      <c r="Y197" s="171"/>
      <c r="Z197" s="171"/>
      <c r="AA197" s="171"/>
      <c r="AB197" s="171"/>
      <c r="AC197" s="171"/>
      <c r="AD197" s="171"/>
      <c r="AE197" s="171"/>
      <c r="AF197" s="171"/>
      <c r="AG197" s="171"/>
      <c r="AH197" s="171"/>
      <c r="AI197" s="171"/>
      <c r="AJ197" s="171"/>
      <c r="AK197" s="171"/>
      <c r="AL197" s="171"/>
      <c r="AM197" s="171"/>
      <c r="AN197" s="171"/>
      <c r="AO197" s="171"/>
      <c r="AP197" s="171"/>
      <c r="AQ197" s="171"/>
      <c r="AR197" s="171"/>
      <c r="AS197" s="171"/>
      <c r="AT197" s="171"/>
      <c r="AU197" s="171"/>
      <c r="AV197" s="171"/>
      <c r="AW197" s="171"/>
      <c r="AX197" s="171"/>
      <c r="AY197" s="171"/>
      <c r="AZ197" s="171"/>
      <c r="BA197" s="171"/>
      <c r="BB197" s="171"/>
      <c r="BC197" s="171"/>
      <c r="BD197" s="171"/>
      <c r="BE197" s="171"/>
      <c r="BF197" s="171"/>
      <c r="BG197" s="171"/>
      <c r="BH197" s="171"/>
      <c r="BI197" s="171"/>
      <c r="BJ197" s="171"/>
      <c r="BK197" s="171"/>
      <c r="BL197" s="171"/>
      <c r="BM197" s="171"/>
      <c r="BN197" s="171"/>
      <c r="BO197" s="171"/>
      <c r="BP197" s="171"/>
      <c r="BQ197" s="171"/>
      <c r="BR197" s="171"/>
      <c r="BS197" s="171"/>
      <c r="BT197" s="171"/>
    </row>
    <row r="198" spans="1:72">
      <c r="A198" s="171"/>
      <c r="B198" s="171"/>
      <c r="C198" s="171"/>
      <c r="D198" s="171"/>
      <c r="E198" s="171"/>
      <c r="F198" s="346"/>
      <c r="G198" s="347"/>
      <c r="H198" s="122">
        <v>6</v>
      </c>
      <c r="I198" s="486" t="s">
        <v>741</v>
      </c>
      <c r="J198" s="486">
        <v>218</v>
      </c>
      <c r="K198" s="486">
        <v>218</v>
      </c>
      <c r="L198" s="486">
        <v>7</v>
      </c>
      <c r="M198" s="150">
        <v>270000</v>
      </c>
      <c r="N198" s="149">
        <v>6</v>
      </c>
      <c r="O198" s="171"/>
      <c r="P198" s="171"/>
      <c r="Q198" s="171"/>
      <c r="R198" s="171"/>
      <c r="S198" s="171"/>
      <c r="T198" s="171"/>
      <c r="U198" s="171"/>
      <c r="V198" s="171"/>
      <c r="W198" s="171"/>
      <c r="X198" s="171"/>
      <c r="Y198" s="171"/>
      <c r="Z198" s="171"/>
      <c r="AA198" s="171"/>
      <c r="AB198" s="171"/>
      <c r="AC198" s="171"/>
      <c r="AD198" s="171"/>
      <c r="AE198" s="171"/>
      <c r="AF198" s="171"/>
      <c r="AG198" s="171"/>
      <c r="AH198" s="171"/>
      <c r="AI198" s="171"/>
      <c r="AJ198" s="171"/>
      <c r="AK198" s="171"/>
      <c r="AL198" s="171"/>
      <c r="AM198" s="171"/>
      <c r="AN198" s="171"/>
      <c r="AO198" s="171"/>
      <c r="AP198" s="171"/>
      <c r="AQ198" s="171"/>
      <c r="AR198" s="171"/>
      <c r="AS198" s="171"/>
      <c r="AT198" s="171"/>
      <c r="AU198" s="171"/>
      <c r="AV198" s="171"/>
      <c r="AW198" s="171"/>
      <c r="AX198" s="171"/>
      <c r="AY198" s="171"/>
      <c r="AZ198" s="171"/>
      <c r="BA198" s="171"/>
      <c r="BB198" s="171"/>
      <c r="BC198" s="171"/>
      <c r="BD198" s="171"/>
      <c r="BE198" s="171"/>
      <c r="BF198" s="171"/>
      <c r="BG198" s="171"/>
      <c r="BH198" s="171"/>
      <c r="BI198" s="171"/>
      <c r="BJ198" s="171"/>
      <c r="BK198" s="171"/>
      <c r="BL198" s="171"/>
      <c r="BM198" s="171"/>
      <c r="BN198" s="171"/>
      <c r="BO198" s="171"/>
      <c r="BP198" s="171"/>
      <c r="BQ198" s="171"/>
      <c r="BR198" s="171"/>
      <c r="BS198" s="171"/>
      <c r="BT198" s="171"/>
    </row>
    <row r="199" spans="1:72">
      <c r="A199" s="171"/>
      <c r="B199" s="171"/>
      <c r="C199" s="171"/>
      <c r="D199" s="171"/>
      <c r="E199" s="171"/>
      <c r="F199" s="95" t="s">
        <v>424</v>
      </c>
      <c r="G199" s="344"/>
      <c r="H199" s="122">
        <v>7</v>
      </c>
      <c r="I199" s="486" t="s">
        <v>742</v>
      </c>
      <c r="J199" s="486">
        <v>226</v>
      </c>
      <c r="K199" s="486">
        <v>226</v>
      </c>
      <c r="L199" s="486">
        <v>7</v>
      </c>
      <c r="M199" s="150">
        <v>280000</v>
      </c>
      <c r="N199" s="149">
        <v>6.5</v>
      </c>
      <c r="O199" s="171"/>
      <c r="P199" s="171"/>
      <c r="Q199" s="171"/>
      <c r="R199" s="171"/>
      <c r="S199" s="171"/>
      <c r="T199" s="171"/>
      <c r="U199" s="171"/>
      <c r="V199" s="171"/>
      <c r="W199" s="171"/>
      <c r="X199" s="171"/>
      <c r="Y199" s="171"/>
      <c r="Z199" s="171"/>
      <c r="AA199" s="171"/>
      <c r="AB199" s="171"/>
      <c r="AC199" s="171"/>
      <c r="AD199" s="171"/>
      <c r="AE199" s="171"/>
      <c r="AF199" s="171"/>
      <c r="AG199" s="171"/>
      <c r="AH199" s="171"/>
      <c r="AI199" s="171"/>
      <c r="AJ199" s="171"/>
      <c r="AK199" s="171"/>
      <c r="AL199" s="171"/>
      <c r="AM199" s="171"/>
      <c r="AN199" s="171"/>
      <c r="AO199" s="171"/>
      <c r="AP199" s="171"/>
      <c r="AQ199" s="171"/>
      <c r="AR199" s="171"/>
      <c r="AS199" s="171"/>
      <c r="AT199" s="171"/>
      <c r="AU199" s="171"/>
      <c r="AV199" s="171"/>
      <c r="AW199" s="171"/>
      <c r="AX199" s="171"/>
      <c r="AY199" s="171"/>
      <c r="AZ199" s="171"/>
      <c r="BA199" s="171"/>
      <c r="BB199" s="171"/>
      <c r="BC199" s="171"/>
      <c r="BD199" s="171"/>
      <c r="BE199" s="171"/>
      <c r="BF199" s="171"/>
      <c r="BG199" s="171"/>
      <c r="BH199" s="171"/>
      <c r="BI199" s="171"/>
      <c r="BJ199" s="171"/>
      <c r="BK199" s="171"/>
      <c r="BL199" s="171"/>
      <c r="BM199" s="171"/>
      <c r="BN199" s="171"/>
      <c r="BO199" s="171"/>
      <c r="BP199" s="171"/>
      <c r="BQ199" s="171"/>
      <c r="BR199" s="171"/>
      <c r="BS199" s="171"/>
      <c r="BT199" s="171"/>
    </row>
    <row r="200" spans="1:72">
      <c r="A200" s="171"/>
      <c r="B200" s="171"/>
      <c r="C200" s="171"/>
      <c r="D200" s="171"/>
      <c r="E200" s="171"/>
      <c r="F200" s="95"/>
      <c r="G200" s="345"/>
      <c r="H200" s="122">
        <v>8</v>
      </c>
      <c r="I200" s="486" t="s">
        <v>743</v>
      </c>
      <c r="J200" s="486">
        <v>234</v>
      </c>
      <c r="K200" s="486">
        <v>234</v>
      </c>
      <c r="L200" s="486">
        <v>7</v>
      </c>
      <c r="M200" s="150">
        <v>290000</v>
      </c>
      <c r="N200" s="149">
        <v>7</v>
      </c>
      <c r="O200" s="171"/>
      <c r="P200" s="171"/>
      <c r="Q200" s="171"/>
      <c r="R200" s="171"/>
      <c r="S200" s="171"/>
      <c r="T200" s="171"/>
      <c r="U200" s="171"/>
      <c r="V200" s="171"/>
      <c r="W200" s="171"/>
      <c r="X200" s="171"/>
      <c r="Y200" s="171"/>
      <c r="Z200" s="171"/>
      <c r="AA200" s="171"/>
      <c r="AB200" s="171"/>
      <c r="AC200" s="171"/>
      <c r="AD200" s="171"/>
      <c r="AE200" s="171"/>
      <c r="AF200" s="171"/>
      <c r="AG200" s="171"/>
      <c r="AH200" s="171"/>
      <c r="AI200" s="171"/>
      <c r="AJ200" s="171"/>
      <c r="AK200" s="171"/>
      <c r="AL200" s="171"/>
      <c r="AM200" s="171"/>
      <c r="AN200" s="171"/>
      <c r="AO200" s="171"/>
      <c r="AP200" s="171"/>
      <c r="AQ200" s="171"/>
      <c r="AR200" s="171"/>
      <c r="AS200" s="171"/>
      <c r="AT200" s="171"/>
      <c r="AU200" s="171"/>
      <c r="AV200" s="171"/>
      <c r="AW200" s="171"/>
      <c r="AX200" s="171"/>
      <c r="AY200" s="171"/>
      <c r="AZ200" s="171"/>
      <c r="BA200" s="171"/>
      <c r="BB200" s="171"/>
      <c r="BC200" s="171"/>
      <c r="BD200" s="171"/>
      <c r="BE200" s="171"/>
      <c r="BF200" s="171"/>
      <c r="BG200" s="171"/>
      <c r="BH200" s="171"/>
      <c r="BI200" s="171"/>
      <c r="BJ200" s="171"/>
      <c r="BK200" s="171"/>
      <c r="BL200" s="171"/>
      <c r="BM200" s="171"/>
      <c r="BN200" s="171"/>
      <c r="BO200" s="171"/>
      <c r="BP200" s="171"/>
      <c r="BQ200" s="171"/>
      <c r="BR200" s="171"/>
      <c r="BS200" s="171"/>
      <c r="BT200" s="171"/>
    </row>
    <row r="201" spans="1:72">
      <c r="A201" s="171"/>
      <c r="B201" s="171"/>
      <c r="C201" s="171"/>
      <c r="D201" s="171"/>
      <c r="E201" s="171"/>
      <c r="F201" s="95" t="s">
        <v>668</v>
      </c>
      <c r="G201" s="345"/>
      <c r="H201" s="122">
        <v>9</v>
      </c>
      <c r="I201" s="486" t="s">
        <v>744</v>
      </c>
      <c r="J201" s="486">
        <v>242</v>
      </c>
      <c r="K201" s="486">
        <v>242</v>
      </c>
      <c r="L201" s="486">
        <v>7</v>
      </c>
      <c r="M201" s="150">
        <v>300000</v>
      </c>
      <c r="N201" s="149">
        <v>7.5</v>
      </c>
      <c r="O201" s="171"/>
      <c r="P201" s="171"/>
      <c r="Q201" s="171"/>
      <c r="R201" s="171"/>
      <c r="S201" s="171"/>
      <c r="T201" s="171"/>
      <c r="U201" s="171"/>
      <c r="V201" s="171"/>
      <c r="W201" s="171"/>
      <c r="X201" s="171"/>
      <c r="Y201" s="171"/>
      <c r="Z201" s="171"/>
      <c r="AA201" s="171"/>
      <c r="AB201" s="171"/>
      <c r="AC201" s="171"/>
      <c r="AD201" s="171"/>
      <c r="AE201" s="171"/>
      <c r="AF201" s="171"/>
      <c r="AG201" s="171"/>
      <c r="AH201" s="171"/>
      <c r="AI201" s="171"/>
      <c r="AJ201" s="171"/>
      <c r="AK201" s="171"/>
      <c r="AL201" s="171"/>
      <c r="AM201" s="171"/>
      <c r="AN201" s="171"/>
      <c r="AO201" s="171"/>
      <c r="AP201" s="171"/>
      <c r="AQ201" s="171"/>
      <c r="AR201" s="171"/>
      <c r="AS201" s="171"/>
      <c r="AT201" s="171"/>
      <c r="AU201" s="171"/>
      <c r="AV201" s="171"/>
      <c r="AW201" s="171"/>
      <c r="AX201" s="171"/>
      <c r="AY201" s="171"/>
      <c r="AZ201" s="171"/>
      <c r="BA201" s="171"/>
      <c r="BB201" s="171"/>
      <c r="BC201" s="171"/>
      <c r="BD201" s="171"/>
      <c r="BE201" s="171"/>
      <c r="BF201" s="171"/>
      <c r="BG201" s="171"/>
      <c r="BH201" s="171"/>
      <c r="BI201" s="171"/>
      <c r="BJ201" s="171"/>
      <c r="BK201" s="171"/>
      <c r="BL201" s="171"/>
      <c r="BM201" s="171"/>
      <c r="BN201" s="171"/>
      <c r="BO201" s="171"/>
      <c r="BP201" s="171"/>
      <c r="BQ201" s="171"/>
      <c r="BR201" s="171"/>
      <c r="BS201" s="171"/>
      <c r="BT201" s="171"/>
    </row>
    <row r="202" spans="1:72">
      <c r="A202" s="171"/>
      <c r="B202" s="171"/>
      <c r="C202" s="171"/>
      <c r="D202" s="171"/>
      <c r="E202" s="171"/>
      <c r="F202" s="95"/>
      <c r="G202" s="345"/>
      <c r="H202" s="122">
        <v>10</v>
      </c>
      <c r="I202" s="486" t="s">
        <v>745</v>
      </c>
      <c r="J202" s="486">
        <v>250</v>
      </c>
      <c r="K202" s="486">
        <v>250</v>
      </c>
      <c r="L202" s="486">
        <v>8</v>
      </c>
      <c r="M202" s="150">
        <v>310000</v>
      </c>
      <c r="N202" s="149">
        <v>8</v>
      </c>
      <c r="O202" s="171"/>
      <c r="P202" s="171"/>
      <c r="Q202" s="171"/>
      <c r="R202" s="171"/>
      <c r="S202" s="171"/>
      <c r="T202" s="171"/>
      <c r="U202" s="171"/>
      <c r="V202" s="171"/>
      <c r="W202" s="171"/>
      <c r="X202" s="171"/>
      <c r="Y202" s="171"/>
      <c r="Z202" s="171"/>
      <c r="AA202" s="171"/>
      <c r="AB202" s="171"/>
      <c r="AC202" s="171"/>
      <c r="AD202" s="171"/>
      <c r="AE202" s="171"/>
      <c r="AF202" s="171"/>
      <c r="AG202" s="171"/>
      <c r="AH202" s="171"/>
      <c r="AI202" s="171"/>
      <c r="AJ202" s="171"/>
      <c r="AK202" s="171"/>
      <c r="AL202" s="171"/>
      <c r="AM202" s="171"/>
      <c r="AN202" s="171"/>
      <c r="AO202" s="171"/>
      <c r="AP202" s="171"/>
      <c r="AQ202" s="171"/>
      <c r="AR202" s="171"/>
      <c r="AS202" s="171"/>
      <c r="AT202" s="171"/>
      <c r="AU202" s="171"/>
      <c r="AV202" s="171"/>
      <c r="AW202" s="171"/>
      <c r="AX202" s="171"/>
      <c r="AY202" s="171"/>
      <c r="AZ202" s="171"/>
      <c r="BA202" s="171"/>
      <c r="BB202" s="171"/>
      <c r="BC202" s="171"/>
      <c r="BD202" s="171"/>
      <c r="BE202" s="171"/>
      <c r="BF202" s="171"/>
      <c r="BG202" s="171"/>
      <c r="BH202" s="171"/>
      <c r="BI202" s="171"/>
      <c r="BJ202" s="171"/>
      <c r="BK202" s="171"/>
      <c r="BL202" s="171"/>
      <c r="BM202" s="171"/>
      <c r="BN202" s="171"/>
      <c r="BO202" s="171"/>
      <c r="BP202" s="171"/>
      <c r="BQ202" s="171"/>
      <c r="BR202" s="171"/>
      <c r="BS202" s="171"/>
      <c r="BT202" s="171"/>
    </row>
    <row r="203" spans="1:72">
      <c r="A203" s="171"/>
      <c r="B203" s="171"/>
      <c r="C203" s="171"/>
      <c r="D203" s="171"/>
      <c r="E203" s="171"/>
      <c r="F203" s="171"/>
      <c r="G203" s="171"/>
      <c r="H203" s="171"/>
      <c r="I203" s="171"/>
      <c r="J203" s="171"/>
      <c r="K203" s="171"/>
      <c r="L203" s="171"/>
      <c r="M203" s="171"/>
      <c r="N203" s="171"/>
      <c r="O203" s="171"/>
      <c r="P203" s="171"/>
      <c r="Q203" s="171"/>
      <c r="R203" s="171"/>
      <c r="S203" s="171"/>
      <c r="T203" s="171"/>
      <c r="U203" s="171"/>
      <c r="V203" s="171"/>
      <c r="W203" s="171"/>
      <c r="X203" s="171"/>
      <c r="Y203" s="171"/>
      <c r="Z203" s="171"/>
      <c r="AA203" s="171"/>
      <c r="AB203" s="171"/>
      <c r="AC203" s="171"/>
      <c r="AD203" s="171"/>
      <c r="AE203" s="171"/>
      <c r="AF203" s="171"/>
      <c r="AG203" s="171"/>
      <c r="AH203" s="171"/>
      <c r="AI203" s="171"/>
      <c r="AJ203" s="171"/>
      <c r="AK203" s="171"/>
      <c r="AL203" s="171"/>
      <c r="AM203" s="171"/>
      <c r="AN203" s="171"/>
      <c r="AO203" s="171"/>
      <c r="AP203" s="171"/>
      <c r="AQ203" s="171"/>
      <c r="AR203" s="171"/>
      <c r="AS203" s="171"/>
      <c r="AT203" s="171"/>
      <c r="AU203" s="171"/>
      <c r="AV203" s="171"/>
      <c r="AW203" s="171"/>
      <c r="AX203" s="171"/>
      <c r="AY203" s="171"/>
      <c r="AZ203" s="171"/>
      <c r="BA203" s="171"/>
      <c r="BB203" s="171"/>
      <c r="BC203" s="171"/>
      <c r="BD203" s="171"/>
      <c r="BE203" s="171"/>
      <c r="BF203" s="171"/>
      <c r="BG203" s="171"/>
      <c r="BH203" s="171"/>
      <c r="BI203" s="171"/>
      <c r="BJ203" s="171"/>
      <c r="BK203" s="171"/>
      <c r="BL203" s="171"/>
      <c r="BM203" s="171"/>
      <c r="BN203" s="171"/>
      <c r="BO203" s="171"/>
      <c r="BP203" s="171"/>
      <c r="BQ203" s="171"/>
      <c r="BR203" s="171"/>
      <c r="BS203" s="171"/>
      <c r="BT203" s="171"/>
    </row>
    <row r="204" spans="1:72">
      <c r="A204" s="171"/>
      <c r="B204" s="171"/>
      <c r="C204" s="171"/>
      <c r="D204" s="171"/>
      <c r="E204" s="171"/>
      <c r="F204" s="171"/>
      <c r="G204" s="171"/>
      <c r="H204" s="171"/>
      <c r="I204" s="171"/>
      <c r="J204" s="171"/>
      <c r="K204" s="171"/>
      <c r="L204" s="171"/>
      <c r="M204" s="171"/>
      <c r="N204" s="171"/>
      <c r="O204" s="171"/>
      <c r="P204" s="171"/>
      <c r="Q204" s="171"/>
      <c r="R204" s="171"/>
      <c r="S204" s="171"/>
      <c r="T204" s="171"/>
      <c r="U204" s="171"/>
      <c r="V204" s="171"/>
      <c r="W204" s="171"/>
      <c r="X204" s="171"/>
      <c r="Y204" s="171"/>
      <c r="Z204" s="171"/>
      <c r="AA204" s="171"/>
      <c r="AB204" s="171"/>
      <c r="AC204" s="171"/>
      <c r="AD204" s="171"/>
      <c r="AE204" s="171"/>
      <c r="AF204" s="171"/>
      <c r="AG204" s="171"/>
      <c r="AH204" s="171"/>
      <c r="AI204" s="171"/>
      <c r="AJ204" s="171"/>
      <c r="AK204" s="171"/>
      <c r="AL204" s="171"/>
      <c r="AM204" s="171"/>
      <c r="AN204" s="171"/>
      <c r="AO204" s="171"/>
      <c r="AP204" s="171"/>
      <c r="AQ204" s="171"/>
      <c r="AR204" s="171"/>
      <c r="AS204" s="171"/>
      <c r="AT204" s="171"/>
      <c r="AU204" s="171"/>
      <c r="AV204" s="171"/>
      <c r="AW204" s="171"/>
      <c r="AX204" s="171"/>
      <c r="AY204" s="171"/>
      <c r="AZ204" s="171"/>
      <c r="BA204" s="171"/>
      <c r="BB204" s="171"/>
      <c r="BC204" s="171"/>
      <c r="BD204" s="171"/>
      <c r="BE204" s="171"/>
      <c r="BF204" s="171"/>
      <c r="BG204" s="171"/>
      <c r="BH204" s="171"/>
      <c r="BI204" s="171"/>
      <c r="BJ204" s="171"/>
      <c r="BK204" s="171"/>
      <c r="BL204" s="171"/>
      <c r="BM204" s="171"/>
      <c r="BN204" s="171"/>
      <c r="BO204" s="171"/>
      <c r="BP204" s="171"/>
      <c r="BQ204" s="171"/>
      <c r="BR204" s="171"/>
      <c r="BS204" s="171"/>
      <c r="BT204" s="171"/>
    </row>
    <row r="205" spans="1:72">
      <c r="A205" s="171"/>
      <c r="B205" s="171"/>
      <c r="C205" s="171"/>
      <c r="D205" s="171"/>
      <c r="E205" s="171"/>
      <c r="F205" s="171"/>
      <c r="G205" s="171"/>
      <c r="H205" s="171"/>
      <c r="I205" s="171"/>
      <c r="J205" s="171"/>
      <c r="K205" s="171"/>
      <c r="L205" s="171"/>
      <c r="M205" s="171"/>
      <c r="N205" s="171"/>
      <c r="O205" s="171"/>
      <c r="P205" s="171"/>
      <c r="Q205" s="171"/>
      <c r="R205" s="171"/>
      <c r="S205" s="171"/>
      <c r="T205" s="171"/>
      <c r="U205" s="171"/>
      <c r="V205" s="171"/>
      <c r="W205" s="171"/>
      <c r="X205" s="171"/>
      <c r="Y205" s="171"/>
      <c r="Z205" s="171"/>
      <c r="AA205" s="171"/>
      <c r="AB205" s="171"/>
      <c r="AC205" s="171"/>
      <c r="AD205" s="171"/>
      <c r="AE205" s="171"/>
      <c r="AF205" s="171"/>
      <c r="AG205" s="171"/>
      <c r="AH205" s="171"/>
      <c r="AI205" s="171"/>
      <c r="AJ205" s="171"/>
      <c r="AK205" s="171"/>
      <c r="AL205" s="171"/>
      <c r="AM205" s="171"/>
      <c r="AN205" s="171"/>
      <c r="AO205" s="171"/>
      <c r="AP205" s="171"/>
      <c r="AQ205" s="171"/>
      <c r="AR205" s="171"/>
      <c r="AS205" s="171"/>
      <c r="AT205" s="171"/>
      <c r="AU205" s="171"/>
      <c r="AV205" s="171"/>
      <c r="AW205" s="171"/>
      <c r="AX205" s="171"/>
      <c r="AY205" s="171"/>
      <c r="AZ205" s="171"/>
      <c r="BA205" s="171"/>
      <c r="BB205" s="171"/>
      <c r="BC205" s="171"/>
      <c r="BD205" s="171"/>
      <c r="BE205" s="171"/>
      <c r="BF205" s="171"/>
      <c r="BG205" s="171"/>
      <c r="BH205" s="171"/>
      <c r="BI205" s="171"/>
      <c r="BJ205" s="171"/>
      <c r="BK205" s="171"/>
      <c r="BL205" s="171"/>
      <c r="BM205" s="171"/>
      <c r="BN205" s="171"/>
      <c r="BO205" s="171"/>
      <c r="BP205" s="171"/>
      <c r="BQ205" s="171"/>
      <c r="BR205" s="171"/>
      <c r="BS205" s="171"/>
      <c r="BT205" s="171"/>
    </row>
    <row r="206" spans="1:72">
      <c r="A206" s="171"/>
      <c r="B206" s="171"/>
      <c r="C206" s="171"/>
      <c r="D206" s="171"/>
      <c r="E206" s="171"/>
      <c r="F206" s="171"/>
      <c r="G206" s="171"/>
      <c r="H206" s="171"/>
      <c r="I206" s="171"/>
      <c r="J206" s="171"/>
      <c r="K206" s="171"/>
      <c r="L206" s="171"/>
      <c r="M206" s="171"/>
      <c r="N206" s="171"/>
      <c r="O206" s="171"/>
      <c r="P206" s="171"/>
      <c r="Q206" s="171"/>
      <c r="R206" s="171"/>
      <c r="S206" s="171"/>
      <c r="T206" s="171"/>
      <c r="U206" s="171"/>
      <c r="V206" s="171"/>
      <c r="W206" s="171"/>
      <c r="X206" s="171"/>
      <c r="Y206" s="171"/>
      <c r="Z206" s="171"/>
      <c r="AA206" s="171"/>
      <c r="AB206" s="171"/>
      <c r="AC206" s="171"/>
      <c r="AD206" s="171"/>
      <c r="AE206" s="171"/>
      <c r="AF206" s="171"/>
      <c r="AG206" s="171"/>
      <c r="AH206" s="171"/>
      <c r="AI206" s="171"/>
      <c r="AJ206" s="171"/>
      <c r="AK206" s="171"/>
      <c r="AL206" s="171"/>
      <c r="AM206" s="171"/>
      <c r="AN206" s="171"/>
      <c r="AO206" s="171"/>
      <c r="AP206" s="171"/>
      <c r="AQ206" s="171"/>
      <c r="AR206" s="171"/>
      <c r="AS206" s="171"/>
      <c r="AT206" s="171"/>
      <c r="AU206" s="171"/>
      <c r="AV206" s="171"/>
      <c r="AW206" s="171"/>
      <c r="AX206" s="171"/>
      <c r="AY206" s="171"/>
      <c r="AZ206" s="171"/>
      <c r="BA206" s="171"/>
      <c r="BB206" s="171"/>
      <c r="BC206" s="171"/>
      <c r="BD206" s="171"/>
      <c r="BE206" s="171"/>
      <c r="BF206" s="171"/>
      <c r="BG206" s="171"/>
      <c r="BH206" s="171"/>
      <c r="BI206" s="171"/>
      <c r="BJ206" s="171"/>
      <c r="BK206" s="171"/>
      <c r="BL206" s="171"/>
      <c r="BM206" s="171"/>
      <c r="BN206" s="171"/>
      <c r="BO206" s="171"/>
      <c r="BP206" s="171"/>
      <c r="BQ206" s="171"/>
      <c r="BR206" s="171"/>
      <c r="BS206" s="171"/>
      <c r="BT206" s="171"/>
    </row>
    <row r="207" spans="1:72">
      <c r="A207" s="171"/>
      <c r="B207" s="171"/>
      <c r="C207" s="171"/>
      <c r="D207" s="171"/>
      <c r="E207" s="171"/>
      <c r="F207" s="494"/>
      <c r="G207" s="494"/>
      <c r="H207" s="494"/>
      <c r="I207" s="494"/>
      <c r="J207" s="494"/>
      <c r="K207" s="494"/>
      <c r="L207" s="494"/>
      <c r="M207" s="494"/>
      <c r="N207" s="171"/>
      <c r="O207" s="171"/>
      <c r="P207" s="171"/>
      <c r="Q207" s="171"/>
      <c r="R207" s="171"/>
      <c r="S207" s="171"/>
      <c r="T207" s="171"/>
      <c r="U207" s="171"/>
      <c r="V207" s="171"/>
      <c r="W207" s="171"/>
      <c r="X207" s="171"/>
      <c r="Y207" s="171"/>
      <c r="Z207" s="171"/>
      <c r="AA207" s="171"/>
      <c r="AB207" s="171"/>
      <c r="AC207" s="171"/>
      <c r="AD207" s="171"/>
      <c r="AE207" s="171"/>
      <c r="AF207" s="171"/>
      <c r="AG207" s="171"/>
      <c r="AH207" s="171"/>
      <c r="AI207" s="171"/>
      <c r="AJ207" s="171"/>
      <c r="AK207" s="171"/>
      <c r="AL207" s="171"/>
      <c r="AM207" s="171"/>
      <c r="AN207" s="171"/>
      <c r="AO207" s="171"/>
      <c r="AP207" s="171"/>
      <c r="AQ207" s="171"/>
      <c r="AR207" s="171"/>
      <c r="AS207" s="171"/>
      <c r="AT207" s="171"/>
      <c r="AU207" s="171"/>
      <c r="AV207" s="171"/>
      <c r="AW207" s="171"/>
      <c r="AX207" s="171"/>
      <c r="AY207" s="171"/>
      <c r="AZ207" s="171"/>
      <c r="BA207" s="171"/>
      <c r="BB207" s="171"/>
      <c r="BC207" s="171"/>
      <c r="BD207" s="171"/>
      <c r="BE207" s="171"/>
      <c r="BF207" s="171"/>
      <c r="BG207" s="171"/>
      <c r="BH207" s="171"/>
      <c r="BI207" s="171"/>
      <c r="BJ207" s="171"/>
      <c r="BK207" s="171"/>
      <c r="BL207" s="171"/>
      <c r="BM207" s="171"/>
      <c r="BN207" s="171"/>
      <c r="BO207" s="171"/>
      <c r="BP207" s="171"/>
      <c r="BQ207" s="171"/>
      <c r="BR207" s="171"/>
      <c r="BS207" s="171"/>
      <c r="BT207" s="171"/>
    </row>
    <row r="208" spans="1:72">
      <c r="A208" s="171"/>
      <c r="B208" s="171"/>
      <c r="C208" s="171"/>
      <c r="D208" s="171"/>
      <c r="E208" s="171"/>
      <c r="F208" s="486"/>
      <c r="G208" s="486"/>
      <c r="H208" s="486"/>
      <c r="I208" s="486"/>
      <c r="J208" s="486"/>
      <c r="K208" s="486"/>
      <c r="L208" s="486"/>
      <c r="M208" s="486"/>
      <c r="N208" s="171"/>
      <c r="O208" s="171"/>
      <c r="P208" s="171"/>
      <c r="Q208" s="171"/>
      <c r="R208" s="171"/>
      <c r="S208" s="171"/>
      <c r="T208" s="171"/>
      <c r="U208" s="171"/>
      <c r="V208" s="171"/>
      <c r="W208" s="171"/>
      <c r="X208" s="171"/>
      <c r="Y208" s="171"/>
      <c r="Z208" s="171"/>
      <c r="AA208" s="171"/>
      <c r="AB208" s="171"/>
      <c r="AC208" s="171"/>
      <c r="AD208" s="171"/>
      <c r="AE208" s="171"/>
      <c r="AF208" s="171"/>
      <c r="AG208" s="171"/>
      <c r="AH208" s="171"/>
      <c r="AI208" s="171"/>
      <c r="AJ208" s="171"/>
      <c r="AK208" s="171"/>
      <c r="AL208" s="171"/>
      <c r="AM208" s="171"/>
      <c r="AN208" s="171"/>
      <c r="AO208" s="171"/>
      <c r="AP208" s="171"/>
      <c r="AQ208" s="171"/>
      <c r="AR208" s="171"/>
      <c r="AS208" s="171"/>
      <c r="AT208" s="171"/>
      <c r="AU208" s="171"/>
      <c r="AV208" s="171"/>
      <c r="AW208" s="171"/>
      <c r="AX208" s="171"/>
      <c r="AY208" s="171"/>
      <c r="AZ208" s="171"/>
      <c r="BA208" s="171"/>
      <c r="BB208" s="171"/>
      <c r="BC208" s="171"/>
      <c r="BD208" s="171"/>
      <c r="BE208" s="171"/>
      <c r="BF208" s="171"/>
      <c r="BG208" s="171"/>
      <c r="BH208" s="171"/>
      <c r="BI208" s="171"/>
      <c r="BJ208" s="171"/>
      <c r="BK208" s="171"/>
      <c r="BL208" s="171"/>
      <c r="BM208" s="171"/>
      <c r="BN208" s="171"/>
      <c r="BO208" s="171"/>
      <c r="BP208" s="171"/>
      <c r="BQ208" s="171"/>
      <c r="BR208" s="171"/>
      <c r="BS208" s="171"/>
      <c r="BT208" s="171"/>
    </row>
    <row r="209" spans="1:72">
      <c r="A209" s="171"/>
      <c r="B209" s="171"/>
      <c r="C209" s="171"/>
      <c r="D209" s="171"/>
      <c r="E209" s="171"/>
      <c r="F209" s="486"/>
      <c r="G209" s="486"/>
      <c r="H209" s="486"/>
      <c r="I209" s="486"/>
      <c r="J209" s="486"/>
      <c r="K209" s="486"/>
      <c r="L209" s="486"/>
      <c r="M209" s="486"/>
      <c r="N209" s="171"/>
      <c r="O209" s="171"/>
      <c r="P209" s="171"/>
      <c r="Q209" s="171"/>
      <c r="R209" s="171"/>
      <c r="S209" s="171"/>
      <c r="T209" s="171"/>
      <c r="U209" s="171"/>
      <c r="V209" s="171"/>
      <c r="W209" s="171"/>
      <c r="X209" s="171"/>
      <c r="Y209" s="171"/>
      <c r="Z209" s="171"/>
      <c r="AA209" s="171"/>
      <c r="AB209" s="171"/>
      <c r="AC209" s="171"/>
      <c r="AD209" s="171"/>
      <c r="AE209" s="171"/>
      <c r="AF209" s="171"/>
      <c r="AG209" s="171"/>
      <c r="AH209" s="171"/>
      <c r="AI209" s="171"/>
      <c r="AJ209" s="171"/>
      <c r="AK209" s="171"/>
      <c r="AL209" s="171"/>
      <c r="AM209" s="171"/>
      <c r="AN209" s="171"/>
      <c r="AO209" s="171"/>
      <c r="AP209" s="171"/>
      <c r="AQ209" s="171"/>
      <c r="AR209" s="171"/>
      <c r="AS209" s="171"/>
      <c r="AT209" s="171"/>
      <c r="AU209" s="171"/>
      <c r="AV209" s="171"/>
      <c r="AW209" s="171"/>
      <c r="AX209" s="171"/>
      <c r="AY209" s="171"/>
      <c r="AZ209" s="171"/>
      <c r="BA209" s="171"/>
      <c r="BB209" s="171"/>
      <c r="BC209" s="171"/>
      <c r="BD209" s="171"/>
      <c r="BE209" s="171"/>
      <c r="BF209" s="171"/>
      <c r="BG209" s="171"/>
      <c r="BH209" s="171"/>
      <c r="BI209" s="171"/>
      <c r="BJ209" s="171"/>
      <c r="BK209" s="171"/>
      <c r="BL209" s="171"/>
      <c r="BM209" s="171"/>
      <c r="BN209" s="171"/>
      <c r="BO209" s="171"/>
      <c r="BP209" s="171"/>
      <c r="BQ209" s="171"/>
      <c r="BR209" s="171"/>
      <c r="BS209" s="171"/>
      <c r="BT209" s="171"/>
    </row>
    <row r="210" spans="1:72">
      <c r="A210" s="171"/>
      <c r="B210" s="171"/>
      <c r="C210" s="171"/>
      <c r="D210" s="171"/>
      <c r="E210" s="171"/>
      <c r="F210" s="486"/>
      <c r="G210" s="486"/>
      <c r="H210" s="486"/>
      <c r="I210" s="486"/>
      <c r="J210" s="486"/>
      <c r="K210" s="486"/>
      <c r="L210" s="486"/>
      <c r="M210" s="486"/>
      <c r="N210" s="171"/>
      <c r="O210" s="171"/>
      <c r="P210" s="171"/>
      <c r="Q210" s="171"/>
      <c r="R210" s="171"/>
      <c r="S210" s="171"/>
      <c r="T210" s="171"/>
      <c r="U210" s="171"/>
      <c r="V210" s="171"/>
      <c r="W210" s="171"/>
      <c r="X210" s="171"/>
      <c r="Y210" s="171"/>
      <c r="Z210" s="171"/>
      <c r="AA210" s="171"/>
      <c r="AB210" s="171"/>
      <c r="AC210" s="171"/>
      <c r="AD210" s="171"/>
      <c r="AE210" s="171"/>
      <c r="AF210" s="171"/>
      <c r="AG210" s="171"/>
      <c r="AH210" s="171"/>
      <c r="AI210" s="171"/>
      <c r="AJ210" s="171"/>
      <c r="AK210" s="171"/>
      <c r="AL210" s="171"/>
      <c r="AM210" s="171"/>
      <c r="AN210" s="171"/>
      <c r="AO210" s="171"/>
      <c r="AP210" s="171"/>
      <c r="AQ210" s="171"/>
      <c r="AR210" s="171"/>
      <c r="AS210" s="171"/>
      <c r="AT210" s="171"/>
      <c r="AU210" s="171"/>
      <c r="AV210" s="171"/>
      <c r="AW210" s="171"/>
      <c r="AX210" s="171"/>
      <c r="AY210" s="171"/>
      <c r="AZ210" s="171"/>
      <c r="BA210" s="171"/>
      <c r="BB210" s="171"/>
      <c r="BC210" s="171"/>
      <c r="BD210" s="171"/>
      <c r="BE210" s="171"/>
      <c r="BF210" s="171"/>
      <c r="BG210" s="171"/>
      <c r="BH210" s="171"/>
      <c r="BI210" s="171"/>
      <c r="BJ210" s="171"/>
      <c r="BK210" s="171"/>
      <c r="BL210" s="171"/>
      <c r="BM210" s="171"/>
      <c r="BN210" s="171"/>
      <c r="BO210" s="171"/>
      <c r="BP210" s="171"/>
      <c r="BQ210" s="171"/>
      <c r="BR210" s="171"/>
      <c r="BS210" s="171"/>
      <c r="BT210" s="171"/>
    </row>
    <row r="211" spans="1:72">
      <c r="A211" s="171"/>
      <c r="B211" s="171"/>
      <c r="C211" s="171"/>
      <c r="D211" s="171"/>
      <c r="E211" s="171"/>
      <c r="F211" s="486"/>
      <c r="G211" s="486"/>
      <c r="H211" s="486"/>
      <c r="I211" s="486"/>
      <c r="J211" s="486"/>
      <c r="K211" s="486"/>
      <c r="L211" s="486"/>
      <c r="M211" s="486"/>
      <c r="N211" s="171"/>
      <c r="O211" s="171"/>
      <c r="P211" s="171"/>
      <c r="Q211" s="171"/>
      <c r="R211" s="171"/>
      <c r="S211" s="171"/>
      <c r="T211" s="171"/>
      <c r="U211" s="171"/>
      <c r="V211" s="171"/>
      <c r="W211" s="171"/>
      <c r="X211" s="171"/>
      <c r="Y211" s="171"/>
      <c r="Z211" s="171"/>
      <c r="AA211" s="171"/>
      <c r="AB211" s="171"/>
      <c r="AC211" s="171"/>
      <c r="AD211" s="171"/>
      <c r="AE211" s="171"/>
      <c r="AF211" s="171"/>
      <c r="AG211" s="171"/>
      <c r="AH211" s="171"/>
      <c r="AI211" s="171"/>
      <c r="AJ211" s="171"/>
      <c r="AK211" s="171"/>
      <c r="AL211" s="171"/>
      <c r="AM211" s="171"/>
      <c r="AN211" s="171"/>
      <c r="AO211" s="171"/>
      <c r="AP211" s="171"/>
      <c r="AQ211" s="171"/>
      <c r="AR211" s="171"/>
      <c r="AS211" s="171"/>
      <c r="AT211" s="171"/>
      <c r="AU211" s="171"/>
      <c r="AV211" s="171"/>
      <c r="AW211" s="171"/>
      <c r="AX211" s="171"/>
      <c r="AY211" s="171"/>
      <c r="AZ211" s="171"/>
      <c r="BA211" s="171"/>
      <c r="BB211" s="171"/>
      <c r="BC211" s="171"/>
      <c r="BD211" s="171"/>
      <c r="BE211" s="171"/>
      <c r="BF211" s="171"/>
      <c r="BG211" s="171"/>
      <c r="BH211" s="171"/>
      <c r="BI211" s="171"/>
      <c r="BJ211" s="171"/>
      <c r="BK211" s="171"/>
      <c r="BL211" s="171"/>
      <c r="BM211" s="171"/>
      <c r="BN211" s="171"/>
      <c r="BO211" s="171"/>
      <c r="BP211" s="171"/>
      <c r="BQ211" s="171"/>
      <c r="BR211" s="171"/>
      <c r="BS211" s="171"/>
      <c r="BT211" s="171"/>
    </row>
    <row r="212" spans="1:72">
      <c r="A212" s="171"/>
      <c r="B212" s="171"/>
      <c r="C212" s="171"/>
      <c r="D212" s="171"/>
      <c r="E212" s="171"/>
      <c r="F212" s="486"/>
      <c r="G212" s="486"/>
      <c r="H212" s="486"/>
      <c r="I212" s="486"/>
      <c r="J212" s="486"/>
      <c r="K212" s="486"/>
      <c r="L212" s="486"/>
      <c r="M212" s="486"/>
      <c r="N212" s="171"/>
      <c r="O212" s="171"/>
      <c r="P212" s="171"/>
      <c r="Q212" s="171"/>
      <c r="R212" s="171"/>
      <c r="S212" s="171"/>
      <c r="T212" s="171"/>
      <c r="U212" s="171"/>
      <c r="V212" s="171"/>
      <c r="W212" s="171"/>
      <c r="X212" s="171"/>
      <c r="Y212" s="171"/>
      <c r="Z212" s="171"/>
      <c r="AA212" s="171"/>
      <c r="AB212" s="171"/>
      <c r="AC212" s="171"/>
      <c r="AD212" s="171"/>
      <c r="AE212" s="171"/>
      <c r="AF212" s="171"/>
      <c r="AG212" s="171"/>
      <c r="AH212" s="171"/>
      <c r="AI212" s="171"/>
      <c r="AJ212" s="171"/>
      <c r="AK212" s="171"/>
      <c r="AL212" s="171"/>
      <c r="AM212" s="171"/>
      <c r="AN212" s="171"/>
      <c r="AO212" s="171"/>
      <c r="AP212" s="171"/>
      <c r="AQ212" s="171"/>
      <c r="AR212" s="171"/>
      <c r="AS212" s="171"/>
      <c r="AT212" s="171"/>
      <c r="AU212" s="171"/>
      <c r="AV212" s="171"/>
      <c r="AW212" s="171"/>
      <c r="AX212" s="171"/>
      <c r="AY212" s="171"/>
      <c r="AZ212" s="171"/>
      <c r="BA212" s="171"/>
      <c r="BB212" s="171"/>
      <c r="BC212" s="171"/>
      <c r="BD212" s="171"/>
      <c r="BE212" s="171"/>
      <c r="BF212" s="171"/>
      <c r="BG212" s="171"/>
      <c r="BH212" s="171"/>
      <c r="BI212" s="171"/>
      <c r="BJ212" s="171"/>
      <c r="BK212" s="171"/>
      <c r="BL212" s="171"/>
      <c r="BM212" s="171"/>
      <c r="BN212" s="171"/>
      <c r="BO212" s="171"/>
      <c r="BP212" s="171"/>
      <c r="BQ212" s="171"/>
      <c r="BR212" s="171"/>
      <c r="BS212" s="171"/>
      <c r="BT212" s="171"/>
    </row>
    <row r="213" spans="1:72">
      <c r="A213" s="171"/>
      <c r="B213" s="171"/>
      <c r="C213" s="171"/>
      <c r="D213" s="171"/>
      <c r="E213" s="171"/>
      <c r="F213" s="486"/>
      <c r="G213" s="486"/>
      <c r="H213" s="486"/>
      <c r="I213" s="486"/>
      <c r="J213" s="486"/>
      <c r="K213" s="486"/>
      <c r="L213" s="486"/>
      <c r="M213" s="486"/>
      <c r="N213" s="171"/>
      <c r="O213" s="171"/>
      <c r="P213" s="171"/>
      <c r="Q213" s="171"/>
      <c r="R213" s="171"/>
      <c r="S213" s="171"/>
      <c r="T213" s="171"/>
      <c r="U213" s="171"/>
      <c r="V213" s="171"/>
      <c r="W213" s="171"/>
      <c r="X213" s="171"/>
      <c r="Y213" s="171"/>
      <c r="Z213" s="171"/>
      <c r="AA213" s="171"/>
      <c r="AB213" s="171"/>
      <c r="AC213" s="171"/>
      <c r="AD213" s="171"/>
      <c r="AE213" s="171"/>
      <c r="AF213" s="171"/>
      <c r="AG213" s="171"/>
      <c r="AH213" s="171"/>
      <c r="AI213" s="171"/>
      <c r="AJ213" s="171"/>
      <c r="AK213" s="171"/>
      <c r="AL213" s="171"/>
      <c r="AM213" s="171"/>
      <c r="AN213" s="171"/>
      <c r="AO213" s="171"/>
      <c r="AP213" s="171"/>
      <c r="AQ213" s="171"/>
      <c r="AR213" s="171"/>
      <c r="AS213" s="171"/>
      <c r="AT213" s="171"/>
      <c r="AU213" s="171"/>
      <c r="AV213" s="171"/>
      <c r="AW213" s="171"/>
      <c r="AX213" s="171"/>
      <c r="AY213" s="171"/>
      <c r="AZ213" s="171"/>
      <c r="BA213" s="171"/>
      <c r="BB213" s="171"/>
      <c r="BC213" s="171"/>
      <c r="BD213" s="171"/>
      <c r="BE213" s="171"/>
      <c r="BF213" s="171"/>
      <c r="BG213" s="171"/>
      <c r="BH213" s="171"/>
      <c r="BI213" s="171"/>
      <c r="BJ213" s="171"/>
      <c r="BK213" s="171"/>
      <c r="BL213" s="171"/>
      <c r="BM213" s="171"/>
      <c r="BN213" s="171"/>
      <c r="BO213" s="171"/>
      <c r="BP213" s="171"/>
      <c r="BQ213" s="171"/>
      <c r="BR213" s="171"/>
      <c r="BS213" s="171"/>
      <c r="BT213" s="171"/>
    </row>
    <row r="214" spans="1:72">
      <c r="A214" s="171"/>
      <c r="B214" s="171"/>
      <c r="C214" s="171"/>
      <c r="D214" s="171"/>
      <c r="E214" s="171"/>
      <c r="F214" s="486"/>
      <c r="G214" s="486"/>
      <c r="H214" s="486"/>
      <c r="I214" s="486"/>
      <c r="J214" s="486"/>
      <c r="K214" s="486"/>
      <c r="L214" s="486"/>
      <c r="M214" s="486"/>
      <c r="N214" s="171"/>
      <c r="O214" s="171"/>
      <c r="P214" s="171"/>
      <c r="Q214" s="171"/>
      <c r="R214" s="171"/>
      <c r="S214" s="171"/>
      <c r="T214" s="171"/>
      <c r="U214" s="171"/>
      <c r="V214" s="171"/>
      <c r="W214" s="171"/>
      <c r="X214" s="171"/>
      <c r="Y214" s="171"/>
      <c r="Z214" s="171"/>
      <c r="AA214" s="171"/>
      <c r="AB214" s="171"/>
      <c r="AC214" s="171"/>
      <c r="AD214" s="171"/>
      <c r="AE214" s="171"/>
      <c r="AF214" s="171"/>
      <c r="AG214" s="171"/>
      <c r="AH214" s="171"/>
      <c r="AI214" s="171"/>
      <c r="AJ214" s="171"/>
      <c r="AK214" s="171"/>
      <c r="AL214" s="171"/>
      <c r="AM214" s="171"/>
      <c r="AN214" s="171"/>
      <c r="AO214" s="171"/>
      <c r="AP214" s="171"/>
      <c r="AQ214" s="171"/>
      <c r="AR214" s="171"/>
      <c r="AS214" s="171"/>
      <c r="AT214" s="171"/>
      <c r="AU214" s="171"/>
      <c r="AV214" s="171"/>
      <c r="AW214" s="171"/>
      <c r="AX214" s="171"/>
      <c r="AY214" s="171"/>
      <c r="AZ214" s="171"/>
      <c r="BA214" s="171"/>
      <c r="BB214" s="171"/>
      <c r="BC214" s="171"/>
      <c r="BD214" s="171"/>
      <c r="BE214" s="171"/>
      <c r="BF214" s="171"/>
      <c r="BG214" s="171"/>
      <c r="BH214" s="171"/>
      <c r="BI214" s="171"/>
      <c r="BJ214" s="171"/>
      <c r="BK214" s="171"/>
      <c r="BL214" s="171"/>
      <c r="BM214" s="171"/>
      <c r="BN214" s="171"/>
      <c r="BO214" s="171"/>
      <c r="BP214" s="171"/>
      <c r="BQ214" s="171"/>
      <c r="BR214" s="171"/>
      <c r="BS214" s="171"/>
      <c r="BT214" s="171"/>
    </row>
    <row r="215" spans="1:72">
      <c r="A215" s="171"/>
      <c r="B215" s="171"/>
      <c r="C215" s="171"/>
      <c r="D215" s="171"/>
      <c r="E215" s="171"/>
      <c r="F215" s="486"/>
      <c r="G215" s="486"/>
      <c r="H215" s="486"/>
      <c r="I215" s="486"/>
      <c r="J215" s="486"/>
      <c r="K215" s="486"/>
      <c r="L215" s="486"/>
      <c r="M215" s="486"/>
      <c r="N215" s="171"/>
      <c r="O215" s="171"/>
      <c r="P215" s="171"/>
      <c r="Q215" s="171"/>
      <c r="R215" s="171"/>
      <c r="S215" s="171"/>
      <c r="T215" s="171"/>
      <c r="U215" s="171"/>
      <c r="V215" s="171"/>
      <c r="W215" s="171"/>
      <c r="X215" s="171"/>
      <c r="Y215" s="171"/>
      <c r="Z215" s="171"/>
      <c r="AA215" s="171"/>
      <c r="AB215" s="171"/>
      <c r="AC215" s="171"/>
      <c r="AD215" s="171"/>
      <c r="AE215" s="171"/>
      <c r="AF215" s="171"/>
      <c r="AG215" s="171"/>
      <c r="AH215" s="171"/>
      <c r="AI215" s="171"/>
      <c r="AJ215" s="171"/>
      <c r="AK215" s="171"/>
      <c r="AL215" s="171"/>
      <c r="AM215" s="171"/>
      <c r="AN215" s="171"/>
      <c r="AO215" s="171"/>
      <c r="AP215" s="171"/>
      <c r="AQ215" s="171"/>
      <c r="AR215" s="171"/>
      <c r="AS215" s="171"/>
      <c r="AT215" s="171"/>
      <c r="AU215" s="171"/>
      <c r="AV215" s="171"/>
      <c r="AW215" s="171"/>
      <c r="AX215" s="171"/>
      <c r="AY215" s="171"/>
      <c r="AZ215" s="171"/>
      <c r="BA215" s="171"/>
      <c r="BB215" s="171"/>
      <c r="BC215" s="171"/>
      <c r="BD215" s="171"/>
      <c r="BE215" s="171"/>
      <c r="BF215" s="171"/>
      <c r="BG215" s="171"/>
      <c r="BH215" s="171"/>
      <c r="BI215" s="171"/>
      <c r="BJ215" s="171"/>
      <c r="BK215" s="171"/>
      <c r="BL215" s="171"/>
      <c r="BM215" s="171"/>
      <c r="BN215" s="171"/>
      <c r="BO215" s="171"/>
      <c r="BP215" s="171"/>
      <c r="BQ215" s="171"/>
      <c r="BR215" s="171"/>
      <c r="BS215" s="171"/>
      <c r="BT215" s="171"/>
    </row>
    <row r="216" spans="1:72">
      <c r="A216" s="171"/>
      <c r="B216" s="171"/>
      <c r="C216" s="171"/>
      <c r="D216" s="171"/>
      <c r="E216" s="171"/>
      <c r="F216" s="486"/>
      <c r="G216" s="486"/>
      <c r="H216" s="486"/>
      <c r="I216" s="486"/>
      <c r="J216" s="486"/>
      <c r="K216" s="486"/>
      <c r="L216" s="486"/>
      <c r="M216" s="486"/>
      <c r="N216" s="171"/>
      <c r="O216" s="171"/>
      <c r="P216" s="171"/>
      <c r="Q216" s="171"/>
      <c r="R216" s="171"/>
      <c r="S216" s="171"/>
      <c r="T216" s="171"/>
      <c r="U216" s="171"/>
      <c r="V216" s="171"/>
      <c r="W216" s="171"/>
      <c r="X216" s="171"/>
      <c r="Y216" s="171"/>
      <c r="Z216" s="171"/>
      <c r="AA216" s="171"/>
      <c r="AB216" s="171"/>
      <c r="AC216" s="171"/>
      <c r="AD216" s="171"/>
      <c r="AE216" s="171"/>
      <c r="AF216" s="171"/>
      <c r="AG216" s="171"/>
      <c r="AH216" s="171"/>
      <c r="AI216" s="171"/>
      <c r="AJ216" s="171"/>
      <c r="AK216" s="171"/>
      <c r="AL216" s="171"/>
      <c r="AM216" s="171"/>
      <c r="AN216" s="171"/>
      <c r="AO216" s="171"/>
      <c r="AP216" s="171"/>
      <c r="AQ216" s="171"/>
      <c r="AR216" s="171"/>
      <c r="AS216" s="171"/>
      <c r="AT216" s="171"/>
      <c r="AU216" s="171"/>
      <c r="AV216" s="171"/>
      <c r="AW216" s="171"/>
      <c r="AX216" s="171"/>
      <c r="AY216" s="171"/>
      <c r="AZ216" s="171"/>
      <c r="BA216" s="171"/>
      <c r="BB216" s="171"/>
      <c r="BC216" s="171"/>
      <c r="BD216" s="171"/>
      <c r="BE216" s="171"/>
      <c r="BF216" s="171"/>
      <c r="BG216" s="171"/>
      <c r="BH216" s="171"/>
      <c r="BI216" s="171"/>
      <c r="BJ216" s="171"/>
      <c r="BK216" s="171"/>
      <c r="BL216" s="171"/>
      <c r="BM216" s="171"/>
      <c r="BN216" s="171"/>
      <c r="BO216" s="171"/>
      <c r="BP216" s="171"/>
      <c r="BQ216" s="171"/>
      <c r="BR216" s="171"/>
      <c r="BS216" s="171"/>
      <c r="BT216" s="171"/>
    </row>
    <row r="217" spans="1:72">
      <c r="A217" s="171"/>
      <c r="B217" s="171"/>
      <c r="C217" s="171"/>
      <c r="D217" s="171"/>
      <c r="E217" s="171"/>
      <c r="F217" s="486"/>
      <c r="G217" s="486"/>
      <c r="H217" s="486"/>
      <c r="I217" s="486"/>
      <c r="J217" s="486"/>
      <c r="K217" s="486"/>
      <c r="L217" s="486"/>
      <c r="M217" s="486"/>
      <c r="N217" s="171"/>
      <c r="O217" s="171"/>
      <c r="P217" s="171"/>
      <c r="Q217" s="171"/>
      <c r="R217" s="171"/>
      <c r="S217" s="171"/>
      <c r="T217" s="171"/>
      <c r="U217" s="171"/>
      <c r="V217" s="171"/>
      <c r="W217" s="171"/>
      <c r="X217" s="171"/>
      <c r="Y217" s="171"/>
      <c r="Z217" s="171"/>
      <c r="AA217" s="171"/>
      <c r="AB217" s="171"/>
      <c r="AC217" s="171"/>
      <c r="AD217" s="171"/>
      <c r="AE217" s="171"/>
      <c r="AF217" s="171"/>
      <c r="AG217" s="171"/>
      <c r="AH217" s="171"/>
      <c r="AI217" s="171"/>
      <c r="AJ217" s="171"/>
      <c r="AK217" s="171"/>
      <c r="AL217" s="171"/>
      <c r="AM217" s="171"/>
      <c r="AN217" s="171"/>
      <c r="AO217" s="171"/>
      <c r="AP217" s="171"/>
      <c r="AQ217" s="171"/>
      <c r="AR217" s="171"/>
      <c r="AS217" s="171"/>
      <c r="AT217" s="171"/>
      <c r="AU217" s="171"/>
      <c r="AV217" s="171"/>
      <c r="AW217" s="171"/>
      <c r="AX217" s="171"/>
      <c r="AY217" s="171"/>
      <c r="AZ217" s="171"/>
      <c r="BA217" s="171"/>
      <c r="BB217" s="171"/>
      <c r="BC217" s="171"/>
      <c r="BD217" s="171"/>
      <c r="BE217" s="171"/>
      <c r="BF217" s="171"/>
      <c r="BG217" s="171"/>
      <c r="BH217" s="171"/>
      <c r="BI217" s="171"/>
      <c r="BJ217" s="171"/>
      <c r="BK217" s="171"/>
      <c r="BL217" s="171"/>
      <c r="BM217" s="171"/>
      <c r="BN217" s="171"/>
      <c r="BO217" s="171"/>
      <c r="BP217" s="171"/>
      <c r="BQ217" s="171"/>
      <c r="BR217" s="171"/>
      <c r="BS217" s="171"/>
      <c r="BT217" s="171"/>
    </row>
    <row r="218" spans="1:72">
      <c r="A218" s="171"/>
      <c r="B218" s="171"/>
      <c r="C218" s="171"/>
      <c r="D218" s="17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c r="AA218" s="171"/>
      <c r="AB218" s="171"/>
      <c r="AC218" s="171"/>
      <c r="AD218" s="171"/>
      <c r="AE218" s="171"/>
      <c r="AF218" s="171"/>
      <c r="AG218" s="171"/>
      <c r="AH218" s="171"/>
      <c r="AI218" s="171"/>
      <c r="AJ218" s="171"/>
      <c r="AK218" s="171"/>
      <c r="AL218" s="171"/>
      <c r="AM218" s="171"/>
      <c r="AN218" s="171"/>
      <c r="AO218" s="171"/>
      <c r="AP218" s="171"/>
      <c r="AQ218" s="171"/>
      <c r="AR218" s="171"/>
      <c r="AS218" s="171"/>
      <c r="AT218" s="171"/>
      <c r="AU218" s="171"/>
      <c r="AV218" s="171"/>
      <c r="AW218" s="171"/>
      <c r="AX218" s="171"/>
      <c r="AY218" s="171"/>
      <c r="AZ218" s="171"/>
      <c r="BA218" s="171"/>
      <c r="BB218" s="171"/>
      <c r="BC218" s="171"/>
      <c r="BD218" s="171"/>
      <c r="BE218" s="171"/>
      <c r="BF218" s="171"/>
      <c r="BG218" s="171"/>
      <c r="BH218" s="171"/>
      <c r="BI218" s="171"/>
      <c r="BJ218" s="171"/>
      <c r="BK218" s="171"/>
      <c r="BL218" s="171"/>
      <c r="BM218" s="171"/>
      <c r="BN218" s="171"/>
      <c r="BO218" s="171"/>
      <c r="BP218" s="171"/>
      <c r="BQ218" s="171"/>
      <c r="BR218" s="171"/>
      <c r="BS218" s="171"/>
      <c r="BT218" s="171"/>
    </row>
    <row r="219" spans="1:72">
      <c r="A219" s="171"/>
      <c r="B219" s="171"/>
      <c r="C219" s="171"/>
      <c r="D219" s="171"/>
      <c r="E219" s="171"/>
      <c r="F219" s="171"/>
      <c r="G219" s="171"/>
      <c r="H219" s="171"/>
      <c r="I219" s="171"/>
      <c r="J219" s="171"/>
      <c r="K219" s="171"/>
      <c r="L219" s="171"/>
      <c r="M219" s="171"/>
      <c r="N219" s="171"/>
      <c r="O219" s="171"/>
      <c r="P219" s="171"/>
      <c r="Q219" s="171"/>
      <c r="R219" s="171"/>
      <c r="S219" s="171"/>
      <c r="T219" s="171"/>
      <c r="U219" s="171"/>
      <c r="V219" s="171"/>
      <c r="W219" s="171"/>
      <c r="X219" s="171"/>
      <c r="Y219" s="171"/>
      <c r="Z219" s="171"/>
      <c r="AA219" s="171"/>
      <c r="AB219" s="171"/>
      <c r="AC219" s="171"/>
      <c r="AD219" s="171"/>
      <c r="AE219" s="171"/>
      <c r="AF219" s="171"/>
      <c r="AG219" s="171"/>
      <c r="AH219" s="171"/>
      <c r="AI219" s="171"/>
      <c r="AJ219" s="171"/>
      <c r="AK219" s="171"/>
      <c r="AL219" s="171"/>
      <c r="AM219" s="171"/>
      <c r="AN219" s="171"/>
      <c r="AO219" s="171"/>
      <c r="AP219" s="171"/>
      <c r="AQ219" s="171"/>
      <c r="AR219" s="171"/>
      <c r="AS219" s="171"/>
      <c r="AT219" s="171"/>
      <c r="AU219" s="171"/>
      <c r="AV219" s="171"/>
      <c r="AW219" s="171"/>
      <c r="AX219" s="171"/>
      <c r="AY219" s="171"/>
      <c r="AZ219" s="171"/>
      <c r="BA219" s="171"/>
      <c r="BB219" s="171"/>
      <c r="BC219" s="171"/>
      <c r="BD219" s="171"/>
      <c r="BE219" s="171"/>
      <c r="BF219" s="171"/>
      <c r="BG219" s="171"/>
      <c r="BH219" s="171"/>
      <c r="BI219" s="171"/>
      <c r="BJ219" s="171"/>
      <c r="BK219" s="171"/>
      <c r="BL219" s="171"/>
      <c r="BM219" s="171"/>
      <c r="BN219" s="171"/>
      <c r="BO219" s="171"/>
      <c r="BP219" s="171"/>
      <c r="BQ219" s="171"/>
      <c r="BR219" s="171"/>
      <c r="BS219" s="171"/>
      <c r="BT219" s="171"/>
    </row>
    <row r="220" spans="1:72">
      <c r="A220" s="171"/>
      <c r="B220" s="171"/>
      <c r="C220" s="171"/>
      <c r="D220" s="171"/>
      <c r="E220" s="171"/>
      <c r="F220" s="171"/>
      <c r="G220" s="171"/>
      <c r="H220" s="171"/>
      <c r="I220" s="171"/>
      <c r="J220" s="171"/>
      <c r="K220" s="171"/>
      <c r="L220" s="171"/>
      <c r="M220" s="171"/>
      <c r="N220" s="171"/>
      <c r="O220" s="171"/>
      <c r="P220" s="171"/>
      <c r="Q220" s="171"/>
      <c r="R220" s="171"/>
      <c r="S220" s="171"/>
      <c r="T220" s="171"/>
      <c r="U220" s="171"/>
      <c r="V220" s="171"/>
      <c r="W220" s="171"/>
      <c r="X220" s="171"/>
      <c r="Y220" s="171"/>
      <c r="Z220" s="171"/>
      <c r="AA220" s="171"/>
      <c r="AB220" s="171"/>
      <c r="AC220" s="171"/>
      <c r="AD220" s="171"/>
      <c r="AE220" s="171"/>
      <c r="AF220" s="171"/>
      <c r="AG220" s="171"/>
      <c r="AH220" s="171"/>
      <c r="AI220" s="171"/>
      <c r="AJ220" s="171"/>
      <c r="AK220" s="171"/>
      <c r="AL220" s="171"/>
      <c r="AM220" s="171"/>
      <c r="AN220" s="171"/>
      <c r="AO220" s="171"/>
      <c r="AP220" s="171"/>
      <c r="AQ220" s="171"/>
      <c r="AR220" s="171"/>
      <c r="AS220" s="171"/>
      <c r="AT220" s="171"/>
      <c r="AU220" s="171"/>
      <c r="AV220" s="171"/>
      <c r="AW220" s="171"/>
      <c r="AX220" s="171"/>
      <c r="AY220" s="171"/>
      <c r="AZ220" s="171"/>
      <c r="BA220" s="171"/>
      <c r="BB220" s="171"/>
      <c r="BC220" s="171"/>
      <c r="BD220" s="171"/>
      <c r="BE220" s="171"/>
      <c r="BF220" s="171"/>
      <c r="BG220" s="171"/>
      <c r="BH220" s="171"/>
      <c r="BI220" s="171"/>
      <c r="BJ220" s="171"/>
      <c r="BK220" s="171"/>
      <c r="BL220" s="171"/>
      <c r="BM220" s="171"/>
      <c r="BN220" s="171"/>
      <c r="BO220" s="171"/>
      <c r="BP220" s="171"/>
      <c r="BQ220" s="171"/>
      <c r="BR220" s="171"/>
      <c r="BS220" s="171"/>
      <c r="BT220" s="171"/>
    </row>
    <row r="221" spans="1:72">
      <c r="A221" s="171"/>
      <c r="B221" s="171"/>
      <c r="C221" s="171"/>
      <c r="D221" s="171"/>
      <c r="E221" s="171"/>
      <c r="F221" s="171"/>
      <c r="G221" s="171"/>
      <c r="H221" s="171"/>
      <c r="I221" s="171"/>
      <c r="J221" s="171"/>
      <c r="K221" s="171"/>
      <c r="L221" s="171"/>
      <c r="M221" s="171"/>
      <c r="N221" s="171"/>
      <c r="O221" s="171"/>
      <c r="P221" s="171"/>
      <c r="Q221" s="171"/>
      <c r="R221" s="171"/>
      <c r="S221" s="171"/>
      <c r="T221" s="171"/>
      <c r="U221" s="171"/>
      <c r="V221" s="171"/>
      <c r="W221" s="171"/>
      <c r="X221" s="171"/>
      <c r="Y221" s="171"/>
      <c r="Z221" s="171"/>
      <c r="AA221" s="171"/>
      <c r="AB221" s="171"/>
      <c r="AC221" s="171"/>
      <c r="AD221" s="171"/>
      <c r="AE221" s="171"/>
      <c r="AF221" s="171"/>
      <c r="AG221" s="171"/>
      <c r="AH221" s="171"/>
      <c r="AI221" s="171"/>
      <c r="AJ221" s="171"/>
      <c r="AK221" s="171"/>
      <c r="AL221" s="171"/>
      <c r="AM221" s="171"/>
      <c r="AN221" s="171"/>
      <c r="AO221" s="171"/>
      <c r="AP221" s="171"/>
      <c r="AQ221" s="171"/>
      <c r="AR221" s="171"/>
      <c r="AS221" s="171"/>
      <c r="AT221" s="171"/>
      <c r="AU221" s="171"/>
      <c r="AV221" s="171"/>
      <c r="AW221" s="171"/>
      <c r="AX221" s="171"/>
      <c r="AY221" s="171"/>
      <c r="AZ221" s="171"/>
      <c r="BA221" s="171"/>
      <c r="BB221" s="171"/>
      <c r="BC221" s="171"/>
      <c r="BD221" s="171"/>
      <c r="BE221" s="171"/>
      <c r="BF221" s="171"/>
      <c r="BG221" s="171"/>
      <c r="BH221" s="171"/>
      <c r="BI221" s="171"/>
      <c r="BJ221" s="171"/>
      <c r="BK221" s="171"/>
      <c r="BL221" s="171"/>
      <c r="BM221" s="171"/>
      <c r="BN221" s="171"/>
      <c r="BO221" s="171"/>
      <c r="BP221" s="171"/>
      <c r="BQ221" s="171"/>
      <c r="BR221" s="171"/>
      <c r="BS221" s="171"/>
      <c r="BT221" s="171"/>
    </row>
    <row r="222" spans="1:72">
      <c r="A222" s="171"/>
      <c r="B222" s="171"/>
      <c r="C222" s="171"/>
      <c r="D222" s="171"/>
      <c r="E222" s="171"/>
      <c r="F222" s="171"/>
      <c r="G222" s="171"/>
      <c r="H222" s="171"/>
      <c r="I222" s="171"/>
      <c r="J222" s="171"/>
      <c r="K222" s="171"/>
      <c r="L222" s="171"/>
      <c r="M222" s="171"/>
      <c r="N222" s="171"/>
      <c r="O222" s="171"/>
      <c r="P222" s="171"/>
      <c r="Q222" s="171"/>
      <c r="R222" s="171"/>
      <c r="S222" s="171"/>
      <c r="T222" s="171"/>
      <c r="U222" s="171"/>
      <c r="V222" s="171"/>
      <c r="W222" s="171"/>
      <c r="X222" s="171"/>
      <c r="Y222" s="171"/>
      <c r="Z222" s="171"/>
      <c r="AA222" s="171"/>
      <c r="AB222" s="171"/>
      <c r="AC222" s="171"/>
      <c r="AD222" s="171"/>
      <c r="AE222" s="171"/>
      <c r="AF222" s="171"/>
      <c r="AG222" s="171"/>
      <c r="AH222" s="171"/>
      <c r="AI222" s="171"/>
      <c r="AJ222" s="171"/>
      <c r="AK222" s="171"/>
      <c r="AL222" s="171"/>
      <c r="AM222" s="171"/>
      <c r="AN222" s="171"/>
      <c r="AO222" s="171"/>
      <c r="AP222" s="171"/>
      <c r="AQ222" s="171"/>
      <c r="AR222" s="171"/>
      <c r="AS222" s="171"/>
      <c r="AT222" s="171"/>
      <c r="AU222" s="171"/>
      <c r="AV222" s="171"/>
      <c r="AW222" s="171"/>
      <c r="AX222" s="171"/>
      <c r="AY222" s="171"/>
      <c r="AZ222" s="171"/>
      <c r="BA222" s="171"/>
      <c r="BB222" s="171"/>
      <c r="BC222" s="171"/>
      <c r="BD222" s="171"/>
      <c r="BE222" s="171"/>
      <c r="BF222" s="171"/>
      <c r="BG222" s="171"/>
      <c r="BH222" s="171"/>
      <c r="BI222" s="171"/>
      <c r="BJ222" s="171"/>
      <c r="BK222" s="171"/>
      <c r="BL222" s="171"/>
      <c r="BM222" s="171"/>
      <c r="BN222" s="171"/>
      <c r="BO222" s="171"/>
      <c r="BP222" s="171"/>
      <c r="BQ222" s="171"/>
      <c r="BR222" s="171"/>
      <c r="BS222" s="171"/>
      <c r="BT222" s="171"/>
    </row>
    <row r="223" spans="1:72">
      <c r="A223" s="171"/>
      <c r="B223" s="171"/>
      <c r="C223" s="171"/>
      <c r="D223" s="171"/>
      <c r="E223" s="171"/>
      <c r="F223" s="171"/>
      <c r="G223" s="171"/>
      <c r="H223" s="171"/>
      <c r="I223" s="171"/>
      <c r="J223" s="171"/>
      <c r="K223" s="171"/>
      <c r="L223" s="171"/>
      <c r="M223" s="171"/>
      <c r="N223" s="171"/>
      <c r="O223" s="171"/>
      <c r="P223" s="171"/>
      <c r="Q223" s="171"/>
      <c r="R223" s="171"/>
      <c r="S223" s="171"/>
      <c r="T223" s="171"/>
      <c r="U223" s="171"/>
      <c r="V223" s="171"/>
      <c r="W223" s="171"/>
      <c r="X223" s="171"/>
      <c r="Y223" s="171"/>
      <c r="Z223" s="171"/>
      <c r="AA223" s="171"/>
      <c r="AB223" s="171"/>
      <c r="AC223" s="171"/>
      <c r="AD223" s="171"/>
      <c r="AE223" s="171"/>
      <c r="AF223" s="171"/>
      <c r="AG223" s="171"/>
      <c r="AH223" s="171"/>
      <c r="AI223" s="171"/>
      <c r="AJ223" s="171"/>
      <c r="AK223" s="171"/>
      <c r="AL223" s="171"/>
      <c r="AM223" s="171"/>
      <c r="AN223" s="171"/>
      <c r="AO223" s="171"/>
      <c r="AP223" s="171"/>
      <c r="AQ223" s="171"/>
      <c r="AR223" s="171"/>
      <c r="AS223" s="171"/>
      <c r="AT223" s="171"/>
      <c r="AU223" s="171"/>
      <c r="AV223" s="171"/>
      <c r="AW223" s="171"/>
      <c r="AX223" s="171"/>
      <c r="AY223" s="171"/>
      <c r="AZ223" s="171"/>
      <c r="BA223" s="171"/>
      <c r="BB223" s="171"/>
      <c r="BC223" s="171"/>
      <c r="BD223" s="171"/>
      <c r="BE223" s="171"/>
      <c r="BF223" s="171"/>
      <c r="BG223" s="171"/>
      <c r="BH223" s="171"/>
      <c r="BI223" s="171"/>
      <c r="BJ223" s="171"/>
      <c r="BK223" s="171"/>
      <c r="BL223" s="171"/>
      <c r="BM223" s="171"/>
      <c r="BN223" s="171"/>
      <c r="BO223" s="171"/>
      <c r="BP223" s="171"/>
      <c r="BQ223" s="171"/>
      <c r="BR223" s="171"/>
      <c r="BS223" s="171"/>
      <c r="BT223" s="171"/>
    </row>
    <row r="224" spans="1:72">
      <c r="A224" s="171"/>
      <c r="B224" s="171"/>
      <c r="C224" s="171"/>
      <c r="D224" s="171"/>
      <c r="E224" s="171"/>
      <c r="F224" s="171"/>
      <c r="G224" s="171"/>
      <c r="H224" s="171"/>
      <c r="I224" s="171"/>
      <c r="J224" s="171"/>
      <c r="K224" s="171"/>
      <c r="L224" s="171"/>
      <c r="M224" s="171"/>
      <c r="N224" s="171"/>
      <c r="O224" s="171"/>
      <c r="P224" s="171"/>
      <c r="Q224" s="171"/>
      <c r="R224" s="171"/>
      <c r="S224" s="171"/>
      <c r="T224" s="171"/>
      <c r="U224" s="171"/>
      <c r="V224" s="171"/>
      <c r="W224" s="171"/>
      <c r="X224" s="171"/>
      <c r="Y224" s="171"/>
      <c r="Z224" s="171"/>
      <c r="AA224" s="171"/>
      <c r="AB224" s="171"/>
      <c r="AC224" s="171"/>
      <c r="AD224" s="171"/>
      <c r="AE224" s="171"/>
      <c r="AF224" s="171"/>
      <c r="AG224" s="171"/>
      <c r="AH224" s="171"/>
      <c r="AI224" s="171"/>
      <c r="AJ224" s="171"/>
      <c r="AK224" s="171"/>
      <c r="AL224" s="171"/>
      <c r="AM224" s="171"/>
      <c r="AN224" s="171"/>
      <c r="AO224" s="171"/>
      <c r="AP224" s="171"/>
      <c r="AQ224" s="171"/>
      <c r="AR224" s="171"/>
      <c r="AS224" s="171"/>
      <c r="AT224" s="171"/>
      <c r="AU224" s="171"/>
      <c r="AV224" s="171"/>
      <c r="AW224" s="171"/>
      <c r="AX224" s="171"/>
      <c r="AY224" s="171"/>
      <c r="AZ224" s="171"/>
      <c r="BA224" s="171"/>
      <c r="BB224" s="171"/>
      <c r="BC224" s="171"/>
      <c r="BD224" s="171"/>
      <c r="BE224" s="171"/>
      <c r="BF224" s="171"/>
      <c r="BG224" s="171"/>
      <c r="BH224" s="171"/>
      <c r="BI224" s="171"/>
      <c r="BJ224" s="171"/>
      <c r="BK224" s="171"/>
      <c r="BL224" s="171"/>
      <c r="BM224" s="171"/>
      <c r="BN224" s="171"/>
      <c r="BO224" s="171"/>
      <c r="BP224" s="171"/>
      <c r="BQ224" s="171"/>
      <c r="BR224" s="171"/>
      <c r="BS224" s="171"/>
      <c r="BT224" s="171"/>
    </row>
  </sheetData>
  <mergeCells count="6">
    <mergeCell ref="D146:E147"/>
    <mergeCell ref="D1:E2"/>
    <mergeCell ref="A1:C2"/>
    <mergeCell ref="A3:C4"/>
    <mergeCell ref="AM1:AN2"/>
    <mergeCell ref="D81:E82"/>
  </mergeCells>
  <conditionalFormatting sqref="A1:BT224">
    <cfRule type="expression" dxfId="43" priority="1">
      <formula>颜色主题="魔法"</formula>
    </cfRule>
  </conditionalFormatting>
  <dataValidations count="91">
    <dataValidation allowBlank="1" showInputMessage="1" showErrorMessage="1" promptTitle="====================" prompt="飞行速度：20格/秒_x000a_可否追踪：可以_x000a_弹道轨迹：直线_x000a_参考时间：0.2*4秒_x000a_" sqref="BG98" xr:uid="{00000000-0002-0000-0100-000000000000}"/>
    <dataValidation allowBlank="1" showInputMessage="1" showErrorMessage="1" promptTitle="=====================" prompt="训练时间：单个训练营训练指定单位所需要的时间。_x000a__x000a_" sqref="P13 F27 F65 F78 P80 P136" xr:uid="{00000000-0002-0000-0100-000001000000}"/>
    <dataValidation allowBlank="1" showInputMessage="1" showErrorMessage="1" promptTitle="===========弓箭手===========" prompt="——为什么箭射出的时候弓会抖？_x000a_——嘿嘿，这可是箭斗术绝活，也是能够八百里命中哥布林的秘密。" sqref="P4" xr:uid="{00000000-0002-0000-0100-000002000000}"/>
    <dataValidation allowBlank="1" showInputMessage="1" showErrorMessage="1" promptTitle="===========气球兵===========" prompt="热气球的出现，满足了部分骷髅兵的天空之梦。_x000a_热气球既然能上升，那么怎么下降呢？_x000a_炸弹人的炸弹便是绝佳的解决方案，够重，威力也杠杠滴！_x000a_" sqref="Z18" xr:uid="{00000000-0002-0000-0100-000003000000}"/>
    <dataValidation allowBlank="1" showInputMessage="1" showErrorMessage="1" promptTitle="===========野蛮人===========" prompt="&quot;面对无数强大的敌人，我们有的则是强壮的身体和利剑，这就够了！&quot;" sqref="F4" xr:uid="{00000000-0002-0000-0100-000004000000}"/>
    <dataValidation allowBlank="1" showInputMessage="1" showErrorMessage="1" promptTitle="=========地兽（挖挖）=========" prompt="虽然大部分时间都躲在地底，但地兽也会钻出地面瘫痪并摧毁敌方防御建筑_x000a_" sqref="Y165" xr:uid="{00000000-0002-0000-0100-000005000000}"/>
    <dataValidation allowBlank="1" showInputMessage="1" showErrorMessage="1" promptTitle="===========飞盾战神===========" prompt="部落里的得力干将！从一开始以极其优秀的成绩读到大学，而选择了导盾专业的她致力于研究能够让盾牌追踪并弹射的方法。只因受到弓斗术的启发。_x000a_" sqref="BD98" xr:uid="{00000000-0002-0000-0100-000006000000}"/>
    <dataValidation allowBlank="1" showInputMessage="1" showErrorMessage="1" promptTitle="===========熔岩猎犬===========" prompt="同大雪怪不同，熔岩猎犬总是在自己行将就木的最后一刻炸出所有小狗，有人问他这是为什么。_x000a_“我要保护我的孩子到最后一秒。”它的脸上露出了慈祥的微笑。" sqref="Z98" xr:uid="{00000000-0002-0000-0100-000007000000}"/>
    <dataValidation allowBlank="1" showInputMessage="1" showErrorMessage="1" promptTitle="====================" prompt="飞行速度：14格/秒_x000a_可否追踪：可以_x000a_弹道轨迹：抛物线_x000a_参考时间：0.25秒_x000a_" sqref="R4" xr:uid="{00000000-0002-0000-0100-000008000000}"/>
    <dataValidation allowBlank="1" showInputMessage="1" showErrorMessage="1" promptTitle="===========掘地矿工===========" prompt="矿工是一名出了名的理财学家，挖地前总是预测好能够挖到什么。_x000a_“挖矿是一项风险投资，至于能挖到什么，或者会能不能平安回来，都是难以预测的。”_x000a_" sqref="Z44" xr:uid="{00000000-0002-0000-0100-000009000000}"/>
    <dataValidation allowBlank="1" showInputMessage="1" showErrorMessage="1" promptTitle="===========弓箭女皇==========" prompt="弓箭女皇曾经是傲娇的小公主，直到坚定地走向了物理学。经过十年的研究，她终于理解X连弩的运作原理，并改进了其成为世界上最令人胆寒的武器——霰弹弩。_x000a_结合了极快的自动装填和一次发射三发的分裂弩箭，弓箭女皇无所不能！_x000a_" sqref="BD5" xr:uid="{00000000-0002-0000-0100-00000A000000}"/>
    <dataValidation allowBlank="1" showInputMessage="1" showErrorMessage="1" promptTitle="=========================" prompt="此项的含义是：兵种会对被克制单位有更多倍的伤害。" sqref="F23 P25" xr:uid="{00000000-0002-0000-0100-00000B000000}"/>
    <dataValidation allowBlank="1" showInputMessage="1" showErrorMessage="1" promptTitle="=========================" prompt="此项目决定了兵种的攻击目标和偏好。_x000a_攻击任何目标，选择最近的攻击！_x000a__x000a_" sqref="F5 P5 AO6 BD6 F32 Z32 F45 Z45 P48 F57 P60 F70 P72 F86 Z86 P99 BD99 P116 Z116 F128 F150 O150 Y150 F163 O163 Y166 F177 F192" xr:uid="{00000000-0002-0000-0100-00000C000000}"/>
    <dataValidation allowBlank="1" showInputMessage="1" showErrorMessage="1" promptTitle="====================" prompt="飞行速度：4格/秒_x000a_可否追踪：可以_x000a_弹道轨迹：抛物线_x000a_参考时间：0.5秒_x000a_" sqref="AB59" xr:uid="{00000000-0002-0000-0100-00000D000000}"/>
    <dataValidation allowBlank="1" showInputMessage="1" showErrorMessage="1" promptTitle="===========巨人===========" prompt="至于巨人体型为什么大于常人？这是个秘密_x000a_也许天生就是这样的吧。" sqref="Z4" xr:uid="{00000000-0002-0000-0100-00000E000000}"/>
    <dataValidation allowBlank="1" showInputMessage="1" showErrorMessage="1" promptTitle="===========皮卡超人===========" prompt="皮卡超人诞生前，部落的科学家们就在构思一种强悍的机械攻城武器。钢铁的身躯加上炽热的利剑，仿佛一个放大版的野蛮人。_x000a_为了操作这种武器，法师们给皮卡注入了魔法意识，美名曰“人工智能”。_x000a_" sqref="F44" xr:uid="{00000000-0002-0000-0100-00000F000000}"/>
    <dataValidation allowBlank="1" showInputMessage="1" showErrorMessage="1" promptTitle="======================" prompt="此项目决定了兵种的攻击目标和偏好。_x000a_优先攻击最近偏好目标，否则选择最近的攻击！" sqref="Z5 F19 Z19 P21 P86 F99 Z99 AO99 F114 P128 Z128" xr:uid="{00000000-0002-0000-0100-000010000000}"/>
    <dataValidation allowBlank="1" showInputMessage="1" showErrorMessage="1" promptTitle="===========野蛮人之王===========" prompt="野蛮人之王是如何诞生的？_x000a_在一张4000*4000的地图里放100个野蛮人，然后设置一个不断缩小的安全区。_x000a_最后存活下来的一定是最强的。_x000a_只有这样的野蛮人才能接受黑油的洗礼成为野蛮人之王，否则只能成为亡灵。_x000a_" sqref="AO5" xr:uid="{00000000-0002-0000-0100-000011000000}"/>
    <dataValidation allowBlank="1" showInputMessage="1" showErrorMessage="1" promptTitle="========================" prompt="闪电链从一个目标跳向另一个目标的距离极限。_x000a_一般情况下建筑物占地面积之间超过2格就无法连锁。" sqref="F61 F171" xr:uid="{00000000-0002-0000-0100-000012000000}"/>
    <dataValidation allowBlank="1" showInputMessage="1" showErrorMessage="1" promptTitle="====================" prompt="飞行速度：16.5格/秒_x000a_可否追踪：可以_x000a_弹道轨迹：直线_x000a_参考时间：0.30秒_x000a_" sqref="BF5" xr:uid="{00000000-0002-0000-0100-000013000000}"/>
    <dataValidation allowBlank="1" showInputMessage="1" showErrorMessage="1" promptTitle="=================" prompt="射程指的是单位可以攻击到目标的最远距离" sqref="F6 P6 Z6 AO7 BD7 F20 Z20 P22 F33 Z33 P36 F46 Z46 P49 F58 P61 F71 P73 F87 P87 Z87 F100 P100 Z100 AO100 BD100 F115 P117 Z117 F129 P129 Z129 AB139 Q141 F151 O151 Y151 F164 O164 Y167 F178 F193" xr:uid="{00000000-0002-0000-0100-000014000000}"/>
    <dataValidation allowBlank="1" showInputMessage="1" showErrorMessage="1" promptTitle="=========================" prompt="从被消灭到造成坠落伤害的时间" sqref="Z26 F76" xr:uid="{00000000-0002-0000-0100-000015000000}"/>
    <dataValidation allowBlank="1" showInputMessage="1" showErrorMessage="1" promptTitle="=========================" prompt="攻速决定了单位开火所需要的时间，_x000a_每次伤害=攻速*每秒伤害。_x000a_" sqref="F7 P7 Z7 AO8 BD8 F21 Z21 P23 F34 Z34 P37 F47 Z47 P50 F59 P62 F72 P74 F88 P88 Z88 F101 P101 Z101 AO101 BD101 F116 P118 Z118 F130 P130 Z130 AB140 Q142 F152 O152 Y152 Y162 F165 O165 Y168 F179 F194" xr:uid="{00000000-0002-0000-0100-000016000000}"/>
    <dataValidation allowBlank="1" showInputMessage="1" showErrorMessage="1" promptTitle="========================" prompt="移速的单位是：秒/格_x000a_与游戏显示的数值n的转换方法是：n/8_x000a__x000a_" sqref="F8 P8 Z8 AO9 BD9 F22 Z22 P24 F35 Z35 P38 F48 Z48 P51 F60 P63 F73 P75 F89 P89 Z89 F102 P102 Z102 AO102 BD102 F117 Z119 F131 P131 Z131 AB141 F153 O153 Y153 Y163 F166 O166 Y169 F180 F195" xr:uid="{00000000-0002-0000-0100-000017000000}"/>
    <dataValidation allowBlank="1" showInputMessage="1" showErrorMessage="1" promptTitle="=========================" prompt="单体攻击：一次攻击只击中一个目标，并且永远不会击空。_x000a_" sqref="F9 F154 O154 Y154 F167 O167 Y170 F181" xr:uid="{00000000-0002-0000-0100-000018000000}"/>
    <dataValidation allowBlank="1" showInputMessage="1" showErrorMessage="1" promptTitle="===========天使===========" prompt="至于圣水饮品价格大幅下降的原因，可以归咎于天使。_x000a_只要喝完把杯子给天使，就可以很快得到满杯的圣水。至于原理？最好还是别知道了！_x000a_" sqref="P34" xr:uid="{00000000-0002-0000-0100-000019000000}"/>
    <dataValidation allowBlank="1" showInputMessage="1" showErrorMessage="1" promptTitle="==========================" prompt="单体攻击：一次攻击只击中一个目标，并且永远不会击空。_x000a_" sqref="P9 Z9 F24 F49 Z49 P64 F74 P76 F90 P90 F103 Z103 F118 P120 Z120 P132 Z132" xr:uid="{00000000-0002-0000-0100-00001A000000}"/>
    <dataValidation allowBlank="1" showInputMessage="1" showErrorMessage="1" promptTitle="====================" prompt="巡逻半径：在没有敌军靠近的情况下，在王座四周移动的范围半径。" sqref="AO10 BD10 BD104" xr:uid="{00000000-0002-0000-0100-00001B000000}"/>
    <dataValidation allowBlank="1" showInputMessage="1" showErrorMessage="1" promptTitle="========================" prompt="在这个范围内发现敌人之后，英雄会到达敌军的大致方位预备。" sqref="AO11 BD11" xr:uid="{00000000-0002-0000-0100-00001C000000}"/>
    <dataValidation allowBlank="1" showInputMessage="1" showErrorMessage="1" promptTitle="=======================" prompt="占用空间指的是兵种占用兵营的容量。_x000a_" sqref="F12 P12 Z12 F26 Z27 P28 F39 Z39 P42 F52 Z52 P55 F64 P67 F77 P79 F93 P93 Z93 F106 P106 Z106 F120 P121 Z121 F135 P135 Z135 Y156 F157 O157 F170 O170 Y173 F184 F199" xr:uid="{00000000-0002-0000-0100-00001D000000}"/>
    <dataValidation allowBlank="1" showInputMessage="1" showErrorMessage="1" promptTitle="===========戈仑石人===========" prompt="戈仑石人最近一直被自己的外形困扰。每次战斗结束后，精疲力竭的巨人总会想着找块石头坐下歇会儿，而此时正在草地上睡觉的戈仑石人便毫无例外地成为了这些巨人的板凳。_x000a_" sqref="F98" xr:uid="{00000000-0002-0000-0100-00001E000000}"/>
    <dataValidation allowBlank="1" showInputMessage="1" showErrorMessage="1" promptTitle="======================" prompt="英雄会主动攻击敌人的半径。" sqref="AO12 BD12 BD105" xr:uid="{00000000-0002-0000-0100-00001F000000}"/>
    <dataValidation allowBlank="1" showInputMessage="1" showErrorMessage="1" promptTitle="====================" prompt="弹道轨迹：直线_x000a_参考时间：瞬间_x000a_" sqref="AB31 H56 AQ98" xr:uid="{00000000-0002-0000-0100-000020000000}"/>
    <dataValidation allowBlank="1" showInputMessage="1" showErrorMessage="1" promptTitle="=====================" prompt="若训练营正在升级则训练指定单位所需要的时间翻倍_x000a__x000a_" sqref="F13" xr:uid="{00000000-0002-0000-0100-000021000000}"/>
    <dataValidation allowBlank="1" showInputMessage="1" showErrorMessage="1" promptTitle="====================" prompt="飞行速度：9格/秒（低级为5格/秒）_x000a_可否追踪：不能_x000a_弹道轨迹：直线_x000a_参考时间：0.33秒_x000a_" sqref="H31" xr:uid="{00000000-0002-0000-0100-000022000000}"/>
    <dataValidation allowBlank="1" showInputMessage="1" showErrorMessage="1" promptTitle="========================" prompt="权重分为两个值，跟随权重和仇恨权重_x000a_“跟随权重”反应了兵种在大守护者眼中的重要性，锁定目标时对目标施加自身的跟随权重_x000a_“仇恨权重”反应了兵种在天鹰火炮范围内的威胁，该值越高则代表越容易被天鹰锁定_x000a_" sqref="F14 P14 Z14 BD15 AO17 F28 Z29 P30 F41 Z41 P44 F54 Z54 P57 F66 Z68 P69 F79 P81 F95 P95 Z95 AO107 F108 P108 Z108 BD108 F121 P122 Z122 F137 P137 Z137 Y158 F159 O159 O171 F174 Y175 F186 F201" xr:uid="{00000000-0002-0000-0100-000023000000}"/>
    <dataValidation allowBlank="1" showInputMessage="1" showErrorMessage="1" promptTitle="===========雷电飞龙===========" prompt="如果飞龙出生在地狱，那么雷电飞龙来自天堂。_x000a_处在云层之巅，掌握着电流的力量，并从天而降电击每一个目标。_x000a_也许雷暴就出自于此吧。_x000a_" sqref="F56" xr:uid="{00000000-0002-0000-0100-000024000000}"/>
    <dataValidation allowBlank="1" showInputMessage="1" showErrorMessage="1" promptTitle="===========哥布林===========" prompt="如名言“过街哥布林人人喊打”那样，哥布林十分的贪婪。_x000a_加入部落的原因仅仅是因为大本营提供的廉价且可口的圣水茶。_x000a_可他们仍然对储金库里大量的金子蠢蠢欲动，这让村庄的其他成员胆战心惊。_x000a_" sqref="F18" xr:uid="{00000000-0002-0000-0100-000025000000}"/>
    <dataValidation allowBlank="1" showInputMessage="1" showErrorMessage="1" promptTitle="====================" prompt="弹道轨迹：直线下落_x000a_参考时间：几乎瞬间_x000a_" sqref="AB18" xr:uid="{00000000-0002-0000-0100-000026000000}"/>
    <dataValidation allowBlank="1" showInputMessage="1" showErrorMessage="1" promptTitle="===========炸弹人===========" prompt="部落摇滚音乐会怎么可以缺少一种民族乐器呢？_x000a_它够劲爆，够火热，也够炫酷。_x000a_缺点就是只能用一次。_x000a_" sqref="P20" xr:uid="{00000000-0002-0000-0100-000027000000}"/>
    <dataValidation allowBlank="1" showInputMessage="1" showErrorMessage="1" promptTitle="==========雷霆泰坦==========" prompt="待补充_x000a__x000a_" sqref="P71" xr:uid="{00000000-0002-0000-0100-000028000000}"/>
    <dataValidation allowBlank="1" showInputMessage="1" showErrorMessage="1" promptTitle="=========================" prompt="带有溅射半径的兵种都可以产生溅射伤害，从而可以击中多个单位，但有可能会因为高速移动而被闪避。_x000a_" sqref="Z23 P26 F36 Z36 P52 Z90 P103 F132 AB142 F196" xr:uid="{00000000-0002-0000-0100-000029000000}"/>
    <dataValidation allowBlank="1" showInputMessage="1" showErrorMessage="1" promptTitle="===========武神===========" prompt="几年前，法师Jacco曾经邀请过一名他暗恋已久武神到豪华邮轮上共进午餐并伺机向其表白，当时适逢敌军攻击，Jacco以其拉风的战斗姿势和威力十足的火球赢得了武神的青睐，不过因为过于激动，他失足摔入水中，接下来发生的事我实在不忍心告诉你们..._x000a_" sqref="Z85" xr:uid="{00000000-0002-0000-0100-00002A000000}"/>
    <dataValidation allowBlank="1" showInputMessage="1" showErrorMessage="1" promptTitle="======================" prompt="攻击新的目标时的实际开火时间，往往比攻速快。" sqref="Z24 Z91 BD106 F133 F168" xr:uid="{00000000-0002-0000-0100-00002B000000}"/>
    <dataValidation allowBlank="1" showInputMessage="1" showErrorMessage="1" promptTitle="=========================" prompt="一部分兵种不甘于被消灭，希望能最后一击。自爆半径指的是这种伤害的范围。" sqref="Z25 F75 Z104 F105 F119" xr:uid="{00000000-0002-0000-0100-00002C000000}"/>
    <dataValidation allowBlank="1" showInputMessage="1" showErrorMessage="1" promptTitle="====================" prompt="飞行速度：3.8格/秒_x000a_可否追踪：可以_x000a_弹道轨迹：抛物线_x000a_参考时间：0.72秒_x000a_" sqref="H85" xr:uid="{00000000-0002-0000-0100-00002D000000}"/>
    <dataValidation allowBlank="1" showInputMessage="1" showErrorMessage="1" promptTitle="===========法师===========" prompt="火魔法曾经是部落厨房常用的火源，只不过当法师意识到这种魔法具有极大的破坏力之后......_x000a_然后就没有然后了！_x000a_" sqref="F31" xr:uid="{00000000-0002-0000-0100-00002E000000}"/>
    <dataValidation allowBlank="1" showInputMessage="1" showErrorMessage="1" promptTitle="===========飞龙===========" prompt="飞龙的出现揭穿了恐龙大灭绝的谎言。_x000a_能飞，能喷火，看起来无所不能。_x000a_但丝毫无法防住偷龙蛋的哥布林。_x000a_" sqref="Z31" xr:uid="{00000000-0002-0000-0100-00002F000000}"/>
    <dataValidation allowBlank="1" showInputMessage="1" showErrorMessage="1" promptTitle="====================" prompt="飞行速度：4.75格/秒_x000a_可否追踪：可以_x000a_弹道轨迹：抛物线_x000a_参考时间：0.63+0.84秒(弹射一次)_x000a_" sqref="H127" xr:uid="{00000000-0002-0000-0100-000030000000}"/>
    <dataValidation allowBlank="1" showInputMessage="1" showErrorMessage="1" promptTitle="====================" prompt="飞行速度：12格/秒_x000a_可否追踪：不能_x000a_弹道轨迹：直线_x000a_参考时间：0.42秒_x000a_" sqref="R34" xr:uid="{00000000-0002-0000-0100-000031000000}"/>
    <dataValidation allowBlank="1" showInputMessage="1" showErrorMessage="1" promptTitle="===========闪枭===========" prompt="闪枭的电击会弹射到附近的另一个目标_x000a_" sqref="F162" xr:uid="{00000000-0002-0000-0100-000032000000}"/>
    <dataValidation allowBlank="1" showInputMessage="1" showErrorMessage="1" promptTitle="===========龙骑士===========" prompt="待补充_x000a__x000a_" sqref="F69" xr:uid="{00000000-0002-0000-0100-000033000000}"/>
    <dataValidation allowBlank="1" showInputMessage="1" showErrorMessage="1" promptTitle="=================" prompt="治疗波可以覆盖的范围" sqref="P39" xr:uid="{00000000-0002-0000-0100-000034000000}"/>
    <dataValidation allowBlank="1" showInputMessage="1" showErrorMessage="1" promptTitle="===========飞龙宝宝===========" prompt="哥布林偷走的龙蛋在大本营孵化了。_x000a_调皮可爱的飞龙宝宝可让哥布林们操坏了心。_x000a_不过很多时候都被用作点火的利器，毕竟刚刚好。" sqref="P47" xr:uid="{00000000-0002-0000-0100-000035000000}"/>
    <dataValidation allowBlank="1" showInputMessage="1" showErrorMessage="1" promptTitle="====================" prompt="飞行速度：4.75格/秒_x000a_可否追踪：可以_x000a_弹道轨迹：抛物线_x000a_参考时间：0.58秒_x000a_" sqref="R47" xr:uid="{00000000-0002-0000-0100-000036000000}"/>
    <dataValidation allowBlank="1" showInputMessage="1" showErrorMessage="1" promptTitle="===========雪怪===========" prompt="在极寒环境诞生的冷酷无情的怪物其实是慈祥的父母。_x000a_平时喜欢和人亲近，唯独不能接受的是伤害他们的孩子。_x000a_也许这和小羊很像吧，既然都有角。_x000a_" sqref="P59" xr:uid="{00000000-0002-0000-0100-000037000000}"/>
    <dataValidation allowBlank="1" showInputMessage="1" showErrorMessage="1" promptTitle="===========野猪骑士===========" prompt="在与野猪的长期合作中，野猪骑士培养出了对野猪特殊的情感——这也就是当他看到两个瓦基丽武神烤野猪吃时露出酸楚表情的原因。" sqref="P85" xr:uid="{00000000-0002-0000-0100-000038000000}"/>
    <dataValidation allowBlank="1" showInputMessage="1" showErrorMessage="1" promptTitle="=======================" prompt="每一次闪电弹射，伤害都会降低20%。" sqref="F62 F172" xr:uid="{00000000-0002-0000-0100-000039000000}"/>
    <dataValidation allowBlank="1" showInputMessage="1" showErrorMessage="1" promptTitle="=========================" prompt="重要：如果在闪电链连锁完成之前电龙死亡，那么闪电链也会随之消失。所以连锁延迟决定了电龙完整的一击所需要的时间。" sqref="F63 F173" xr:uid="{00000000-0002-0000-0100-00003A000000}"/>
    <dataValidation allowBlank="1" showInputMessage="1" showErrorMessage="1" promptTitle="======================" prompt="因为此单位可以跳过城墙，所以不受城墙束缚" sqref="Z66 P91 AO106 BD107 Z133" xr:uid="{00000000-0002-0000-0100-00003B000000}"/>
    <dataValidation allowBlank="1" showInputMessage="1" showErrorMessage="1" promptTitle="====================" prompt="飞行速度：9.6格/秒_x000a_可否追踪：可以_x000a_弹道轨迹：直线_x000a_参考时间：0.47秒" sqref="H69" xr:uid="{00000000-0002-0000-0100-00003C000000}"/>
    <dataValidation allowBlank="1" showInputMessage="1" showErrorMessage="1" promptTitle="===========亡灵===========" prompt="亡灵诞生于一名不慎跌入暗黑重油罐的野蛮人，当他终于爬出黑油罐时，那对翅膀已经长在他的肩上了。丢失了宝剑的他只能从口出喷出暗黑重油来攻击敌军。_x000a_只是他不知道，那并非暗黑重油，而是一种名叫谢特的有机物。" sqref="F85" xr:uid="{00000000-0002-0000-0100-00003D000000}"/>
    <dataValidation allowBlank="1" showInputMessage="1" showErrorMessage="1" promptTitle="===========女巫===========" prompt="Clash酒吧的野猪骑士Frank对女巫极为不满——每次她一人前来吃饭，却总点四份儿童套餐，上餐时又用法杖在地上一敲，钻出的骷髅往往弄得地板千疮百孔。更有甚者，这几个骷髅从不真的吃饭，而是掏出宝剑连菜带盘地将它们砍得粉碎。" sqref="P98" xr:uid="{00000000-0002-0000-0100-00003E000000}"/>
    <dataValidation allowBlank="1" showInputMessage="1" showErrorMessage="1" promptTitle="======================" prompt="发动技能后，在此范围内的所有单位（包括自己）在一定时间内免疫所有伤害。_x000a_警告：无法免疫非伤害性攻击！（比如冰冻）_x000a_" sqref="AO104" xr:uid="{00000000-0002-0000-0100-00003F000000}"/>
    <dataValidation allowBlank="1" showInputMessage="1" showErrorMessage="1" promptTitle="====================" prompt="飞行速度：2格/秒_x000a_可否追踪：可以_x000a_弹道轨迹：直线_x000a_参考时间：0.375秒_x000a_" sqref="AB98" xr:uid="{00000000-0002-0000-0100-000040000000}"/>
    <dataValidation allowBlank="1" showInputMessage="1" showErrorMessage="1" promptTitle="====================" prompt="飞行速度：5格/秒_x000a_可否追踪：不能_x000a_弹道轨迹：直线_x000a_参考时间：0.8秒_x000a_" sqref="R98" xr:uid="{00000000-0002-0000-0100-000041000000}"/>
    <dataValidation allowBlank="1" showInputMessage="1" showErrorMessage="1" promptTitle="===========大守护者===========" prompt="曾经是名叫李勇的法师专业学生。_x000a_比起如何使用魔法伤害敌人，他更关心如何保护自己的军队。在钻研了永恒之书长达几十年的岁月中，野蛮人之王曾三次拜访他的茅庐，最终他被感动加入了部落，并用自己的力量保护军队。_x000a_" sqref="AO98" xr:uid="{00000000-0002-0000-0100-000042000000}"/>
    <dataValidation allowBlank="1" showInputMessage="1" showErrorMessage="1" promptTitle="===========戈仑冰人===========" prompt="戈仑冰人发现每次有人与他讲话，他就会原地冻住，这是他不免联想到自己的同伴死亡时放出的冰冻冲击波。在搜肠刮肚寻找他学过的数学知识后，他只得到两个等式：跟人说话=冻住，死亡=冻住。可他完全不知道这意味着什么。" sqref="P127" xr:uid="{00000000-0002-0000-0100-000043000000}"/>
    <dataValidation allowBlank="1" showInputMessage="1" showErrorMessage="1" promptTitle="=========================" prompt="移速的单位是：秒/格_x000a_与游戏显示的数值n的转换方法是：n/8_x000a__x000a_" sqref="P119" xr:uid="{00000000-0002-0000-0100-000044000000}"/>
    <dataValidation allowBlank="1" showInputMessage="1" showErrorMessage="1" promptTitle="====================" prompt="飞行速度：12格/秒_x000a_可否追踪：可以_x000a_弹道轨迹：抛物线_x000a_参考时间：0.25秒_x000a_" sqref="BF98" xr:uid="{00000000-0002-0000-0100-000045000000}"/>
    <dataValidation allowBlank="1" showInputMessage="1" showErrorMessage="1" promptTitle="======================" prompt="在此光环内的所有部队（不包括自己）都会受到&quot;生命值上限&quot;增加一定的百分比的效果，但不能超过&quot;提升上限&quot;。_x000a_" sqref="AO103" xr:uid="{00000000-0002-0000-0100-000046000000}"/>
    <dataValidation allowBlank="1" showInputMessage="1" showErrorMessage="1" promptTitle="====================" prompt="警戒半径：防守时，如果敌军进入这个范围，英雄会准备反击（具体表现为头上顶个问号）" sqref="BD103" xr:uid="{00000000-0002-0000-0100-000047000000}"/>
    <dataValidation allowBlank="1" showInputMessage="1" showErrorMessage="1" promptTitle="=======================" prompt="在本体被消灭之后，戈仑石人会分裂成小石人。" sqref="F104" xr:uid="{00000000-0002-0000-0100-000048000000}"/>
    <dataValidation allowBlank="1" showInputMessage="1" showErrorMessage="1" promptTitle="======================" prompt="女巫召唤两波骷髅之间的时间间隔_x000a_" sqref="P104" xr:uid="{00000000-0002-0000-0100-000049000000}"/>
    <dataValidation allowBlank="1" showInputMessage="1" showErrorMessage="1" promptTitle="=====================" prompt="女巫一次召唤骷髅的数量，骷髅会在女巫的四周生成。" sqref="P105" xr:uid="{00000000-0002-0000-0100-00004A000000}"/>
    <dataValidation allowBlank="1" showInputMessage="1" showErrorMessage="1" promptTitle="======================" prompt="防守时化作炮塔，这是攻击半径。" sqref="AO105" xr:uid="{00000000-0002-0000-0100-00004B000000}"/>
    <dataValidation allowBlank="1" showInputMessage="1" showErrorMessage="1" promptTitle="====================" prompt="飞行速度：3格/秒_x000a_可否追踪：可以_x000a_弹道轨迹：直线_x000a_参考时间：0.92秒_x000a_" sqref="AB113" xr:uid="{00000000-0002-0000-0100-00004C000000}"/>
    <dataValidation allowBlank="1" showInputMessage="1" showErrorMessage="1" promptTitle="===========巨石投手===========" prompt="巨石投手上学时，物理成绩总是名列前茅，得益于此，他在保龄球游戏中无往不利。不知怎么的，他发现了一种能让巨石进行二次弹跳的方法。如果你问他是怎么做到的，他就会露出神秘的微笑，然后告诉你诸如F=ma和F引=GMm/R^2之类的神秘符咒。" sqref="F127" xr:uid="{00000000-0002-0000-0100-00004D000000}"/>
    <dataValidation allowBlank="1" showInputMessage="1" showErrorMessage="1" promptTitle="===========英雄猎手===========" prompt="“100万金币，野蛮人之王！”_x000a_当英雄猎手得到这样的消息时，她们往往按耐不住自己狂躁的内心。因为这是难得的从20万赢到578万的机会，这种冒险者被称之为“土块”。_x000a__x000a_" sqref="Z127" xr:uid="{00000000-0002-0000-0100-00004E000000}"/>
    <dataValidation allowBlank="1" showInputMessage="1" showErrorMessage="1" promptTitle="====================" prompt="飞行速度：14格/秒_x000a_可否追踪：可以_x000a_弹道轨迹：直线_x000a_参考时间：0.21秒_x000a_" sqref="AB127" xr:uid="{00000000-0002-0000-0100-00004F000000}"/>
    <dataValidation allowBlank="1" showInputMessage="1" showErrorMessage="1" promptTitle="======================" prompt="戈仑冰人被消灭后会释放自身的冰冻力场。" sqref="P133" xr:uid="{00000000-0002-0000-0100-000050000000}"/>
    <dataValidation allowBlank="1" showInputMessage="1" showErrorMessage="1" promptTitle="====================" prompt="飞行速度：4.5格/秒_x000a_可否追踪：不能_x000a_弹道轨迹：直线_x000a_参考时间：0.44秒_x000a_" sqref="S140" xr:uid="{00000000-0002-0000-0100-000051000000}"/>
    <dataValidation allowBlank="1" showInputMessage="1" showErrorMessage="1" promptTitle="======================" prompt="攻城气球的溅射范围虽然很大，但是距离远的伤害较低。_x000a_" sqref="AB143" xr:uid="{00000000-0002-0000-0100-000052000000}"/>
    <dataValidation allowBlank="1" showInputMessage="1" showErrorMessage="1" promptTitle="=======================" prompt="在未受到外界伤害的情况下，训练营所能生存的时间。_x000a_每秒会受到自身生命值上限的1/30_x000a_" sqref="F148" xr:uid="{00000000-0002-0000-0100-000053000000}"/>
    <dataValidation allowBlank="1" showInputMessage="1" showErrorMessage="1" promptTitle="===========莱希===========" prompt="莱希可以跳过城墙攻击另一边的目标_x000a_" sqref="F149" xr:uid="{00000000-0002-0000-0100-000054000000}"/>
    <dataValidation allowBlank="1" showInputMessage="1" showErrorMessage="1" promptTitle="===========大牦===========" prompt="大牦可对城墙造成额外伤害_x000a_" sqref="O149" xr:uid="{00000000-0002-0000-0100-000055000000}"/>
    <dataValidation allowBlank="1" showInputMessage="1" showErrorMessage="1" promptTitle="=========冰牙(霜牙)=========" prompt="冰牙每隔一段时间都会生成小冰怪攻击附近的防御建筑_x000a_" sqref="Y149" xr:uid="{00000000-0002-0000-0100-000056000000}"/>
    <dataValidation allowBlank="1" showInputMessage="1" showErrorMessage="1" promptTitle="=====================" prompt="指的是在宠物最远能够离开英雄的半径_x000a__x000a__x000a_" sqref="Y157 F158 O158 F185" xr:uid="{00000000-0002-0000-0100-000057000000}"/>
    <dataValidation allowBlank="1" showInputMessage="1" showErrorMessage="1" promptTitle="===========独角===========" prompt="独角会跟随搭档英雄并提供治疗_x000a_" sqref="O162" xr:uid="{00000000-0002-0000-0100-000058000000}"/>
    <dataValidation allowBlank="1" showInputMessage="1" showErrorMessage="1" promptTitle="=========猛蜥（猛毒蜥）=========" prompt="猛蜥可以朝敌人喷吐一团团毒素" sqref="F176" xr:uid="{00000000-0002-0000-0100-000059000000}"/>
    <dataValidation allowBlank="1" showInputMessage="1" showErrorMessage="1" promptTitle="=========凤凰=========" prompt=" 在跟随的英雄快被击倒时，凤凰会破壳而出，让英雄暂时免疫伤害_x000a_" sqref="F191" xr:uid="{00000000-0002-0000-0100-00005A000000}"/>
  </dataValidations>
  <hyperlinks>
    <hyperlink ref="D4" location="'2.1家乡主力军'!F5:L16" tooltip="基础近战兵种" display="01.野蛮人" xr:uid="{00000000-0004-0000-0100-000000000000}"/>
    <hyperlink ref="D5" location="'2.1家乡主力军'!P4:V16" tooltip="基础远程兵种" display="02.弓箭手" xr:uid="{00000000-0004-0000-0100-000001000000}"/>
    <hyperlink ref="D6" location="'2.1家乡主力军'!Z4:AG16" tooltip="高生命值兵种，优先对付防御" display="03.巨人" xr:uid="{00000000-0004-0000-0100-000002000000}"/>
    <hyperlink ref="D7" location="'2.1家乡主力军'!F18:M27" tooltip="快速移动兵种，优先对付资源" display="04.哥布林" xr:uid="{00000000-0004-0000-0100-000003000000}"/>
    <hyperlink ref="D8" location="'2.1家乡主力军'!P20:X32" tooltip="无畏的城墙破坏者" display="05.炸弹人" xr:uid="{00000000-0004-0000-0100-000004000000}"/>
    <hyperlink ref="D9" location="'2.1家乡主力军'!Z18:AH29" tooltip="飞行的反防御兵种" display="06.气球兵" xr:uid="{00000000-0004-0000-0100-000005000000}"/>
    <hyperlink ref="D10" location="'2.1家乡主力军'!F31:M43" tooltip="极高伤害的远程兵种" display="07.法师" xr:uid="{00000000-0004-0000-0100-000006000000}"/>
    <hyperlink ref="D11" location="'2.1家乡主力军'!P34:W44" tooltip="治疗陆军的支援性兵种" display="08.天使" xr:uid="{00000000-0004-0000-0100-000007000000}"/>
    <hyperlink ref="D12" location="'2.1家乡主力军'!Z31:AG41" tooltip="强大的飞行单位，攻守兼备" display="09.飞龙" xr:uid="{00000000-0004-0000-0100-000008000000}"/>
    <hyperlink ref="D13" location="'2.1家乡主力军'!F44:M54" tooltip="强韧但缓慢的超级武士" display="10.皮卡超人" xr:uid="{00000000-0004-0000-0100-000009000000}"/>
    <hyperlink ref="D14" location="'2.1家乡主力军'!P47:W57" tooltip="灵活的飞行单位，落单时会狂暴" display="11.飞龙宝宝" xr:uid="{00000000-0004-0000-0100-00000A000000}"/>
    <hyperlink ref="D15" location="'2.1家乡主力军'!Z44:AG54" tooltip="钻地移动，只有到达目标才会现身" display="12.掘地矿工" xr:uid="{00000000-0004-0000-0100-00000B000000}"/>
    <hyperlink ref="D16" location="'2.1家乡主力军'!F56:N66" tooltip="沉重而致命飞行单位，闪电可连锁攻击" display="13.雷电飞龙" xr:uid="{00000000-0004-0000-0100-00000C000000}"/>
    <hyperlink ref="D84" location="'2.1家乡主力军'!F85:L97" tooltip="基础的轻型飞行单位" display="01.亡灵" xr:uid="{00000000-0004-0000-0100-00000D000000}"/>
    <hyperlink ref="D85" location="'2.1家乡主力军'!P85:V97" tooltip="针对防御的陆军单位，可以跳墙" display="02.野猪骑士" xr:uid="{00000000-0004-0000-0100-00000E000000}"/>
    <hyperlink ref="D86" location="'2.1家乡主力军'!Z85:AG95" tooltip="快速移动的武士，旋转攻击" display="03.武神" xr:uid="{00000000-0004-0000-0100-00000F000000}"/>
    <hyperlink ref="D87" location="'2.1家乡主力军'!F98:N110" tooltip="沉重的肉盾单位，被消灭后会分裂" display="04.戈仑石人" xr:uid="{00000000-0004-0000-0100-000010000000}"/>
    <hyperlink ref="D88" location="'2.1家乡主力军'!P98:X108" tooltip="支援单位，召唤骷髅骚扰敌人" display="05.女巫" xr:uid="{00000000-0004-0000-0100-000011000000}"/>
    <hyperlink ref="D89" location="'2.1家乡主力军'!Z98:AI108" tooltip="飞行肉盾单位，主动冲向火箭" display="06.熔岩猎犬" xr:uid="{00000000-0004-0000-0100-000012000000}"/>
    <hyperlink ref="D90" location="'2.1家乡主力军'!F127:M137" tooltip="特殊的远程单位，投石附带弹射" display="07.巨石投手" xr:uid="{00000000-0004-0000-0100-000013000000}"/>
    <hyperlink ref="D91" location="'2.1家乡主力军'!P127:X137" tooltip="支援性肉盾单位，被消灭释放冰冻" display="08.戈仑冰人" xr:uid="{00000000-0004-0000-0100-000014000000}"/>
    <hyperlink ref="AM4" location="'2.1家乡主力军'!AO5:BB91" tooltip="英雄单位，义无反顾的冲向前线！" display="01.野蛮人之王" xr:uid="{00000000-0004-0000-0100-000015000000}"/>
    <hyperlink ref="AM5" location="'2.1家乡主力军'!BD5:BQ91" tooltip="英雄单位，强力的远程输出" display="02.弓箭女皇" xr:uid="{00000000-0004-0000-0100-000016000000}"/>
    <hyperlink ref="AM6" location="'2.1家乡主力军'!AO98:BA160" tooltip="英雄单位，擅长保护自己的军队" display="03.大守护者" xr:uid="{00000000-0004-0000-0100-000017000000}"/>
    <hyperlink ref="D24" location="'2.1家乡主力军'!A1:C13" tooltip="返回主界面" display="○主界面" xr:uid="{00000000-0004-0000-0100-000018000000}"/>
    <hyperlink ref="D21" location="'2.1家乡主力军'!D81:AL146" tooltip="转至黑油军队" display="&gt;&gt;黑油军队" xr:uid="{00000000-0004-0000-0100-000019000000}"/>
    <hyperlink ref="D94" location="'2.1家乡主力军'!D1:AJ82" tooltip="转至圣水军队" display="&gt;&gt;圣水军队" xr:uid="{00000000-0004-0000-0100-00001A000000}"/>
    <hyperlink ref="D17" location="'2.1家乡主力军'!P59:W69" tooltip="可别小看背后的小雪怪哦" display="14.雪怪" xr:uid="{00000000-0004-0000-0100-00001B000000}"/>
    <hyperlink ref="AM7" location="'2.1家乡主力军'!BD98:BP136" tooltip="英雄单位，优先攻击防御的突袭兵" display="04.飞盾战神" xr:uid="{00000000-0004-0000-0100-00001C000000}"/>
    <hyperlink ref="D22" location="'2.1家乡主力军'!AM1:BO155" tooltip="转至无畏英雄" display="&gt;&gt;无畏英雄" xr:uid="{00000000-0004-0000-0100-00001D000000}"/>
    <hyperlink ref="D92" location="'2.1家乡主力军'!Z127:AI137" display="09.英雄猎手" xr:uid="{00000000-0004-0000-0100-00001E000000}"/>
    <hyperlink ref="D23" location="'2.1家乡主力军'!D146:AJ177" tooltip="转至无畏英雄" display="&gt;&gt;战争宠物" xr:uid="{00000000-0004-0000-0100-00001F000000}"/>
    <hyperlink ref="D97" location="'2.1家乡主力军'!A1:C13" tooltip="返回主界面" display="○主界面" xr:uid="{00000000-0004-0000-0100-000020000000}"/>
    <hyperlink ref="D95" location="'2.1家乡主力军'!AM1:BO155" tooltip="转至无畏英雄" display="&gt;&gt;无畏英雄" xr:uid="{00000000-0004-0000-0100-000021000000}"/>
    <hyperlink ref="D96" location="'2.1家乡主力军'!D146:AJ202" tooltip="转至无畏英雄" display="&gt;&gt;战争宠物" xr:uid="{00000000-0004-0000-0100-000022000000}"/>
    <hyperlink ref="AM9" location="'2.1家乡主力军'!D1:AJ82" tooltip="转至圣水军队" display="&gt;&gt;圣水军队" xr:uid="{00000000-0004-0000-0100-000023000000}"/>
    <hyperlink ref="AM10" location="'2.1家乡主力军'!D81:AL146" tooltip="转至黑油军队" display="&gt;&gt;黑油军队" xr:uid="{00000000-0004-0000-0100-000024000000}"/>
    <hyperlink ref="AM12" location="'2.1家乡主力军'!A1:C13" tooltip="返回主界面" display="○主界面" xr:uid="{00000000-0004-0000-0100-000025000000}"/>
    <hyperlink ref="AM11" location="'2.1家乡主力军'!D146:AJ177" tooltip="转至无畏英雄" display="&gt;&gt;战争宠物" xr:uid="{00000000-0004-0000-0100-000026000000}"/>
    <hyperlink ref="D158" location="'2.1家乡主力军'!D1:AJ82" tooltip="转至圣水军队" display="&gt;&gt;圣水军队" xr:uid="{00000000-0004-0000-0100-000027000000}"/>
    <hyperlink ref="D159" location="'2.1家乡主力军'!D81:AL146" tooltip="转至黑油军队" display="&gt;&gt;黑油军队" xr:uid="{00000000-0004-0000-0100-000028000000}"/>
    <hyperlink ref="D160" location="'2.1家乡主力军'!AM1:BO155" tooltip="转至无畏英雄" display="&gt;&gt;无畏英雄" xr:uid="{00000000-0004-0000-0100-000029000000}"/>
    <hyperlink ref="D161" location="'2.1家乡主力军'!A1:C13" tooltip="返回主界面" display="○主界面" xr:uid="{00000000-0004-0000-0100-00002A000000}"/>
    <hyperlink ref="D149" location="'2.1家乡主力军'!F149:M160" display="01.莱希" xr:uid="{00000000-0004-0000-0100-00002B000000}"/>
    <hyperlink ref="D150" location="'2.1家乡主力军'!O149:Y160" display="02.大牦" xr:uid="{00000000-0004-0000-0100-00002C000000}"/>
    <hyperlink ref="D151" location="'2.1家乡主力军'!F162:M174" display="03.闪枭" xr:uid="{00000000-0004-0000-0100-00002D000000}"/>
    <hyperlink ref="D152" location="'2.1家乡主力军'!O162:W174" display="04.独角" xr:uid="{00000000-0004-0000-0100-00002E000000}"/>
    <hyperlink ref="D18" location="'2.1家乡主力军'!F69:N79" tooltip="热衷破坏的飞行机器" display="15.龙骑士" xr:uid="{00000000-0004-0000-0100-00002F000000}"/>
    <hyperlink ref="D19" location="'2.1家乡主力军'!P71:X81" tooltip="伤害光环对小骷髅特别有用" display="16.雷霆泰坦" xr:uid="{00000000-0004-0000-0100-000030000000}"/>
    <hyperlink ref="D153" location="'2.1家乡主力军'!Y149:AG163" display="05.冰牙" xr:uid="{00000000-0004-0000-0100-000031000000}"/>
    <hyperlink ref="D154" location="'2.1家乡主力军'!Y165:AG176" display="06.地兽" xr:uid="{00000000-0004-0000-0100-000032000000}"/>
    <hyperlink ref="D155" location="'2.1家乡主力军'!F187:O1176" display="07.猛蜥" xr:uid="{00000000-0004-0000-0100-000033000000}"/>
    <hyperlink ref="D156" location="'2.1家乡主力军'!F191:N202" display="08.凤凰" xr:uid="{00000000-0004-0000-0100-000034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M146"/>
  <sheetViews>
    <sheetView topLeftCell="AB80" workbookViewId="0">
      <selection activeCell="AH95" sqref="AH95"/>
    </sheetView>
  </sheetViews>
  <sheetFormatPr defaultColWidth="9" defaultRowHeight="14.15"/>
  <cols>
    <col min="8" max="11" width="9.140625" customWidth="1"/>
    <col min="12" max="13" width="10.140625" customWidth="1"/>
    <col min="14" max="14" width="9.140625" customWidth="1"/>
    <col min="18" max="21" width="9.140625" customWidth="1"/>
    <col min="22" max="23" width="10.140625" customWidth="1"/>
    <col min="24" max="24" width="9.35546875"/>
    <col min="36" max="39" width="9.35546875"/>
    <col min="47" max="49" width="9.35546875"/>
    <col min="50" max="50" width="9.5" customWidth="1"/>
  </cols>
  <sheetData>
    <row r="1" spans="1:65">
      <c r="A1" s="534" t="s">
        <v>746</v>
      </c>
      <c r="B1" s="534"/>
      <c r="C1" s="534"/>
      <c r="D1" s="530" t="s">
        <v>747</v>
      </c>
      <c r="E1" s="530"/>
      <c r="F1" s="133"/>
      <c r="G1" s="133"/>
      <c r="H1" s="133"/>
      <c r="I1" s="133"/>
      <c r="J1" s="133"/>
      <c r="K1" s="133"/>
      <c r="L1" s="133"/>
      <c r="M1" s="133"/>
      <c r="N1" s="133"/>
      <c r="O1" s="133"/>
      <c r="P1" s="133"/>
      <c r="Q1" s="133"/>
      <c r="R1" s="133"/>
      <c r="S1" s="133"/>
      <c r="T1" s="133"/>
      <c r="U1" s="133"/>
      <c r="V1" s="133"/>
      <c r="W1" s="133"/>
      <c r="X1" s="133"/>
      <c r="Y1" s="133"/>
      <c r="Z1" s="133"/>
      <c r="AA1" s="133"/>
      <c r="AB1" s="521" t="s">
        <v>748</v>
      </c>
      <c r="AC1" s="521"/>
      <c r="AD1" s="142" t="s">
        <v>749</v>
      </c>
      <c r="AE1" s="133"/>
      <c r="AF1" s="133"/>
      <c r="AG1" s="133"/>
      <c r="AH1" s="133"/>
      <c r="AI1" s="133"/>
      <c r="AJ1" s="133"/>
      <c r="AK1" s="133"/>
      <c r="AL1" s="133"/>
      <c r="AM1" s="133"/>
      <c r="AN1" s="133"/>
      <c r="AO1" s="133"/>
      <c r="AP1" s="133"/>
      <c r="AQ1" s="133"/>
      <c r="AR1" s="133"/>
      <c r="AS1" s="133"/>
      <c r="AT1" s="133"/>
      <c r="AU1" s="133"/>
      <c r="AV1" s="133"/>
      <c r="AW1" s="133"/>
      <c r="AX1" s="133"/>
      <c r="AY1" s="133"/>
      <c r="AZ1" s="133"/>
      <c r="BA1" s="137"/>
      <c r="BB1" s="137"/>
      <c r="BC1" s="137"/>
      <c r="BD1" s="137"/>
      <c r="BE1" s="137"/>
      <c r="BF1" s="137"/>
      <c r="BG1" s="137"/>
      <c r="BH1" s="137"/>
      <c r="BI1" s="137"/>
      <c r="BJ1" s="137"/>
      <c r="BK1" s="137"/>
      <c r="BL1" s="137"/>
      <c r="BM1" s="137"/>
    </row>
    <row r="2" spans="1:65">
      <c r="A2" s="534"/>
      <c r="B2" s="534"/>
      <c r="C2" s="534"/>
      <c r="D2" s="533"/>
      <c r="E2" s="533"/>
      <c r="F2" s="359"/>
      <c r="G2" s="359"/>
      <c r="H2" s="359"/>
      <c r="I2" s="359"/>
      <c r="J2" s="359"/>
      <c r="K2" s="359"/>
      <c r="L2" s="359"/>
      <c r="M2" s="359"/>
      <c r="N2" s="359"/>
      <c r="O2" s="359"/>
      <c r="P2" s="359"/>
      <c r="Q2" s="359"/>
      <c r="R2" s="359"/>
      <c r="S2" s="359"/>
      <c r="T2" s="359"/>
      <c r="U2" s="359"/>
      <c r="V2" s="359"/>
      <c r="W2" s="359"/>
      <c r="X2" s="359"/>
      <c r="Y2" s="359"/>
      <c r="Z2" s="133"/>
      <c r="AA2" s="133"/>
      <c r="AB2" s="532"/>
      <c r="AC2" s="532"/>
      <c r="AD2" s="383" t="s">
        <v>750</v>
      </c>
      <c r="AE2" s="359"/>
      <c r="AF2" s="359"/>
      <c r="AG2" s="359"/>
      <c r="AH2" s="359"/>
      <c r="AI2" s="359"/>
      <c r="AJ2" s="359"/>
      <c r="AK2" s="359"/>
      <c r="AL2" s="359"/>
      <c r="AM2" s="359"/>
      <c r="AN2" s="359"/>
      <c r="AO2" s="359"/>
      <c r="AP2" s="359"/>
      <c r="AQ2" s="359"/>
      <c r="AR2" s="359"/>
      <c r="AS2" s="359"/>
      <c r="AT2" s="359"/>
      <c r="AU2" s="359"/>
      <c r="AV2" s="359"/>
      <c r="AW2" s="359"/>
      <c r="AX2" s="359"/>
      <c r="AY2" s="359"/>
      <c r="AZ2" s="359"/>
      <c r="BA2" s="137"/>
      <c r="BB2" s="137"/>
      <c r="BC2" s="137"/>
      <c r="BD2" s="137"/>
      <c r="BE2" s="137"/>
      <c r="BF2" s="137"/>
      <c r="BG2" s="137"/>
      <c r="BH2" s="137"/>
      <c r="BI2" s="137"/>
      <c r="BJ2" s="137"/>
      <c r="BK2" s="137"/>
      <c r="BL2" s="137"/>
      <c r="BM2" s="137"/>
    </row>
    <row r="3" spans="1:65">
      <c r="A3" s="535" t="s">
        <v>751</v>
      </c>
      <c r="B3" s="535"/>
      <c r="C3" s="535"/>
      <c r="D3" s="137" t="s">
        <v>231</v>
      </c>
      <c r="E3" s="137"/>
      <c r="F3" s="133"/>
      <c r="G3" s="133"/>
      <c r="H3" s="133"/>
      <c r="I3" s="133"/>
      <c r="J3" s="133"/>
      <c r="K3" s="133"/>
      <c r="L3" s="133"/>
      <c r="M3" s="133"/>
      <c r="N3" s="133"/>
      <c r="O3" s="133"/>
      <c r="P3" s="133"/>
      <c r="Q3" s="133"/>
      <c r="R3" s="133"/>
      <c r="S3" s="133"/>
      <c r="T3" s="133"/>
      <c r="U3" s="133"/>
      <c r="V3" s="133"/>
      <c r="W3" s="133"/>
      <c r="X3" s="133"/>
      <c r="Y3" s="133"/>
      <c r="Z3" s="133"/>
      <c r="AA3" s="133"/>
      <c r="AB3" s="137" t="s">
        <v>231</v>
      </c>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7"/>
      <c r="BB3" s="137"/>
      <c r="BC3" s="137"/>
      <c r="BD3" s="137"/>
      <c r="BE3" s="137"/>
      <c r="BF3" s="137"/>
      <c r="BG3" s="137"/>
      <c r="BH3" s="137"/>
      <c r="BI3" s="137"/>
      <c r="BJ3" s="137"/>
      <c r="BK3" s="137"/>
      <c r="BL3" s="137"/>
      <c r="BM3" s="137"/>
    </row>
    <row r="4" spans="1:65">
      <c r="A4" s="535"/>
      <c r="B4" s="535"/>
      <c r="C4" s="535"/>
      <c r="D4" s="163" t="s">
        <v>752</v>
      </c>
      <c r="E4" s="137"/>
      <c r="F4" s="133"/>
      <c r="G4" s="133"/>
      <c r="H4" s="133"/>
      <c r="I4" s="133"/>
      <c r="J4" s="133"/>
      <c r="K4" s="133"/>
      <c r="L4" s="133"/>
      <c r="M4" s="133"/>
      <c r="N4" s="133"/>
      <c r="O4" s="133"/>
      <c r="P4" s="133"/>
      <c r="Q4" s="133"/>
      <c r="R4" s="133"/>
      <c r="S4" s="133"/>
      <c r="T4" s="133"/>
      <c r="U4" s="133"/>
      <c r="V4" s="133"/>
      <c r="W4" s="133"/>
      <c r="X4" s="133"/>
      <c r="Y4" s="133"/>
      <c r="Z4" s="133"/>
      <c r="AA4" s="133"/>
      <c r="AB4" s="431" t="s">
        <v>753</v>
      </c>
      <c r="AC4" s="133"/>
      <c r="AD4" s="137" t="s">
        <v>754</v>
      </c>
      <c r="AE4" s="137"/>
      <c r="AF4" s="137"/>
      <c r="AG4" s="137"/>
      <c r="AH4" s="137"/>
      <c r="AI4" s="137"/>
      <c r="AJ4" s="137"/>
      <c r="AK4" s="137"/>
      <c r="AL4" s="137"/>
      <c r="AM4" s="137"/>
      <c r="AN4" s="137" t="s">
        <v>755</v>
      </c>
      <c r="AO4" s="137"/>
      <c r="AP4" s="137" t="s">
        <v>756</v>
      </c>
      <c r="AQ4" s="137"/>
      <c r="AR4" s="137"/>
      <c r="AS4" s="137"/>
      <c r="AT4" s="137"/>
      <c r="AU4" s="137"/>
      <c r="AV4" s="137"/>
      <c r="AW4" s="137"/>
      <c r="AX4" s="137"/>
      <c r="AY4" s="137"/>
      <c r="AZ4" s="137"/>
      <c r="BA4" s="137"/>
      <c r="BB4" s="137"/>
      <c r="BC4" s="137"/>
      <c r="BD4" s="137"/>
      <c r="BE4" s="137"/>
      <c r="BF4" s="137"/>
      <c r="BG4" s="137"/>
      <c r="BH4" s="137"/>
      <c r="BI4" s="137"/>
      <c r="BJ4" s="137"/>
      <c r="BK4" s="137"/>
      <c r="BL4" s="137"/>
      <c r="BM4" s="137"/>
    </row>
    <row r="5" spans="1:65">
      <c r="A5" s="120" t="s">
        <v>238</v>
      </c>
      <c r="B5" s="120" t="s">
        <v>239</v>
      </c>
      <c r="C5" s="384" t="s">
        <v>240</v>
      </c>
      <c r="D5" s="163" t="s">
        <v>757</v>
      </c>
      <c r="E5" s="133"/>
      <c r="F5" s="142" t="s">
        <v>758</v>
      </c>
      <c r="G5" s="133"/>
      <c r="H5" s="133"/>
      <c r="I5" s="133"/>
      <c r="J5" s="133"/>
      <c r="K5" s="133"/>
      <c r="L5" s="133"/>
      <c r="M5" s="133"/>
      <c r="N5" s="133"/>
      <c r="O5" s="133"/>
      <c r="P5" s="142" t="s">
        <v>759</v>
      </c>
      <c r="Q5" s="133"/>
      <c r="R5" s="133"/>
      <c r="S5" s="133"/>
      <c r="T5" s="133"/>
      <c r="U5" s="133"/>
      <c r="V5" s="133"/>
      <c r="W5" s="133"/>
      <c r="X5" s="133"/>
      <c r="Y5" s="133"/>
      <c r="Z5" s="133"/>
      <c r="AA5" s="133"/>
      <c r="AB5" s="431" t="s">
        <v>760</v>
      </c>
      <c r="AC5" s="133"/>
      <c r="AD5" s="134" t="s">
        <v>689</v>
      </c>
      <c r="AE5" s="432"/>
      <c r="AF5" s="204" t="s">
        <v>243</v>
      </c>
      <c r="AG5" s="136" t="s">
        <v>244</v>
      </c>
      <c r="AH5" s="136" t="s">
        <v>245</v>
      </c>
      <c r="AI5" s="148" t="s">
        <v>250</v>
      </c>
      <c r="AJ5" s="136" t="s">
        <v>355</v>
      </c>
      <c r="AK5" s="136" t="s">
        <v>246</v>
      </c>
      <c r="AL5" s="136" t="s">
        <v>247</v>
      </c>
      <c r="AM5" s="137"/>
      <c r="AN5" s="134" t="s">
        <v>761</v>
      </c>
      <c r="AO5" s="432"/>
      <c r="AP5" s="204" t="s">
        <v>243</v>
      </c>
      <c r="AQ5" s="136" t="s">
        <v>244</v>
      </c>
      <c r="AR5" s="136" t="s">
        <v>250</v>
      </c>
      <c r="AS5" s="136" t="s">
        <v>246</v>
      </c>
      <c r="AT5" s="136" t="s">
        <v>247</v>
      </c>
      <c r="AU5" s="148" t="s">
        <v>345</v>
      </c>
      <c r="AV5" s="137"/>
      <c r="AW5" s="137"/>
      <c r="AX5" s="137"/>
      <c r="AY5" s="137"/>
      <c r="AZ5" s="137"/>
      <c r="BA5" s="137"/>
      <c r="BB5" s="137"/>
      <c r="BC5" s="137"/>
      <c r="BD5" s="137"/>
      <c r="BE5" s="137"/>
      <c r="BF5" s="137"/>
      <c r="BG5" s="137"/>
      <c r="BH5" s="137"/>
      <c r="BI5" s="137"/>
      <c r="BJ5" s="137"/>
      <c r="BK5" s="137"/>
      <c r="BL5" s="137"/>
      <c r="BM5" s="137"/>
    </row>
    <row r="6" spans="1:65">
      <c r="A6" s="120" t="s">
        <v>255</v>
      </c>
      <c r="B6" s="87">
        <v>6</v>
      </c>
      <c r="C6" s="384" t="s">
        <v>256</v>
      </c>
      <c r="D6" s="163" t="s">
        <v>762</v>
      </c>
      <c r="E6" s="133"/>
      <c r="F6" s="134" t="s">
        <v>763</v>
      </c>
      <c r="G6" s="135"/>
      <c r="H6" s="136" t="s">
        <v>243</v>
      </c>
      <c r="I6" s="136" t="s">
        <v>764</v>
      </c>
      <c r="J6" s="148" t="s">
        <v>246</v>
      </c>
      <c r="K6" s="148" t="s">
        <v>247</v>
      </c>
      <c r="L6" s="133"/>
      <c r="M6" s="133"/>
      <c r="N6" s="133"/>
      <c r="O6" s="133"/>
      <c r="P6" s="134" t="s">
        <v>765</v>
      </c>
      <c r="Q6" s="135"/>
      <c r="R6" s="136" t="s">
        <v>243</v>
      </c>
      <c r="S6" s="136" t="s">
        <v>766</v>
      </c>
      <c r="T6" s="136" t="s">
        <v>767</v>
      </c>
      <c r="U6" s="136" t="s">
        <v>768</v>
      </c>
      <c r="V6" s="148" t="s">
        <v>246</v>
      </c>
      <c r="W6" s="148" t="s">
        <v>247</v>
      </c>
      <c r="X6" s="133"/>
      <c r="Y6" s="133"/>
      <c r="Z6" s="133"/>
      <c r="AA6" s="133"/>
      <c r="AB6" s="431" t="s">
        <v>769</v>
      </c>
      <c r="AC6" s="133"/>
      <c r="AD6" s="137" t="s">
        <v>770</v>
      </c>
      <c r="AE6" s="433"/>
      <c r="AF6" s="94">
        <v>1</v>
      </c>
      <c r="AG6" s="120">
        <v>5500</v>
      </c>
      <c r="AH6" s="120">
        <v>250</v>
      </c>
      <c r="AI6" s="120">
        <v>325</v>
      </c>
      <c r="AJ6" s="120">
        <f t="shared" ref="AJ6:AJ9" si="0">AI6*10</f>
        <v>3250</v>
      </c>
      <c r="AK6" s="120"/>
      <c r="AL6" s="120"/>
      <c r="AM6" s="137"/>
      <c r="AN6" s="137" t="s">
        <v>405</v>
      </c>
      <c r="AO6" s="433"/>
      <c r="AP6" s="94">
        <v>1</v>
      </c>
      <c r="AQ6" s="120">
        <v>3000</v>
      </c>
      <c r="AR6" s="120">
        <v>150</v>
      </c>
      <c r="AS6" s="120"/>
      <c r="AT6" s="120"/>
      <c r="AU6" s="120">
        <v>1000</v>
      </c>
      <c r="AV6" s="137"/>
      <c r="AW6" s="137"/>
      <c r="AX6" s="137"/>
      <c r="AY6" s="137"/>
      <c r="AZ6" s="137"/>
      <c r="BA6" s="137"/>
      <c r="BB6" s="137"/>
      <c r="BC6" s="137"/>
      <c r="BD6" s="137"/>
      <c r="BE6" s="137"/>
      <c r="BF6" s="137"/>
      <c r="BG6" s="137"/>
      <c r="BH6" s="137"/>
      <c r="BI6" s="137"/>
      <c r="BJ6" s="137"/>
      <c r="BK6" s="137"/>
      <c r="BL6" s="137"/>
      <c r="BM6" s="137"/>
    </row>
    <row r="7" spans="1:65">
      <c r="A7" s="120" t="s">
        <v>269</v>
      </c>
      <c r="B7" s="99">
        <v>7</v>
      </c>
      <c r="C7" s="384" t="s">
        <v>270</v>
      </c>
      <c r="D7" s="163" t="s">
        <v>771</v>
      </c>
      <c r="E7" s="133"/>
      <c r="F7" s="137" t="s">
        <v>772</v>
      </c>
      <c r="G7" s="138"/>
      <c r="H7" s="87">
        <v>1</v>
      </c>
      <c r="I7" s="120">
        <v>150</v>
      </c>
      <c r="J7" s="120"/>
      <c r="K7" s="149"/>
      <c r="L7" s="133"/>
      <c r="M7" s="133"/>
      <c r="N7" s="133"/>
      <c r="O7" s="133"/>
      <c r="P7" s="137" t="s">
        <v>773</v>
      </c>
      <c r="Q7" s="138"/>
      <c r="R7" s="87">
        <v>1</v>
      </c>
      <c r="S7" s="120">
        <v>600</v>
      </c>
      <c r="T7" s="120">
        <f>S7*0.55</f>
        <v>330</v>
      </c>
      <c r="U7" s="120">
        <v>15</v>
      </c>
      <c r="V7" s="120"/>
      <c r="W7" s="149"/>
      <c r="X7" s="133"/>
      <c r="Y7" s="133"/>
      <c r="Z7" s="133"/>
      <c r="AA7" s="133"/>
      <c r="AB7" s="163" t="s">
        <v>774</v>
      </c>
      <c r="AC7" s="133"/>
      <c r="AD7" s="140" t="s">
        <v>281</v>
      </c>
      <c r="AE7" s="434"/>
      <c r="AF7" s="94">
        <v>2</v>
      </c>
      <c r="AG7" s="120">
        <v>6000</v>
      </c>
      <c r="AH7" s="120">
        <v>300</v>
      </c>
      <c r="AI7" s="120">
        <v>390</v>
      </c>
      <c r="AJ7" s="120">
        <f t="shared" si="0"/>
        <v>3900</v>
      </c>
      <c r="AK7" s="150">
        <v>4200000</v>
      </c>
      <c r="AL7" s="149">
        <v>5.5</v>
      </c>
      <c r="AM7" s="137"/>
      <c r="AN7" s="140" t="s">
        <v>775</v>
      </c>
      <c r="AO7" s="434"/>
      <c r="AP7" s="94">
        <v>2</v>
      </c>
      <c r="AQ7" s="120">
        <v>3500</v>
      </c>
      <c r="AR7" s="120">
        <v>210</v>
      </c>
      <c r="AS7" s="150">
        <v>4200000</v>
      </c>
      <c r="AT7" s="149">
        <v>5.5</v>
      </c>
      <c r="AU7" s="120">
        <v>1200</v>
      </c>
      <c r="AV7" s="137"/>
      <c r="AW7" s="137"/>
      <c r="AX7" s="137"/>
      <c r="AY7" s="137"/>
      <c r="AZ7" s="137"/>
      <c r="BA7" s="137"/>
      <c r="BB7" s="137"/>
      <c r="BC7" s="137"/>
      <c r="BD7" s="137"/>
      <c r="BE7" s="137"/>
      <c r="BF7" s="137"/>
      <c r="BG7" s="137"/>
      <c r="BH7" s="137"/>
      <c r="BI7" s="137"/>
      <c r="BJ7" s="137"/>
      <c r="BK7" s="137"/>
      <c r="BL7" s="137"/>
      <c r="BM7" s="137"/>
    </row>
    <row r="8" spans="1:65">
      <c r="A8" s="120" t="s">
        <v>276</v>
      </c>
      <c r="B8" s="90">
        <v>8</v>
      </c>
      <c r="C8" s="384" t="s">
        <v>277</v>
      </c>
      <c r="D8" s="163" t="s">
        <v>776</v>
      </c>
      <c r="E8" s="133"/>
      <c r="F8" s="137" t="s">
        <v>777</v>
      </c>
      <c r="G8" s="138"/>
      <c r="H8" s="87">
        <v>2</v>
      </c>
      <c r="I8" s="120">
        <v>180</v>
      </c>
      <c r="J8" s="150">
        <v>50000</v>
      </c>
      <c r="K8" s="149">
        <v>0.16666666666666699</v>
      </c>
      <c r="L8" s="133"/>
      <c r="M8" s="133"/>
      <c r="N8" s="133"/>
      <c r="O8" s="133"/>
      <c r="P8" s="137" t="s">
        <v>778</v>
      </c>
      <c r="Q8" s="138"/>
      <c r="R8" s="87">
        <v>2</v>
      </c>
      <c r="S8" s="120">
        <v>800</v>
      </c>
      <c r="T8" s="120">
        <f t="shared" ref="T8:T14" si="1">S8*0.55</f>
        <v>440.00000000000006</v>
      </c>
      <c r="U8" s="120">
        <v>20</v>
      </c>
      <c r="V8" s="150">
        <v>75000</v>
      </c>
      <c r="W8" s="149">
        <v>0.20833333333333301</v>
      </c>
      <c r="X8" s="133"/>
      <c r="Y8" s="133"/>
      <c r="Z8" s="133"/>
      <c r="AA8" s="133"/>
      <c r="AB8" s="163" t="s">
        <v>779</v>
      </c>
      <c r="AC8" s="133"/>
      <c r="AD8" s="134" t="s">
        <v>780</v>
      </c>
      <c r="AE8" s="432"/>
      <c r="AF8" s="94">
        <v>3</v>
      </c>
      <c r="AG8" s="120">
        <v>6500</v>
      </c>
      <c r="AH8" s="120">
        <v>350</v>
      </c>
      <c r="AI8" s="120">
        <v>455</v>
      </c>
      <c r="AJ8" s="120">
        <f t="shared" si="0"/>
        <v>4550</v>
      </c>
      <c r="AK8" s="150">
        <v>5600000</v>
      </c>
      <c r="AL8" s="149">
        <v>7</v>
      </c>
      <c r="AM8" s="137"/>
      <c r="AN8" s="134" t="s">
        <v>781</v>
      </c>
      <c r="AO8" s="432"/>
      <c r="AP8" s="94">
        <v>3</v>
      </c>
      <c r="AQ8" s="120">
        <v>4000</v>
      </c>
      <c r="AR8" s="120">
        <v>270</v>
      </c>
      <c r="AS8" s="150">
        <v>5600000</v>
      </c>
      <c r="AT8" s="149">
        <v>7</v>
      </c>
      <c r="AU8" s="120">
        <v>1400</v>
      </c>
      <c r="AV8" s="137"/>
      <c r="AW8" s="137"/>
      <c r="AX8" s="137"/>
      <c r="AY8" s="137"/>
      <c r="AZ8" s="137"/>
      <c r="BA8" s="137"/>
      <c r="BB8" s="137"/>
      <c r="BC8" s="137"/>
      <c r="BD8" s="137"/>
      <c r="BE8" s="137"/>
      <c r="BF8" s="137"/>
      <c r="BG8" s="137"/>
      <c r="BH8" s="137"/>
      <c r="BI8" s="137"/>
      <c r="BJ8" s="137"/>
      <c r="BK8" s="137"/>
      <c r="BL8" s="137"/>
      <c r="BM8" s="137"/>
    </row>
    <row r="9" spans="1:65">
      <c r="A9" s="120" t="s">
        <v>284</v>
      </c>
      <c r="B9" s="91">
        <v>9</v>
      </c>
      <c r="C9" s="384" t="s">
        <v>285</v>
      </c>
      <c r="D9" s="163" t="s">
        <v>782</v>
      </c>
      <c r="E9" s="133"/>
      <c r="F9" s="133"/>
      <c r="G9" s="143"/>
      <c r="H9" s="87">
        <v>3</v>
      </c>
      <c r="I9" s="120">
        <v>210</v>
      </c>
      <c r="J9" s="150">
        <v>100000</v>
      </c>
      <c r="K9" s="149">
        <v>0.33333333333333298</v>
      </c>
      <c r="L9" s="133"/>
      <c r="M9" s="133"/>
      <c r="N9" s="133"/>
      <c r="O9" s="133"/>
      <c r="P9" s="140" t="s">
        <v>783</v>
      </c>
      <c r="Q9" s="143"/>
      <c r="R9" s="87">
        <v>3</v>
      </c>
      <c r="S9" s="120">
        <v>1000</v>
      </c>
      <c r="T9" s="120">
        <f t="shared" si="1"/>
        <v>550</v>
      </c>
      <c r="U9" s="120">
        <v>25</v>
      </c>
      <c r="V9" s="150">
        <v>150000</v>
      </c>
      <c r="W9" s="149">
        <v>0.41666666666666702</v>
      </c>
      <c r="X9" s="133"/>
      <c r="Y9" s="133"/>
      <c r="Z9" s="133"/>
      <c r="AA9" s="133"/>
      <c r="AB9" s="163" t="s">
        <v>784</v>
      </c>
      <c r="AC9" s="133"/>
      <c r="AD9" s="137" t="s">
        <v>785</v>
      </c>
      <c r="AE9" s="138"/>
      <c r="AF9" s="100">
        <v>4</v>
      </c>
      <c r="AG9" s="120">
        <v>7000</v>
      </c>
      <c r="AH9" s="120">
        <v>400</v>
      </c>
      <c r="AI9" s="120">
        <f>AH9*1.3</f>
        <v>520</v>
      </c>
      <c r="AJ9" s="120">
        <f t="shared" si="0"/>
        <v>5200</v>
      </c>
      <c r="AK9" s="150">
        <v>10500000</v>
      </c>
      <c r="AL9" s="149">
        <v>12</v>
      </c>
      <c r="AM9" s="137"/>
      <c r="AN9" s="95" t="s">
        <v>786</v>
      </c>
      <c r="AO9" s="138"/>
      <c r="AP9" s="100">
        <v>4</v>
      </c>
      <c r="AQ9" s="120">
        <v>4500</v>
      </c>
      <c r="AR9" s="120">
        <v>330</v>
      </c>
      <c r="AS9" s="150">
        <v>10500000</v>
      </c>
      <c r="AT9" s="149">
        <v>12</v>
      </c>
      <c r="AU9" s="120">
        <v>1400</v>
      </c>
      <c r="AV9" s="137"/>
      <c r="AW9" s="137"/>
      <c r="AX9" s="137"/>
      <c r="AY9" s="137"/>
      <c r="AZ9" s="137"/>
      <c r="BA9" s="137"/>
      <c r="BB9" s="137"/>
      <c r="BC9" s="137"/>
      <c r="BD9" s="137"/>
      <c r="BE9" s="137"/>
      <c r="BF9" s="137"/>
      <c r="BG9" s="137"/>
      <c r="BH9" s="137"/>
      <c r="BI9" s="137"/>
      <c r="BJ9" s="137"/>
      <c r="BK9" s="137"/>
      <c r="BL9" s="137"/>
      <c r="BM9" s="137"/>
    </row>
    <row r="10" spans="1:65">
      <c r="A10" s="120" t="s">
        <v>289</v>
      </c>
      <c r="B10" s="92">
        <v>10</v>
      </c>
      <c r="C10" s="384" t="s">
        <v>290</v>
      </c>
      <c r="D10" s="163" t="s">
        <v>787</v>
      </c>
      <c r="E10" s="133"/>
      <c r="F10" s="134" t="s">
        <v>788</v>
      </c>
      <c r="G10" s="135"/>
      <c r="H10" s="87">
        <v>4</v>
      </c>
      <c r="I10" s="120">
        <v>240</v>
      </c>
      <c r="J10" s="150">
        <v>200000</v>
      </c>
      <c r="K10" s="149">
        <v>0.5</v>
      </c>
      <c r="L10" s="133"/>
      <c r="M10" s="133"/>
      <c r="N10" s="133"/>
      <c r="O10" s="133"/>
      <c r="P10" s="134" t="s">
        <v>788</v>
      </c>
      <c r="Q10" s="135"/>
      <c r="R10" s="99">
        <v>4</v>
      </c>
      <c r="S10" s="120">
        <v>1200</v>
      </c>
      <c r="T10" s="120">
        <f t="shared" si="1"/>
        <v>660</v>
      </c>
      <c r="U10" s="120">
        <v>30</v>
      </c>
      <c r="V10" s="150">
        <v>300000</v>
      </c>
      <c r="W10" s="149">
        <v>0.83333333333333304</v>
      </c>
      <c r="X10" s="133"/>
      <c r="Y10" s="133"/>
      <c r="Z10" s="133"/>
      <c r="AA10" s="133"/>
      <c r="AB10" s="163" t="s">
        <v>789</v>
      </c>
      <c r="AC10" s="133"/>
      <c r="AD10" s="95" t="s">
        <v>493</v>
      </c>
      <c r="AE10" s="137"/>
      <c r="AF10" s="365" t="s">
        <v>790</v>
      </c>
      <c r="AG10" s="137"/>
      <c r="AH10" s="137"/>
      <c r="AI10" s="137"/>
      <c r="AJ10" s="137"/>
      <c r="AK10" s="137"/>
      <c r="AL10" s="137"/>
      <c r="AM10" s="137"/>
      <c r="AN10" s="137"/>
      <c r="AO10" s="137"/>
      <c r="AP10" s="137" t="s">
        <v>791</v>
      </c>
      <c r="AQ10" s="137"/>
      <c r="AR10" s="137"/>
      <c r="AS10" s="137"/>
      <c r="AT10" s="137"/>
      <c r="AU10" s="137"/>
      <c r="AV10" s="137"/>
      <c r="AW10" s="137"/>
      <c r="AX10" s="137"/>
      <c r="AY10" s="137"/>
      <c r="AZ10" s="137"/>
      <c r="BA10" s="137"/>
      <c r="BB10" s="137"/>
      <c r="BC10" s="137"/>
      <c r="BD10" s="137"/>
      <c r="BE10" s="137"/>
      <c r="BF10" s="137"/>
      <c r="BG10" s="137"/>
      <c r="BH10" s="137"/>
      <c r="BI10" s="137"/>
      <c r="BJ10" s="137"/>
      <c r="BK10" s="137"/>
      <c r="BL10" s="137"/>
      <c r="BM10" s="137"/>
    </row>
    <row r="11" spans="1:65">
      <c r="A11" s="120" t="s">
        <v>295</v>
      </c>
      <c r="B11" s="93">
        <v>11</v>
      </c>
      <c r="C11" s="384" t="s">
        <v>296</v>
      </c>
      <c r="D11" s="163" t="s">
        <v>792</v>
      </c>
      <c r="E11" s="133"/>
      <c r="F11" s="137" t="s">
        <v>793</v>
      </c>
      <c r="G11" s="138"/>
      <c r="H11" s="90">
        <v>5</v>
      </c>
      <c r="I11" s="120">
        <v>270</v>
      </c>
      <c r="J11" s="150">
        <v>600000</v>
      </c>
      <c r="K11" s="149">
        <v>1</v>
      </c>
      <c r="L11" s="133"/>
      <c r="M11" s="133"/>
      <c r="N11" s="133"/>
      <c r="O11" s="133"/>
      <c r="P11" s="137" t="s">
        <v>794</v>
      </c>
      <c r="Q11" s="138"/>
      <c r="R11" s="90">
        <v>5</v>
      </c>
      <c r="S11" s="120">
        <v>1400</v>
      </c>
      <c r="T11" s="120">
        <f t="shared" si="1"/>
        <v>770.00000000000011</v>
      </c>
      <c r="U11" s="120">
        <v>35</v>
      </c>
      <c r="V11" s="150">
        <v>900000</v>
      </c>
      <c r="W11" s="149">
        <v>1.5</v>
      </c>
      <c r="X11" s="133"/>
      <c r="Y11" s="133"/>
      <c r="Z11" s="133"/>
      <c r="AA11" s="133"/>
      <c r="AB11" s="133"/>
      <c r="AC11" s="133"/>
      <c r="AD11" s="137"/>
      <c r="AE11" s="137"/>
      <c r="AF11" s="137"/>
      <c r="AG11" s="137"/>
      <c r="AH11" s="137"/>
      <c r="AI11" s="137"/>
      <c r="AJ11" s="137"/>
      <c r="AK11" s="137"/>
      <c r="AL11" s="137"/>
      <c r="AM11" s="137"/>
      <c r="AN11" s="137"/>
      <c r="AO11" s="137"/>
      <c r="AP11" s="137" t="s">
        <v>795</v>
      </c>
      <c r="AQ11" s="137"/>
      <c r="AR11" s="137"/>
      <c r="AS11" s="137"/>
      <c r="AT11" s="137"/>
      <c r="AU11" s="137"/>
      <c r="AV11" s="137"/>
      <c r="AW11" s="137"/>
      <c r="AX11" s="137"/>
      <c r="AY11" s="137"/>
      <c r="AZ11" s="137"/>
      <c r="BA11" s="137"/>
      <c r="BB11" s="137"/>
      <c r="BC11" s="137"/>
      <c r="BD11" s="137"/>
      <c r="BE11" s="137"/>
      <c r="BF11" s="137"/>
      <c r="BG11" s="137"/>
      <c r="BH11" s="137"/>
      <c r="BI11" s="137"/>
      <c r="BJ11" s="137"/>
      <c r="BK11" s="137"/>
      <c r="BL11" s="137"/>
      <c r="BM11" s="137"/>
    </row>
    <row r="12" spans="1:65">
      <c r="A12" s="120" t="s">
        <v>302</v>
      </c>
      <c r="B12" s="94">
        <v>12</v>
      </c>
      <c r="C12" s="384" t="s">
        <v>303</v>
      </c>
      <c r="D12" s="133"/>
      <c r="E12" s="133"/>
      <c r="F12" s="144"/>
      <c r="G12" s="141"/>
      <c r="H12" s="91">
        <v>6</v>
      </c>
      <c r="I12" s="120">
        <v>320</v>
      </c>
      <c r="J12" s="150">
        <v>1500000</v>
      </c>
      <c r="K12" s="149">
        <v>4</v>
      </c>
      <c r="L12" s="133"/>
      <c r="M12" s="133"/>
      <c r="N12" s="133"/>
      <c r="O12" s="133"/>
      <c r="P12" s="361"/>
      <c r="Q12" s="141"/>
      <c r="R12" s="91">
        <v>6</v>
      </c>
      <c r="S12" s="120">
        <v>1600</v>
      </c>
      <c r="T12" s="120">
        <f t="shared" si="1"/>
        <v>880.00000000000011</v>
      </c>
      <c r="U12" s="120">
        <v>40</v>
      </c>
      <c r="V12" s="150">
        <v>1800000</v>
      </c>
      <c r="W12" s="149">
        <v>4</v>
      </c>
      <c r="X12" s="133"/>
      <c r="Y12" s="133"/>
      <c r="Z12" s="133"/>
      <c r="AA12" s="133"/>
      <c r="AB12" s="142" t="s">
        <v>796</v>
      </c>
      <c r="AC12" s="133"/>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137"/>
      <c r="BK12" s="137"/>
      <c r="BL12" s="137"/>
      <c r="BM12" s="137"/>
    </row>
    <row r="13" spans="1:65">
      <c r="A13" s="120" t="s">
        <v>797</v>
      </c>
      <c r="B13" s="100">
        <v>13</v>
      </c>
      <c r="C13" s="384" t="s">
        <v>312</v>
      </c>
      <c r="D13" s="142" t="s">
        <v>798</v>
      </c>
      <c r="E13" s="133"/>
      <c r="F13" s="134" t="s">
        <v>305</v>
      </c>
      <c r="G13" s="135"/>
      <c r="H13" s="92">
        <v>7</v>
      </c>
      <c r="I13" s="120">
        <v>400</v>
      </c>
      <c r="J13" s="150">
        <v>2500000</v>
      </c>
      <c r="K13" s="149">
        <v>6</v>
      </c>
      <c r="L13" s="133"/>
      <c r="M13" s="133"/>
      <c r="N13" s="133"/>
      <c r="O13" s="133"/>
      <c r="P13" s="134" t="s">
        <v>385</v>
      </c>
      <c r="Q13" s="135"/>
      <c r="R13" s="92">
        <v>7</v>
      </c>
      <c r="S13" s="120">
        <v>1800</v>
      </c>
      <c r="T13" s="120">
        <f t="shared" si="1"/>
        <v>990.00000000000011</v>
      </c>
      <c r="U13" s="120">
        <v>45</v>
      </c>
      <c r="V13" s="150">
        <v>3000000</v>
      </c>
      <c r="W13" s="149">
        <v>6</v>
      </c>
      <c r="X13" s="133"/>
      <c r="Y13" s="133"/>
      <c r="Z13" s="133"/>
      <c r="AA13" s="133"/>
      <c r="AB13" s="142" t="s">
        <v>798</v>
      </c>
      <c r="AC13" s="133"/>
      <c r="AD13" s="137" t="s">
        <v>799</v>
      </c>
      <c r="AE13" s="137"/>
      <c r="AF13" s="137" t="s">
        <v>800</v>
      </c>
      <c r="AG13" s="137"/>
      <c r="AH13" s="137"/>
      <c r="AI13" s="137"/>
      <c r="AJ13" s="137"/>
      <c r="AK13" s="137"/>
      <c r="AL13" s="137"/>
      <c r="AM13" s="137"/>
      <c r="AN13" s="137" t="s">
        <v>801</v>
      </c>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row>
    <row r="14" spans="1:65">
      <c r="A14" s="123" t="s">
        <v>320</v>
      </c>
      <c r="B14" s="121">
        <v>14</v>
      </c>
      <c r="C14" s="384" t="s">
        <v>321</v>
      </c>
      <c r="D14" s="142" t="s">
        <v>802</v>
      </c>
      <c r="E14" s="133"/>
      <c r="F14" s="137" t="s">
        <v>803</v>
      </c>
      <c r="G14" s="138"/>
      <c r="H14" s="93">
        <v>8</v>
      </c>
      <c r="I14" s="120">
        <v>480</v>
      </c>
      <c r="J14" s="150">
        <v>4200000</v>
      </c>
      <c r="K14" s="149">
        <v>7.25</v>
      </c>
      <c r="L14" s="133"/>
      <c r="M14" s="133"/>
      <c r="N14" s="133"/>
      <c r="O14" s="133"/>
      <c r="P14" s="137" t="s">
        <v>803</v>
      </c>
      <c r="Q14" s="138"/>
      <c r="R14" s="100">
        <v>8</v>
      </c>
      <c r="S14" s="120">
        <v>2000</v>
      </c>
      <c r="T14" s="120">
        <f t="shared" si="1"/>
        <v>1100</v>
      </c>
      <c r="U14" s="120">
        <v>50</v>
      </c>
      <c r="V14" s="150">
        <v>10500000</v>
      </c>
      <c r="W14" s="149">
        <v>12</v>
      </c>
      <c r="X14" s="133"/>
      <c r="Y14" s="133"/>
      <c r="Z14" s="133"/>
      <c r="AA14" s="133"/>
      <c r="AB14" s="142" t="s">
        <v>804</v>
      </c>
      <c r="AC14" s="133"/>
      <c r="AD14" s="134" t="s">
        <v>349</v>
      </c>
      <c r="AE14" s="432"/>
      <c r="AF14" s="204" t="s">
        <v>243</v>
      </c>
      <c r="AG14" s="136" t="s">
        <v>244</v>
      </c>
      <c r="AH14" s="136" t="s">
        <v>245</v>
      </c>
      <c r="AI14" s="136" t="s">
        <v>250</v>
      </c>
      <c r="AJ14" s="136" t="s">
        <v>805</v>
      </c>
      <c r="AK14" s="136" t="s">
        <v>246</v>
      </c>
      <c r="AL14" s="136" t="s">
        <v>247</v>
      </c>
      <c r="AM14" s="137"/>
      <c r="AN14" s="134" t="s">
        <v>806</v>
      </c>
      <c r="AO14" s="432"/>
      <c r="AP14" s="204" t="s">
        <v>243</v>
      </c>
      <c r="AQ14" s="136" t="s">
        <v>244</v>
      </c>
      <c r="AR14" s="136" t="s">
        <v>807</v>
      </c>
      <c r="AS14" s="136" t="s">
        <v>808</v>
      </c>
      <c r="AT14" s="136" t="s">
        <v>246</v>
      </c>
      <c r="AU14" s="136" t="s">
        <v>247</v>
      </c>
      <c r="AV14" s="137"/>
      <c r="AW14" s="137"/>
      <c r="AX14" s="137"/>
      <c r="AY14" s="137"/>
      <c r="AZ14" s="137"/>
      <c r="BA14" s="137"/>
      <c r="BB14" s="137"/>
      <c r="BC14" s="137"/>
      <c r="BD14" s="137"/>
      <c r="BE14" s="137"/>
      <c r="BF14" s="137"/>
      <c r="BG14" s="137"/>
      <c r="BH14" s="137"/>
      <c r="BI14" s="137"/>
      <c r="BJ14" s="137"/>
      <c r="BK14" s="137"/>
      <c r="BL14" s="137"/>
      <c r="BM14" s="137"/>
    </row>
    <row r="15" spans="1:65">
      <c r="A15" s="123" t="s">
        <v>328</v>
      </c>
      <c r="B15" s="122">
        <v>15</v>
      </c>
      <c r="C15" s="384" t="s">
        <v>329</v>
      </c>
      <c r="D15" s="142" t="s">
        <v>804</v>
      </c>
      <c r="E15" s="133"/>
      <c r="F15" s="133"/>
      <c r="G15" s="138"/>
      <c r="H15" s="94">
        <v>9</v>
      </c>
      <c r="I15" s="120">
        <v>560</v>
      </c>
      <c r="J15" s="150">
        <v>7000000</v>
      </c>
      <c r="K15" s="149">
        <v>9</v>
      </c>
      <c r="L15" s="133"/>
      <c r="M15" s="133"/>
      <c r="N15" s="133"/>
      <c r="O15" s="133"/>
      <c r="P15" s="133"/>
      <c r="Q15" s="138"/>
      <c r="R15" s="122">
        <v>9</v>
      </c>
      <c r="S15" s="120">
        <v>2200</v>
      </c>
      <c r="T15" s="120">
        <f t="shared" ref="T15" si="2">S15*0.55</f>
        <v>1210</v>
      </c>
      <c r="U15" s="120">
        <v>55</v>
      </c>
      <c r="V15" s="150">
        <v>17000000</v>
      </c>
      <c r="W15" s="149">
        <v>16</v>
      </c>
      <c r="X15" s="133"/>
      <c r="Y15" s="133"/>
      <c r="Z15" s="133"/>
      <c r="AA15" s="133"/>
      <c r="AB15" s="142" t="s">
        <v>307</v>
      </c>
      <c r="AC15" s="133"/>
      <c r="AD15" s="137" t="s">
        <v>809</v>
      </c>
      <c r="AE15" s="433"/>
      <c r="AF15" s="94">
        <v>1</v>
      </c>
      <c r="AG15" s="120">
        <v>5600</v>
      </c>
      <c r="AH15" s="120">
        <v>400</v>
      </c>
      <c r="AI15" s="120">
        <f t="shared" ref="AI15:AI18" si="3">AH15*2.5</f>
        <v>1000</v>
      </c>
      <c r="AJ15" s="120">
        <v>200</v>
      </c>
      <c r="AK15" s="120"/>
      <c r="AL15" s="120"/>
      <c r="AM15" s="137"/>
      <c r="AN15" s="137" t="s">
        <v>810</v>
      </c>
      <c r="AO15" s="433"/>
      <c r="AP15" s="100">
        <v>1</v>
      </c>
      <c r="AQ15" s="120">
        <v>3300</v>
      </c>
      <c r="AR15" s="120">
        <v>1</v>
      </c>
      <c r="AS15" s="120">
        <v>6</v>
      </c>
      <c r="AT15" s="120"/>
      <c r="AU15" s="120"/>
      <c r="AV15" s="137"/>
      <c r="AW15" s="137"/>
      <c r="AX15" s="137"/>
      <c r="AY15" s="137"/>
      <c r="AZ15" s="137"/>
      <c r="BA15" s="137"/>
      <c r="BB15" s="137"/>
      <c r="BC15" s="137"/>
      <c r="BD15" s="137"/>
      <c r="BE15" s="137"/>
      <c r="BF15" s="137"/>
      <c r="BG15" s="137"/>
      <c r="BH15" s="137"/>
      <c r="BI15" s="137"/>
      <c r="BJ15" s="137"/>
      <c r="BK15" s="137"/>
      <c r="BL15" s="137"/>
      <c r="BM15" s="137"/>
    </row>
    <row r="16" spans="1:65">
      <c r="A16" s="133"/>
      <c r="B16" s="137"/>
      <c r="C16" s="137"/>
      <c r="D16" s="137"/>
      <c r="E16" s="137"/>
      <c r="F16" s="133"/>
      <c r="G16" s="138"/>
      <c r="H16" s="122">
        <v>10</v>
      </c>
      <c r="I16" s="120">
        <v>600</v>
      </c>
      <c r="J16" s="150">
        <v>16000000</v>
      </c>
      <c r="K16" s="149">
        <v>16</v>
      </c>
      <c r="L16" s="133"/>
      <c r="M16" s="133"/>
      <c r="N16" s="133"/>
      <c r="O16" s="133"/>
      <c r="P16" s="133"/>
      <c r="Q16" s="138"/>
      <c r="R16" s="142" t="s">
        <v>811</v>
      </c>
      <c r="S16" s="133"/>
      <c r="T16" s="133"/>
      <c r="U16" s="133"/>
      <c r="V16" s="133"/>
      <c r="W16" s="133"/>
      <c r="X16" s="133"/>
      <c r="Y16" s="133"/>
      <c r="Z16" s="133"/>
      <c r="AA16" s="133"/>
      <c r="AB16" s="133"/>
      <c r="AC16" s="133"/>
      <c r="AD16" s="140" t="s">
        <v>279</v>
      </c>
      <c r="AE16" s="434"/>
      <c r="AF16" s="94">
        <v>2</v>
      </c>
      <c r="AG16" s="120">
        <v>5900</v>
      </c>
      <c r="AH16" s="120">
        <v>500</v>
      </c>
      <c r="AI16" s="120">
        <f t="shared" si="3"/>
        <v>1250</v>
      </c>
      <c r="AJ16" s="120">
        <v>300</v>
      </c>
      <c r="AK16" s="150">
        <v>4200000</v>
      </c>
      <c r="AL16" s="149">
        <v>5.5</v>
      </c>
      <c r="AM16" s="137"/>
      <c r="AN16" s="137" t="s">
        <v>812</v>
      </c>
      <c r="AO16" s="433"/>
      <c r="AP16" s="100">
        <v>2</v>
      </c>
      <c r="AQ16" s="120">
        <v>3700</v>
      </c>
      <c r="AR16" s="120">
        <v>1</v>
      </c>
      <c r="AS16" s="120">
        <v>8</v>
      </c>
      <c r="AT16" s="150">
        <v>5600000</v>
      </c>
      <c r="AU16" s="149">
        <v>7</v>
      </c>
      <c r="AV16" s="137"/>
      <c r="AW16" s="137"/>
      <c r="AX16" s="137"/>
      <c r="AY16" s="137"/>
      <c r="AZ16" s="137"/>
      <c r="BA16" s="137"/>
      <c r="BB16" s="137"/>
      <c r="BC16" s="137"/>
      <c r="BD16" s="137"/>
      <c r="BE16" s="137"/>
      <c r="BF16" s="137"/>
      <c r="BG16" s="137"/>
      <c r="BH16" s="137"/>
      <c r="BI16" s="137"/>
      <c r="BJ16" s="137"/>
      <c r="BK16" s="137"/>
      <c r="BL16" s="137"/>
      <c r="BM16" s="137"/>
    </row>
    <row r="17" spans="1:65">
      <c r="A17" s="133"/>
      <c r="B17" s="133"/>
      <c r="C17" s="133"/>
      <c r="D17" s="133"/>
      <c r="E17" s="133"/>
      <c r="F17" s="133"/>
      <c r="G17" s="364"/>
      <c r="H17" s="142" t="s">
        <v>813</v>
      </c>
      <c r="I17" s="133"/>
      <c r="J17" s="133"/>
      <c r="K17" s="133"/>
      <c r="L17" s="133"/>
      <c r="M17" s="133"/>
      <c r="N17" s="133"/>
      <c r="O17" s="133"/>
      <c r="P17" s="133"/>
      <c r="Q17" s="133"/>
      <c r="R17" s="133"/>
      <c r="S17" s="133"/>
      <c r="T17" s="133"/>
      <c r="U17" s="133"/>
      <c r="V17" s="133"/>
      <c r="W17" s="133"/>
      <c r="X17" s="133"/>
      <c r="Y17" s="133"/>
      <c r="Z17" s="133"/>
      <c r="AA17" s="133"/>
      <c r="AB17" s="133"/>
      <c r="AC17" s="133"/>
      <c r="AD17" s="134" t="s">
        <v>523</v>
      </c>
      <c r="AE17" s="432"/>
      <c r="AF17" s="94">
        <v>3</v>
      </c>
      <c r="AG17" s="120">
        <v>6200</v>
      </c>
      <c r="AH17" s="120">
        <v>600</v>
      </c>
      <c r="AI17" s="120">
        <f t="shared" si="3"/>
        <v>1500</v>
      </c>
      <c r="AJ17" s="120">
        <v>400</v>
      </c>
      <c r="AK17" s="150">
        <v>5600000</v>
      </c>
      <c r="AL17" s="149">
        <v>7</v>
      </c>
      <c r="AM17" s="137"/>
      <c r="AN17" s="95" t="s">
        <v>786</v>
      </c>
      <c r="AO17" s="433"/>
      <c r="AP17" s="100">
        <v>3</v>
      </c>
      <c r="AQ17" s="120">
        <v>4100</v>
      </c>
      <c r="AR17" s="120">
        <v>1</v>
      </c>
      <c r="AS17" s="120">
        <v>10</v>
      </c>
      <c r="AT17" s="150">
        <v>7700000</v>
      </c>
      <c r="AU17" s="149">
        <v>9.75</v>
      </c>
      <c r="AV17" s="137"/>
      <c r="AW17" s="137"/>
      <c r="AX17" s="137"/>
      <c r="AY17" s="137"/>
      <c r="AZ17" s="137"/>
      <c r="BA17" s="137"/>
      <c r="BB17" s="137"/>
      <c r="BC17" s="137"/>
      <c r="BD17" s="137"/>
      <c r="BE17" s="137"/>
      <c r="BF17" s="137"/>
      <c r="BG17" s="137"/>
      <c r="BH17" s="137"/>
      <c r="BI17" s="137"/>
      <c r="BJ17" s="137"/>
      <c r="BK17" s="137"/>
      <c r="BL17" s="137"/>
      <c r="BM17" s="137"/>
    </row>
    <row r="18" spans="1:65">
      <c r="A18" s="133"/>
      <c r="B18" s="133"/>
      <c r="C18" s="133"/>
      <c r="D18" s="142" t="s">
        <v>307</v>
      </c>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7" t="s">
        <v>814</v>
      </c>
      <c r="AE18" s="138"/>
      <c r="AF18" s="100">
        <v>4</v>
      </c>
      <c r="AG18" s="120">
        <v>6500</v>
      </c>
      <c r="AH18" s="120">
        <v>700</v>
      </c>
      <c r="AI18" s="120">
        <f t="shared" si="3"/>
        <v>1750</v>
      </c>
      <c r="AJ18" s="120">
        <v>500</v>
      </c>
      <c r="AK18" s="150">
        <v>10500000</v>
      </c>
      <c r="AL18" s="149">
        <v>12</v>
      </c>
      <c r="AM18" s="137"/>
      <c r="AN18" s="137"/>
      <c r="AO18" s="138"/>
      <c r="AP18" s="100">
        <v>4</v>
      </c>
      <c r="AQ18" s="120">
        <v>4500</v>
      </c>
      <c r="AR18" s="120">
        <v>1</v>
      </c>
      <c r="AS18" s="120">
        <v>11</v>
      </c>
      <c r="AT18" s="150">
        <v>10500000</v>
      </c>
      <c r="AU18" s="149">
        <v>12</v>
      </c>
      <c r="AV18" s="137"/>
      <c r="AW18" s="137"/>
      <c r="AX18" s="137"/>
      <c r="AY18" s="137"/>
      <c r="AZ18" s="137"/>
      <c r="BA18" s="137"/>
      <c r="BB18" s="137"/>
      <c r="BC18" s="137"/>
      <c r="BD18" s="137"/>
      <c r="BE18" s="137"/>
      <c r="BF18" s="137"/>
      <c r="BG18" s="137"/>
      <c r="BH18" s="137"/>
      <c r="BI18" s="137"/>
      <c r="BJ18" s="137"/>
      <c r="BK18" s="137"/>
      <c r="BL18" s="137"/>
      <c r="BM18" s="137"/>
    </row>
    <row r="19" spans="1:65">
      <c r="A19" s="133"/>
      <c r="B19" s="133"/>
      <c r="C19" s="133"/>
      <c r="D19" s="133"/>
      <c r="E19" s="133"/>
      <c r="F19" s="142" t="s">
        <v>815</v>
      </c>
      <c r="G19" s="133"/>
      <c r="H19" s="133"/>
      <c r="I19" s="133"/>
      <c r="J19" s="133"/>
      <c r="K19" s="133"/>
      <c r="L19" s="133"/>
      <c r="M19" s="133"/>
      <c r="N19" s="133"/>
      <c r="O19" s="133"/>
      <c r="P19" s="142" t="s">
        <v>816</v>
      </c>
      <c r="Q19" s="133"/>
      <c r="R19" s="133"/>
      <c r="S19" s="133"/>
      <c r="T19" s="133"/>
      <c r="U19" s="133"/>
      <c r="V19" s="133"/>
      <c r="W19" s="133"/>
      <c r="X19" s="133"/>
      <c r="Y19" s="133"/>
      <c r="Z19" s="133"/>
      <c r="AA19" s="133"/>
      <c r="AB19" s="133"/>
      <c r="AC19" s="133"/>
      <c r="AD19" s="137" t="s">
        <v>817</v>
      </c>
      <c r="AE19" s="386"/>
      <c r="AF19" s="365"/>
      <c r="AG19" s="137"/>
      <c r="AH19" s="137"/>
      <c r="AI19" s="137"/>
      <c r="AJ19" s="137"/>
      <c r="AK19" s="137"/>
      <c r="AL19" s="137"/>
      <c r="AM19" s="137"/>
      <c r="AN19" s="137"/>
      <c r="AO19" s="138"/>
      <c r="AP19" s="137" t="s">
        <v>818</v>
      </c>
      <c r="AQ19" s="137"/>
      <c r="AR19" s="137"/>
      <c r="AS19" s="137"/>
      <c r="AT19" s="137"/>
      <c r="AU19" s="137"/>
      <c r="AV19" s="137"/>
      <c r="AW19" s="137"/>
      <c r="AX19" s="137"/>
      <c r="AY19" s="137"/>
      <c r="AZ19" s="137"/>
      <c r="BA19" s="137"/>
      <c r="BB19" s="137"/>
      <c r="BC19" s="137"/>
      <c r="BD19" s="137"/>
      <c r="BE19" s="137"/>
      <c r="BF19" s="137"/>
      <c r="BG19" s="137"/>
      <c r="BH19" s="137"/>
      <c r="BI19" s="137"/>
      <c r="BJ19" s="137"/>
      <c r="BK19" s="137"/>
      <c r="BL19" s="137"/>
      <c r="BM19" s="137"/>
    </row>
    <row r="20" spans="1:65">
      <c r="A20" s="133"/>
      <c r="B20" s="133"/>
      <c r="C20" s="133"/>
      <c r="D20" s="133"/>
      <c r="E20" s="133"/>
      <c r="F20" s="134" t="s">
        <v>819</v>
      </c>
      <c r="G20" s="135"/>
      <c r="H20" s="136" t="s">
        <v>243</v>
      </c>
      <c r="I20" s="136" t="s">
        <v>266</v>
      </c>
      <c r="J20" s="136" t="s">
        <v>265</v>
      </c>
      <c r="K20" s="148" t="s">
        <v>246</v>
      </c>
      <c r="L20" s="148" t="s">
        <v>247</v>
      </c>
      <c r="M20" s="133"/>
      <c r="N20" s="133"/>
      <c r="O20" s="133"/>
      <c r="P20" s="134" t="s">
        <v>820</v>
      </c>
      <c r="Q20" s="135"/>
      <c r="R20" s="136" t="s">
        <v>243</v>
      </c>
      <c r="S20" s="136" t="s">
        <v>821</v>
      </c>
      <c r="T20" s="136" t="s">
        <v>822</v>
      </c>
      <c r="U20" s="148" t="s">
        <v>246</v>
      </c>
      <c r="V20" s="148" t="s">
        <v>247</v>
      </c>
      <c r="W20" s="133"/>
      <c r="X20" s="133"/>
      <c r="Y20" s="133"/>
      <c r="Z20" s="133"/>
      <c r="AA20" s="133"/>
      <c r="AB20" s="133"/>
      <c r="AC20" s="133"/>
      <c r="AD20" s="95" t="s">
        <v>493</v>
      </c>
      <c r="AE20" s="391"/>
      <c r="AF20" s="137" t="s">
        <v>823</v>
      </c>
      <c r="AG20" s="137"/>
      <c r="AH20" s="137"/>
      <c r="AI20" s="137"/>
      <c r="AJ20" s="137"/>
      <c r="AK20" s="137"/>
      <c r="AL20" s="137"/>
      <c r="AM20" s="137"/>
      <c r="AN20" s="137"/>
      <c r="AO20" s="138"/>
      <c r="AP20" s="137" t="s">
        <v>824</v>
      </c>
      <c r="AQ20" s="137"/>
      <c r="AR20" s="137"/>
      <c r="AS20" s="137"/>
      <c r="AT20" s="137"/>
      <c r="AU20" s="137"/>
      <c r="AV20" s="137"/>
      <c r="AW20" s="137"/>
      <c r="AX20" s="137"/>
      <c r="AY20" s="137"/>
      <c r="AZ20" s="137"/>
      <c r="BA20" s="137"/>
      <c r="BB20" s="137"/>
      <c r="BC20" s="137"/>
      <c r="BD20" s="137"/>
      <c r="BE20" s="137"/>
      <c r="BF20" s="137"/>
      <c r="BG20" s="137"/>
      <c r="BH20" s="137"/>
      <c r="BI20" s="137"/>
      <c r="BJ20" s="137"/>
      <c r="BK20" s="137"/>
      <c r="BL20" s="137"/>
      <c r="BM20" s="137"/>
    </row>
    <row r="21" spans="1:65">
      <c r="A21" s="133"/>
      <c r="B21" s="133"/>
      <c r="C21" s="133"/>
      <c r="D21" s="133"/>
      <c r="E21" s="133"/>
      <c r="F21" s="137" t="s">
        <v>825</v>
      </c>
      <c r="G21" s="138"/>
      <c r="H21" s="99">
        <v>1</v>
      </c>
      <c r="I21" s="362">
        <v>1.3</v>
      </c>
      <c r="J21" s="120">
        <v>20</v>
      </c>
      <c r="K21" s="120"/>
      <c r="L21" s="149"/>
      <c r="M21" s="133"/>
      <c r="N21" s="133"/>
      <c r="O21" s="133"/>
      <c r="P21" s="137" t="s">
        <v>826</v>
      </c>
      <c r="Q21" s="138"/>
      <c r="R21" s="91">
        <v>1</v>
      </c>
      <c r="S21" s="139">
        <v>20</v>
      </c>
      <c r="T21" s="120">
        <v>66</v>
      </c>
      <c r="U21" s="120"/>
      <c r="V21" s="149"/>
      <c r="W21" s="133"/>
      <c r="X21" s="133"/>
      <c r="Y21" s="133"/>
      <c r="Z21" s="133"/>
      <c r="AA21" s="133"/>
      <c r="AB21" s="133"/>
      <c r="AC21" s="133"/>
      <c r="AD21" s="133"/>
      <c r="AE21" s="137"/>
      <c r="AF21" s="365" t="s">
        <v>827</v>
      </c>
      <c r="AG21" s="137"/>
      <c r="AH21" s="137"/>
      <c r="AI21" s="137"/>
      <c r="AJ21" s="137"/>
      <c r="AK21" s="137"/>
      <c r="AL21" s="137"/>
      <c r="AM21" s="137"/>
      <c r="AN21" s="137"/>
      <c r="AO21" s="137"/>
      <c r="AP21" s="137"/>
      <c r="AQ21" s="137"/>
      <c r="AR21" s="137"/>
      <c r="AS21" s="137"/>
      <c r="AT21" s="137"/>
      <c r="AU21" s="137"/>
      <c r="AV21" s="137"/>
      <c r="AW21" s="137"/>
      <c r="AX21" s="137"/>
      <c r="AY21" s="137"/>
      <c r="AZ21" s="137"/>
      <c r="BA21" s="137"/>
      <c r="BB21" s="137"/>
      <c r="BC21" s="137"/>
      <c r="BD21" s="137"/>
      <c r="BE21" s="137"/>
      <c r="BF21" s="137"/>
      <c r="BG21" s="137"/>
      <c r="BH21" s="137"/>
      <c r="BI21" s="137"/>
      <c r="BJ21" s="137"/>
      <c r="BK21" s="137"/>
      <c r="BL21" s="137"/>
      <c r="BM21" s="137"/>
    </row>
    <row r="22" spans="1:65">
      <c r="A22" s="133"/>
      <c r="B22" s="133"/>
      <c r="C22" s="133"/>
      <c r="D22" s="133"/>
      <c r="E22" s="133"/>
      <c r="F22" s="137" t="s">
        <v>828</v>
      </c>
      <c r="G22" s="138"/>
      <c r="H22" s="99">
        <v>2</v>
      </c>
      <c r="I22" s="362">
        <v>1.4</v>
      </c>
      <c r="J22" s="120">
        <v>22</v>
      </c>
      <c r="K22" s="150">
        <v>400000</v>
      </c>
      <c r="L22" s="149">
        <v>0.5</v>
      </c>
      <c r="M22" s="133"/>
      <c r="N22" s="133"/>
      <c r="O22" s="133"/>
      <c r="P22" s="137" t="s">
        <v>829</v>
      </c>
      <c r="Q22" s="138"/>
      <c r="R22" s="91">
        <v>2</v>
      </c>
      <c r="S22" s="139">
        <v>40</v>
      </c>
      <c r="T22" s="120">
        <v>133</v>
      </c>
      <c r="U22" s="150">
        <v>2000000</v>
      </c>
      <c r="V22" s="149">
        <v>4</v>
      </c>
      <c r="W22" s="133"/>
      <c r="X22" s="133"/>
      <c r="Y22" s="133"/>
      <c r="Z22" s="133"/>
      <c r="AA22" s="133"/>
      <c r="AB22" s="133"/>
      <c r="AC22" s="133"/>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7"/>
      <c r="BH22" s="137"/>
      <c r="BI22" s="137"/>
      <c r="BJ22" s="137"/>
      <c r="BK22" s="137"/>
      <c r="BL22" s="137"/>
      <c r="BM22" s="137"/>
    </row>
    <row r="23" spans="1:65">
      <c r="A23" s="133"/>
      <c r="B23" s="133"/>
      <c r="C23" s="133"/>
      <c r="D23" s="133"/>
      <c r="E23" s="133"/>
      <c r="F23" s="140" t="s">
        <v>826</v>
      </c>
      <c r="G23" s="143"/>
      <c r="H23" s="99">
        <v>3</v>
      </c>
      <c r="I23" s="362">
        <v>1.5</v>
      </c>
      <c r="J23" s="120">
        <v>24</v>
      </c>
      <c r="K23" s="150">
        <v>800000</v>
      </c>
      <c r="L23" s="149">
        <v>1</v>
      </c>
      <c r="M23" s="133"/>
      <c r="N23" s="133"/>
      <c r="O23" s="133"/>
      <c r="P23" s="140"/>
      <c r="Q23" s="143"/>
      <c r="R23" s="92">
        <v>3</v>
      </c>
      <c r="S23" s="139">
        <v>60</v>
      </c>
      <c r="T23" s="120">
        <v>199</v>
      </c>
      <c r="U23" s="150">
        <v>3400000</v>
      </c>
      <c r="V23" s="149">
        <v>6</v>
      </c>
      <c r="W23" s="133"/>
      <c r="X23" s="133"/>
      <c r="Y23" s="133"/>
      <c r="Z23" s="133"/>
      <c r="AA23" s="133"/>
      <c r="AB23" s="133"/>
      <c r="AC23" s="133"/>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37"/>
      <c r="BG23" s="137"/>
      <c r="BH23" s="137"/>
      <c r="BI23" s="137"/>
      <c r="BJ23" s="137"/>
      <c r="BK23" s="137"/>
      <c r="BL23" s="137"/>
      <c r="BM23" s="137"/>
    </row>
    <row r="24" spans="1:65">
      <c r="A24" s="133"/>
      <c r="B24" s="133"/>
      <c r="C24" s="133"/>
      <c r="D24" s="133"/>
      <c r="E24" s="133"/>
      <c r="F24" s="134" t="s">
        <v>788</v>
      </c>
      <c r="G24" s="135"/>
      <c r="H24" s="99">
        <v>4</v>
      </c>
      <c r="I24" s="362">
        <v>1.6</v>
      </c>
      <c r="J24" s="120">
        <v>26</v>
      </c>
      <c r="K24" s="150">
        <v>1600000</v>
      </c>
      <c r="L24" s="149">
        <v>2</v>
      </c>
      <c r="M24" s="133"/>
      <c r="N24" s="133"/>
      <c r="O24" s="133"/>
      <c r="P24" s="134" t="s">
        <v>788</v>
      </c>
      <c r="Q24" s="135"/>
      <c r="R24" s="100">
        <v>4</v>
      </c>
      <c r="S24" s="139">
        <v>80</v>
      </c>
      <c r="T24" s="120">
        <v>266</v>
      </c>
      <c r="U24" s="150">
        <v>9000000</v>
      </c>
      <c r="V24" s="149">
        <v>11.25</v>
      </c>
      <c r="W24" s="133"/>
      <c r="X24" s="133"/>
      <c r="Y24" s="133"/>
      <c r="Z24" s="133"/>
      <c r="AA24" s="133"/>
      <c r="AB24" s="133"/>
      <c r="AC24" s="133"/>
      <c r="AD24" s="137" t="s">
        <v>830</v>
      </c>
      <c r="AE24" s="137"/>
      <c r="AF24" s="137" t="s">
        <v>831</v>
      </c>
      <c r="AG24" s="137"/>
      <c r="AH24" s="137"/>
      <c r="AI24" s="137"/>
      <c r="AJ24" s="137"/>
      <c r="AK24" s="137"/>
      <c r="AL24" s="137"/>
      <c r="AM24" s="137"/>
      <c r="AN24" s="137" t="s">
        <v>832</v>
      </c>
      <c r="AO24" s="137"/>
      <c r="AP24" s="137" t="s">
        <v>833</v>
      </c>
      <c r="AQ24" s="137"/>
      <c r="AR24" s="419"/>
      <c r="AS24" s="137"/>
      <c r="AT24" s="137"/>
      <c r="AU24" s="137"/>
      <c r="AV24" s="137"/>
      <c r="AW24" s="137"/>
      <c r="AX24" s="137"/>
      <c r="AY24" s="137"/>
      <c r="AZ24" s="137"/>
      <c r="BA24" s="137"/>
      <c r="BB24" s="137"/>
      <c r="BC24" s="137"/>
      <c r="BD24" s="137"/>
      <c r="BE24" s="137"/>
      <c r="BF24" s="137"/>
      <c r="BG24" s="137"/>
      <c r="BH24" s="137"/>
      <c r="BI24" s="137"/>
      <c r="BJ24" s="137"/>
      <c r="BK24" s="137"/>
      <c r="BL24" s="137"/>
      <c r="BM24" s="137"/>
    </row>
    <row r="25" spans="1:65">
      <c r="A25" s="133"/>
      <c r="B25" s="133"/>
      <c r="C25" s="133"/>
      <c r="D25" s="133"/>
      <c r="E25" s="133"/>
      <c r="F25" s="137" t="s">
        <v>794</v>
      </c>
      <c r="G25" s="138"/>
      <c r="H25" s="90">
        <v>5</v>
      </c>
      <c r="I25" s="362">
        <v>1.7</v>
      </c>
      <c r="J25" s="120">
        <v>28</v>
      </c>
      <c r="K25" s="150">
        <v>2400000</v>
      </c>
      <c r="L25" s="149">
        <v>4</v>
      </c>
      <c r="M25" s="133"/>
      <c r="N25" s="133"/>
      <c r="O25" s="133"/>
      <c r="P25" s="137" t="s">
        <v>794</v>
      </c>
      <c r="Q25" s="138"/>
      <c r="R25" s="122">
        <v>5</v>
      </c>
      <c r="S25" s="139">
        <v>100</v>
      </c>
      <c r="T25" s="120">
        <v>333</v>
      </c>
      <c r="U25" s="150">
        <v>16500000</v>
      </c>
      <c r="V25" s="149">
        <v>16.5</v>
      </c>
      <c r="W25" s="120"/>
      <c r="X25" s="133"/>
      <c r="Y25" s="133"/>
      <c r="Z25" s="133"/>
      <c r="AA25" s="133"/>
      <c r="AB25" s="133"/>
      <c r="AC25" s="133"/>
      <c r="AD25" s="134" t="s">
        <v>834</v>
      </c>
      <c r="AE25" s="432"/>
      <c r="AF25" s="204" t="s">
        <v>243</v>
      </c>
      <c r="AG25" s="136" t="s">
        <v>244</v>
      </c>
      <c r="AH25" s="136" t="s">
        <v>245</v>
      </c>
      <c r="AI25" s="148" t="s">
        <v>250</v>
      </c>
      <c r="AJ25" s="136" t="s">
        <v>835</v>
      </c>
      <c r="AK25" s="136" t="s">
        <v>246</v>
      </c>
      <c r="AL25" s="136" t="s">
        <v>247</v>
      </c>
      <c r="AM25" s="137"/>
      <c r="AN25" s="134" t="s">
        <v>836</v>
      </c>
      <c r="AO25" s="432"/>
      <c r="AP25" s="204" t="s">
        <v>243</v>
      </c>
      <c r="AQ25" s="136" t="s">
        <v>244</v>
      </c>
      <c r="AR25" s="437" t="s">
        <v>837</v>
      </c>
      <c r="AS25" s="136" t="s">
        <v>245</v>
      </c>
      <c r="AT25" s="148" t="s">
        <v>250</v>
      </c>
      <c r="AU25" s="136" t="s">
        <v>838</v>
      </c>
      <c r="AV25" s="136" t="s">
        <v>246</v>
      </c>
      <c r="AW25" s="136" t="s">
        <v>247</v>
      </c>
      <c r="AX25" s="137"/>
      <c r="AY25" s="137"/>
      <c r="AZ25" s="137"/>
      <c r="BA25" s="137"/>
      <c r="BB25" s="137"/>
      <c r="BC25" s="137"/>
      <c r="BD25" s="137"/>
      <c r="BE25" s="137"/>
      <c r="BF25" s="137"/>
      <c r="BG25" s="137"/>
      <c r="BH25" s="137"/>
      <c r="BI25" s="137"/>
      <c r="BJ25" s="137"/>
      <c r="BK25" s="137"/>
      <c r="BL25" s="137"/>
      <c r="BM25" s="137"/>
    </row>
    <row r="26" spans="1:65">
      <c r="A26" s="133"/>
      <c r="B26" s="133"/>
      <c r="C26" s="133"/>
      <c r="D26" s="133"/>
      <c r="E26" s="133"/>
      <c r="F26" s="140" t="s">
        <v>839</v>
      </c>
      <c r="G26" s="141"/>
      <c r="H26" s="94">
        <v>6</v>
      </c>
      <c r="I26" s="362">
        <v>1.8</v>
      </c>
      <c r="J26" s="120">
        <v>30</v>
      </c>
      <c r="K26" s="150">
        <v>7700000</v>
      </c>
      <c r="L26" s="149">
        <v>8</v>
      </c>
      <c r="M26" s="133"/>
      <c r="N26" s="133"/>
      <c r="O26" s="133"/>
      <c r="P26" s="140"/>
      <c r="Q26" s="141"/>
      <c r="R26" s="429"/>
      <c r="S26" s="120"/>
      <c r="T26" s="120"/>
      <c r="U26" s="120"/>
      <c r="V26" s="120"/>
      <c r="W26" s="120"/>
      <c r="X26" s="133"/>
      <c r="Y26" s="133"/>
      <c r="Z26" s="133"/>
      <c r="AA26" s="133"/>
      <c r="AB26" s="133"/>
      <c r="AC26" s="133"/>
      <c r="AD26" s="137" t="s">
        <v>840</v>
      </c>
      <c r="AE26" s="433"/>
      <c r="AF26" s="100">
        <v>1</v>
      </c>
      <c r="AG26" s="120">
        <v>4000</v>
      </c>
      <c r="AH26" s="120">
        <v>140</v>
      </c>
      <c r="AI26" s="120">
        <f>AH26*3</f>
        <v>420</v>
      </c>
      <c r="AJ26" s="120">
        <v>2900</v>
      </c>
      <c r="AK26" s="120"/>
      <c r="AL26" s="120"/>
      <c r="AM26" s="137"/>
      <c r="AN26" s="137" t="s">
        <v>841</v>
      </c>
      <c r="AO26" s="433"/>
      <c r="AP26" s="121">
        <v>1</v>
      </c>
      <c r="AQ26" s="120">
        <v>1700</v>
      </c>
      <c r="AR26" s="413">
        <f>INT(AQ26/16)</f>
        <v>106</v>
      </c>
      <c r="AS26" s="120">
        <v>135</v>
      </c>
      <c r="AT26" s="120">
        <f>AS26*5</f>
        <v>675</v>
      </c>
      <c r="AU26" s="120">
        <v>80</v>
      </c>
      <c r="AV26" s="120"/>
      <c r="AW26" s="120"/>
      <c r="AX26" s="137"/>
      <c r="AY26" s="137"/>
      <c r="AZ26" s="137"/>
      <c r="BA26" s="137"/>
      <c r="BB26" s="137"/>
      <c r="BC26" s="137"/>
      <c r="BD26" s="137"/>
      <c r="BE26" s="137"/>
      <c r="BF26" s="137"/>
      <c r="BG26" s="137"/>
      <c r="BH26" s="137"/>
      <c r="BI26" s="137"/>
      <c r="BJ26" s="137"/>
      <c r="BK26" s="137"/>
      <c r="BL26" s="137"/>
      <c r="BM26" s="137"/>
    </row>
    <row r="27" spans="1:65">
      <c r="A27" s="133"/>
      <c r="B27" s="133"/>
      <c r="C27" s="133"/>
      <c r="D27" s="133"/>
      <c r="E27" s="133"/>
      <c r="F27" s="134" t="s">
        <v>385</v>
      </c>
      <c r="G27" s="135"/>
      <c r="H27" s="137" t="s">
        <v>842</v>
      </c>
      <c r="I27" s="120"/>
      <c r="J27" s="120"/>
      <c r="K27" s="120"/>
      <c r="L27" s="120"/>
      <c r="M27" s="120"/>
      <c r="N27" s="133"/>
      <c r="O27" s="133"/>
      <c r="P27" s="134" t="s">
        <v>385</v>
      </c>
      <c r="Q27" s="135"/>
      <c r="R27" s="120"/>
      <c r="S27" s="120"/>
      <c r="T27" s="120"/>
      <c r="U27" s="120"/>
      <c r="V27" s="120"/>
      <c r="W27" s="120"/>
      <c r="X27" s="133"/>
      <c r="Y27" s="133"/>
      <c r="Z27" s="133"/>
      <c r="AA27" s="133"/>
      <c r="AB27" s="133"/>
      <c r="AC27" s="133"/>
      <c r="AD27" s="140" t="s">
        <v>843</v>
      </c>
      <c r="AE27" s="434"/>
      <c r="AF27" s="100">
        <v>2</v>
      </c>
      <c r="AG27" s="120">
        <v>4400</v>
      </c>
      <c r="AH27" s="120">
        <v>160</v>
      </c>
      <c r="AI27" s="120">
        <f>AH27*3</f>
        <v>480</v>
      </c>
      <c r="AJ27" s="120">
        <v>3000</v>
      </c>
      <c r="AK27" s="150">
        <v>6000000</v>
      </c>
      <c r="AL27" s="149">
        <v>7.5</v>
      </c>
      <c r="AM27" s="137"/>
      <c r="AN27" s="140" t="s">
        <v>844</v>
      </c>
      <c r="AO27" s="434"/>
      <c r="AP27" s="121">
        <v>2</v>
      </c>
      <c r="AQ27" s="120">
        <v>1800</v>
      </c>
      <c r="AR27" s="120">
        <f t="shared" ref="AR27:AR29" si="4">INT(AQ27/16)</f>
        <v>112</v>
      </c>
      <c r="AS27" s="120">
        <v>150</v>
      </c>
      <c r="AT27" s="120">
        <f t="shared" ref="AT27:AT29" si="5">AS27*5</f>
        <v>750</v>
      </c>
      <c r="AU27" s="120">
        <v>90</v>
      </c>
      <c r="AV27" s="150">
        <v>7600000</v>
      </c>
      <c r="AW27" s="149">
        <v>9.5</v>
      </c>
      <c r="AX27" s="137"/>
      <c r="AY27" s="137"/>
      <c r="AZ27" s="137"/>
      <c r="BA27" s="137"/>
      <c r="BB27" s="137"/>
      <c r="BC27" s="137"/>
      <c r="BD27" s="137"/>
      <c r="BE27" s="137"/>
      <c r="BF27" s="137"/>
      <c r="BG27" s="137"/>
      <c r="BH27" s="137"/>
      <c r="BI27" s="137"/>
      <c r="BJ27" s="137"/>
      <c r="BK27" s="137"/>
      <c r="BL27" s="137"/>
      <c r="BM27" s="137"/>
    </row>
    <row r="28" spans="1:65">
      <c r="A28" s="133"/>
      <c r="B28" s="133"/>
      <c r="C28" s="133"/>
      <c r="D28" s="133"/>
      <c r="E28" s="133"/>
      <c r="F28" s="137" t="s">
        <v>845</v>
      </c>
      <c r="G28" s="138"/>
      <c r="H28" s="137" t="s">
        <v>846</v>
      </c>
      <c r="I28" s="133"/>
      <c r="J28" s="133"/>
      <c r="K28" s="133"/>
      <c r="L28" s="133"/>
      <c r="M28" s="133"/>
      <c r="N28" s="133"/>
      <c r="O28" s="133"/>
      <c r="P28" s="137" t="s">
        <v>845</v>
      </c>
      <c r="Q28" s="138"/>
      <c r="R28" s="137" t="s">
        <v>847</v>
      </c>
      <c r="S28" s="133"/>
      <c r="T28" s="133"/>
      <c r="U28" s="133"/>
      <c r="V28" s="133"/>
      <c r="W28" s="133"/>
      <c r="X28" s="133"/>
      <c r="Y28" s="133"/>
      <c r="Z28" s="133"/>
      <c r="AA28" s="133"/>
      <c r="AB28" s="133"/>
      <c r="AC28" s="133"/>
      <c r="AD28" s="134" t="s">
        <v>780</v>
      </c>
      <c r="AE28" s="432"/>
      <c r="AF28" s="100">
        <v>3</v>
      </c>
      <c r="AG28" s="120">
        <v>4800</v>
      </c>
      <c r="AH28" s="120">
        <v>180</v>
      </c>
      <c r="AI28" s="120">
        <f>AH28*3</f>
        <v>540</v>
      </c>
      <c r="AJ28" s="120">
        <v>3100</v>
      </c>
      <c r="AK28" s="150">
        <v>8200000</v>
      </c>
      <c r="AL28" s="149">
        <v>10.5</v>
      </c>
      <c r="AM28" s="137"/>
      <c r="AN28" s="134" t="s">
        <v>848</v>
      </c>
      <c r="AO28" s="432"/>
      <c r="AP28" s="121">
        <v>3</v>
      </c>
      <c r="AQ28" s="120">
        <v>1900</v>
      </c>
      <c r="AR28" s="120">
        <f t="shared" si="4"/>
        <v>118</v>
      </c>
      <c r="AS28" s="120">
        <v>165</v>
      </c>
      <c r="AT28" s="120">
        <f t="shared" si="5"/>
        <v>825</v>
      </c>
      <c r="AU28" s="120">
        <v>105</v>
      </c>
      <c r="AV28" s="150">
        <v>10500000</v>
      </c>
      <c r="AW28" s="149">
        <v>13.5</v>
      </c>
      <c r="AX28" s="137"/>
      <c r="AY28" s="137"/>
      <c r="AZ28" s="137"/>
      <c r="BA28" s="137"/>
      <c r="BB28" s="137"/>
      <c r="BC28" s="137"/>
      <c r="BD28" s="137"/>
      <c r="BE28" s="137"/>
      <c r="BF28" s="137"/>
      <c r="BG28" s="137"/>
      <c r="BH28" s="137"/>
      <c r="BI28" s="137"/>
      <c r="BJ28" s="137"/>
      <c r="BK28" s="137"/>
      <c r="BL28" s="137"/>
      <c r="BM28" s="137"/>
    </row>
    <row r="29" spans="1:65">
      <c r="A29" s="133"/>
      <c r="B29" s="133"/>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7" t="s">
        <v>366</v>
      </c>
      <c r="AE29" s="138"/>
      <c r="AF29" s="100">
        <v>4</v>
      </c>
      <c r="AG29" s="120">
        <v>5200</v>
      </c>
      <c r="AH29" s="120">
        <v>200</v>
      </c>
      <c r="AI29" s="120">
        <f>AH29*3</f>
        <v>600</v>
      </c>
      <c r="AJ29" s="120">
        <v>3200</v>
      </c>
      <c r="AK29" s="150">
        <v>10500000</v>
      </c>
      <c r="AL29" s="149">
        <v>12</v>
      </c>
      <c r="AM29" s="137"/>
      <c r="AN29" s="137" t="s">
        <v>849</v>
      </c>
      <c r="AO29" s="138"/>
      <c r="AP29" s="121">
        <v>4</v>
      </c>
      <c r="AQ29" s="120">
        <v>2000</v>
      </c>
      <c r="AR29" s="120">
        <f t="shared" si="4"/>
        <v>125</v>
      </c>
      <c r="AS29" s="120">
        <v>180</v>
      </c>
      <c r="AT29" s="120">
        <f t="shared" si="5"/>
        <v>900</v>
      </c>
      <c r="AU29" s="120">
        <v>120</v>
      </c>
      <c r="AV29" s="150">
        <v>13300000</v>
      </c>
      <c r="AW29" s="149">
        <v>15</v>
      </c>
      <c r="AX29" s="137"/>
      <c r="AY29" s="137"/>
      <c r="AZ29" s="137"/>
      <c r="BA29" s="137"/>
      <c r="BB29" s="137"/>
      <c r="BC29" s="137"/>
      <c r="BD29" s="137"/>
      <c r="BE29" s="137"/>
      <c r="BF29" s="137"/>
      <c r="BG29" s="137"/>
      <c r="BH29" s="137"/>
      <c r="BI29" s="137"/>
      <c r="BJ29" s="137"/>
      <c r="BK29" s="137"/>
      <c r="BL29" s="137"/>
      <c r="BM29" s="137"/>
    </row>
    <row r="30" spans="1:65">
      <c r="A30" s="133"/>
      <c r="B30" s="133"/>
      <c r="C30" s="133"/>
      <c r="D30" s="133"/>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3"/>
      <c r="AC30" s="133"/>
      <c r="AD30" s="95" t="s">
        <v>850</v>
      </c>
      <c r="AE30" s="137"/>
      <c r="AF30" s="365" t="s">
        <v>851</v>
      </c>
      <c r="AG30" s="137"/>
      <c r="AH30" s="137"/>
      <c r="AI30" s="137"/>
      <c r="AJ30" s="137"/>
      <c r="AK30" s="137"/>
      <c r="AL30" s="137"/>
      <c r="AM30" s="137"/>
      <c r="AN30" s="137" t="s">
        <v>852</v>
      </c>
      <c r="AO30" s="138"/>
      <c r="AP30" s="137" t="s">
        <v>853</v>
      </c>
      <c r="AQ30" s="137"/>
      <c r="AR30" s="137"/>
      <c r="AS30" s="137"/>
      <c r="AT30" s="137"/>
      <c r="AU30" s="137"/>
      <c r="AV30" s="137"/>
      <c r="AW30" s="137"/>
      <c r="AX30" s="137"/>
      <c r="AY30" s="137"/>
      <c r="AZ30" s="137"/>
      <c r="BA30" s="137"/>
      <c r="BB30" s="137"/>
      <c r="BC30" s="137"/>
      <c r="BD30" s="137"/>
      <c r="BE30" s="137"/>
      <c r="BF30" s="137"/>
      <c r="BG30" s="137"/>
      <c r="BH30" s="137"/>
      <c r="BI30" s="137"/>
      <c r="BJ30" s="137"/>
      <c r="BK30" s="137"/>
      <c r="BL30" s="137"/>
      <c r="BM30" s="137"/>
    </row>
    <row r="31" spans="1:65">
      <c r="A31" s="133"/>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95" t="s">
        <v>786</v>
      </c>
      <c r="AE31" s="137"/>
      <c r="AF31" s="365" t="s">
        <v>854</v>
      </c>
      <c r="AG31" s="137"/>
      <c r="AH31" s="137"/>
      <c r="AI31" s="137"/>
      <c r="AJ31" s="137"/>
      <c r="AK31" s="137"/>
      <c r="AL31" s="137"/>
      <c r="AM31" s="137"/>
      <c r="AN31" s="95" t="s">
        <v>855</v>
      </c>
      <c r="AO31" s="138"/>
      <c r="AP31" s="137" t="s">
        <v>856</v>
      </c>
      <c r="AQ31" s="137"/>
      <c r="AR31" s="137"/>
      <c r="AS31" s="137"/>
      <c r="AT31" s="137"/>
      <c r="AU31" s="137"/>
      <c r="AV31" s="137"/>
      <c r="AW31" s="137"/>
      <c r="AX31" s="137"/>
      <c r="AY31" s="137"/>
      <c r="AZ31" s="137"/>
      <c r="BA31" s="137"/>
      <c r="BB31" s="137"/>
      <c r="BC31" s="137"/>
      <c r="BD31" s="137"/>
      <c r="BE31" s="137"/>
      <c r="BF31" s="137"/>
      <c r="BG31" s="137"/>
      <c r="BH31" s="137"/>
      <c r="BI31" s="137"/>
      <c r="BJ31" s="137"/>
      <c r="BK31" s="137"/>
      <c r="BL31" s="137"/>
      <c r="BM31" s="137"/>
    </row>
    <row r="32" spans="1:65">
      <c r="A32" s="133"/>
      <c r="B32" s="133"/>
      <c r="C32" s="133"/>
      <c r="D32" s="133"/>
      <c r="E32" s="133"/>
      <c r="F32" s="142" t="s">
        <v>857</v>
      </c>
      <c r="G32" s="133"/>
      <c r="H32" s="133"/>
      <c r="I32" s="133"/>
      <c r="J32" s="133"/>
      <c r="K32" s="133"/>
      <c r="L32" s="133"/>
      <c r="M32" s="133"/>
      <c r="N32" s="133"/>
      <c r="O32" s="133"/>
      <c r="P32" s="142" t="s">
        <v>858</v>
      </c>
      <c r="Q32" s="133"/>
      <c r="R32" s="133"/>
      <c r="S32" s="133"/>
      <c r="T32" s="133"/>
      <c r="U32" s="133"/>
      <c r="V32" s="133"/>
      <c r="W32" s="133"/>
      <c r="X32" s="133"/>
      <c r="Y32" s="133"/>
      <c r="Z32" s="133"/>
      <c r="AA32" s="133"/>
      <c r="AB32" s="133"/>
      <c r="AC32" s="133"/>
      <c r="AD32" s="137"/>
      <c r="AE32" s="137"/>
      <c r="AF32" s="365" t="s">
        <v>859</v>
      </c>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7"/>
    </row>
    <row r="33" spans="1:65">
      <c r="A33" s="133"/>
      <c r="B33" s="133"/>
      <c r="C33" s="133"/>
      <c r="D33" s="133"/>
      <c r="E33" s="133"/>
      <c r="F33" s="134" t="s">
        <v>860</v>
      </c>
      <c r="G33" s="135"/>
      <c r="H33" s="136" t="s">
        <v>243</v>
      </c>
      <c r="I33" s="136" t="s">
        <v>861</v>
      </c>
      <c r="J33" s="148" t="s">
        <v>246</v>
      </c>
      <c r="K33" s="148" t="s">
        <v>247</v>
      </c>
      <c r="L33" s="133"/>
      <c r="M33" s="133"/>
      <c r="N33" s="133"/>
      <c r="O33" s="133"/>
      <c r="P33" s="134" t="s">
        <v>862</v>
      </c>
      <c r="Q33" s="135"/>
      <c r="R33" s="136" t="s">
        <v>243</v>
      </c>
      <c r="S33" s="136" t="s">
        <v>863</v>
      </c>
      <c r="T33" s="148" t="s">
        <v>246</v>
      </c>
      <c r="U33" s="148" t="s">
        <v>247</v>
      </c>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7"/>
      <c r="BD33" s="137"/>
      <c r="BE33" s="137"/>
      <c r="BF33" s="137"/>
      <c r="BG33" s="137"/>
      <c r="BH33" s="137"/>
      <c r="BI33" s="137"/>
      <c r="BJ33" s="137"/>
      <c r="BK33" s="137"/>
      <c r="BL33" s="137"/>
      <c r="BM33" s="137"/>
    </row>
    <row r="34" spans="1:65">
      <c r="A34" s="133"/>
      <c r="B34" s="133"/>
      <c r="C34" s="133"/>
      <c r="D34" s="133"/>
      <c r="E34" s="133"/>
      <c r="F34" s="137" t="s">
        <v>864</v>
      </c>
      <c r="G34" s="138"/>
      <c r="H34" s="91">
        <v>1</v>
      </c>
      <c r="I34" s="139">
        <v>2.5</v>
      </c>
      <c r="J34" s="120"/>
      <c r="K34" s="149"/>
      <c r="L34" s="133"/>
      <c r="M34" s="133"/>
      <c r="N34" s="133"/>
      <c r="O34" s="133"/>
      <c r="P34" s="137" t="s">
        <v>865</v>
      </c>
      <c r="Q34" s="138"/>
      <c r="R34" s="92">
        <v>1</v>
      </c>
      <c r="S34" s="120">
        <v>22</v>
      </c>
      <c r="T34" s="120"/>
      <c r="U34" s="149"/>
      <c r="V34" s="133"/>
      <c r="W34" s="133"/>
      <c r="X34" s="133"/>
      <c r="Y34" s="133"/>
      <c r="Z34" s="133"/>
      <c r="AA34" s="133"/>
      <c r="AB34" s="133"/>
      <c r="AC34" s="133"/>
      <c r="AD34" s="137" t="s">
        <v>866</v>
      </c>
      <c r="AE34" s="137"/>
      <c r="AF34" s="137"/>
      <c r="AG34" s="137"/>
      <c r="AH34" s="419"/>
      <c r="AI34" s="137"/>
      <c r="AJ34" s="137"/>
      <c r="AK34" s="137"/>
      <c r="AL34" s="137"/>
      <c r="AM34" s="137"/>
      <c r="AN34" s="133"/>
      <c r="AO34" s="133"/>
      <c r="AP34" s="133"/>
      <c r="AQ34" s="133"/>
      <c r="AR34" s="133"/>
      <c r="AS34" s="133"/>
      <c r="AT34" s="133"/>
      <c r="AU34" s="133"/>
      <c r="AV34" s="133"/>
      <c r="AW34" s="133"/>
      <c r="AX34" s="133"/>
      <c r="AY34" s="133"/>
      <c r="AZ34" s="133"/>
      <c r="BA34" s="133"/>
      <c r="BB34" s="133"/>
      <c r="BC34" s="137"/>
      <c r="BD34" s="137"/>
      <c r="BE34" s="137"/>
      <c r="BF34" s="137"/>
      <c r="BG34" s="137"/>
      <c r="BH34" s="137"/>
      <c r="BI34" s="137"/>
      <c r="BJ34" s="137"/>
      <c r="BK34" s="137"/>
      <c r="BL34" s="137"/>
      <c r="BM34" s="137"/>
    </row>
    <row r="35" spans="1:65">
      <c r="A35" s="133"/>
      <c r="B35" s="133"/>
      <c r="C35" s="133"/>
      <c r="D35" s="133"/>
      <c r="E35" s="133"/>
      <c r="F35" s="137"/>
      <c r="G35" s="138"/>
      <c r="H35" s="91">
        <v>2</v>
      </c>
      <c r="I35" s="139">
        <v>3</v>
      </c>
      <c r="J35" s="150">
        <v>1200000</v>
      </c>
      <c r="K35" s="149">
        <v>1.5</v>
      </c>
      <c r="L35" s="133"/>
      <c r="M35" s="133"/>
      <c r="N35" s="133"/>
      <c r="O35" s="133"/>
      <c r="P35" s="137" t="s">
        <v>867</v>
      </c>
      <c r="Q35" s="138"/>
      <c r="R35" s="92">
        <v>2</v>
      </c>
      <c r="S35" s="120">
        <v>24</v>
      </c>
      <c r="T35" s="150">
        <v>2100000</v>
      </c>
      <c r="U35" s="149">
        <v>1.75</v>
      </c>
      <c r="V35" s="133"/>
      <c r="W35" s="133"/>
      <c r="X35" s="133"/>
      <c r="Y35" s="133"/>
      <c r="Z35" s="133"/>
      <c r="AA35" s="133"/>
      <c r="AB35" s="133"/>
      <c r="AC35" s="133"/>
      <c r="AD35" s="134" t="s">
        <v>834</v>
      </c>
      <c r="AE35" s="432"/>
      <c r="AF35" s="204" t="s">
        <v>243</v>
      </c>
      <c r="AG35" s="136" t="s">
        <v>244</v>
      </c>
      <c r="AH35" s="136" t="s">
        <v>245</v>
      </c>
      <c r="AI35" s="148" t="s">
        <v>250</v>
      </c>
      <c r="AJ35" s="136" t="s">
        <v>246</v>
      </c>
      <c r="AK35" s="136" t="s">
        <v>247</v>
      </c>
      <c r="AL35" s="137"/>
      <c r="AM35" s="137"/>
      <c r="AN35" s="133"/>
      <c r="AO35" s="133"/>
      <c r="AP35" s="133"/>
      <c r="AQ35" s="133"/>
      <c r="AR35" s="133"/>
      <c r="AS35" s="133"/>
      <c r="AT35" s="133"/>
      <c r="AU35" s="133"/>
      <c r="AV35" s="133"/>
      <c r="AW35" s="133"/>
      <c r="AX35" s="133"/>
      <c r="AY35" s="133"/>
      <c r="AZ35" s="133"/>
      <c r="BA35" s="133"/>
      <c r="BB35" s="133"/>
      <c r="BC35" s="137"/>
      <c r="BD35" s="137"/>
      <c r="BE35" s="137"/>
      <c r="BF35" s="137"/>
      <c r="BG35" s="137"/>
      <c r="BH35" s="137"/>
      <c r="BI35" s="137"/>
      <c r="BJ35" s="137"/>
      <c r="BK35" s="137"/>
      <c r="BL35" s="137"/>
      <c r="BM35" s="137"/>
    </row>
    <row r="36" spans="1:65">
      <c r="A36" s="133"/>
      <c r="B36" s="133"/>
      <c r="C36" s="133"/>
      <c r="D36" s="133"/>
      <c r="E36" s="133"/>
      <c r="F36" s="134" t="s">
        <v>788</v>
      </c>
      <c r="G36" s="135"/>
      <c r="H36" s="92">
        <v>3</v>
      </c>
      <c r="I36" s="139">
        <v>3.5</v>
      </c>
      <c r="J36" s="150">
        <v>1700000</v>
      </c>
      <c r="K36" s="149">
        <v>2.5833333333333299</v>
      </c>
      <c r="L36" s="133"/>
      <c r="M36" s="133"/>
      <c r="N36" s="133"/>
      <c r="O36" s="133"/>
      <c r="P36" s="140" t="s">
        <v>868</v>
      </c>
      <c r="Q36" s="143"/>
      <c r="R36" s="92">
        <v>3</v>
      </c>
      <c r="S36" s="120">
        <v>26</v>
      </c>
      <c r="T36" s="150">
        <v>3400000</v>
      </c>
      <c r="U36" s="149">
        <v>3.5</v>
      </c>
      <c r="V36" s="133"/>
      <c r="W36" s="133"/>
      <c r="X36" s="133"/>
      <c r="Y36" s="133"/>
      <c r="Z36" s="133"/>
      <c r="AA36" s="133"/>
      <c r="AB36" s="133"/>
      <c r="AC36" s="133"/>
      <c r="AD36" s="137" t="s">
        <v>869</v>
      </c>
      <c r="AE36" s="433"/>
      <c r="AF36" s="122">
        <v>1</v>
      </c>
      <c r="AG36" s="120">
        <v>4600</v>
      </c>
      <c r="AH36" s="120">
        <v>430</v>
      </c>
      <c r="AI36" s="120">
        <f>AH36*1.7</f>
        <v>731</v>
      </c>
      <c r="AJ36" s="120"/>
      <c r="AK36" s="120"/>
      <c r="AL36" s="137"/>
      <c r="AM36" s="137"/>
      <c r="AN36" s="133"/>
      <c r="AO36" s="133"/>
      <c r="AP36" s="133"/>
      <c r="AQ36" s="133"/>
      <c r="AR36" s="133"/>
      <c r="AS36" s="133"/>
      <c r="AT36" s="133"/>
      <c r="AU36" s="133"/>
      <c r="AV36" s="133"/>
      <c r="AW36" s="133"/>
      <c r="AX36" s="133"/>
      <c r="AY36" s="133"/>
      <c r="AZ36" s="133"/>
      <c r="BA36" s="133"/>
      <c r="BB36" s="133"/>
      <c r="BC36" s="137"/>
      <c r="BD36" s="137"/>
      <c r="BE36" s="137"/>
      <c r="BF36" s="137"/>
      <c r="BG36" s="137"/>
      <c r="BH36" s="137"/>
      <c r="BI36" s="137"/>
      <c r="BJ36" s="137"/>
      <c r="BK36" s="137"/>
      <c r="BL36" s="137"/>
      <c r="BM36" s="137"/>
    </row>
    <row r="37" spans="1:65">
      <c r="A37" s="133"/>
      <c r="B37" s="133"/>
      <c r="C37" s="133"/>
      <c r="D37" s="133"/>
      <c r="E37" s="133"/>
      <c r="F37" s="137" t="s">
        <v>794</v>
      </c>
      <c r="G37" s="138"/>
      <c r="H37" s="92">
        <v>4</v>
      </c>
      <c r="I37" s="139">
        <v>4</v>
      </c>
      <c r="J37" s="150">
        <v>3000000</v>
      </c>
      <c r="K37" s="149">
        <v>4.25</v>
      </c>
      <c r="L37" s="133"/>
      <c r="M37" s="133"/>
      <c r="N37" s="133"/>
      <c r="O37" s="133"/>
      <c r="P37" s="134" t="s">
        <v>788</v>
      </c>
      <c r="Q37" s="135"/>
      <c r="R37" s="93">
        <v>4</v>
      </c>
      <c r="S37" s="120">
        <v>28</v>
      </c>
      <c r="T37" s="150">
        <v>4200000</v>
      </c>
      <c r="U37" s="149">
        <v>4</v>
      </c>
      <c r="V37" s="133"/>
      <c r="W37" s="133"/>
      <c r="X37" s="133"/>
      <c r="Y37" s="133"/>
      <c r="Z37" s="133"/>
      <c r="AA37" s="133"/>
      <c r="AB37" s="133"/>
      <c r="AC37" s="133"/>
      <c r="AD37" s="140" t="s">
        <v>870</v>
      </c>
      <c r="AE37" s="434"/>
      <c r="AF37" s="122">
        <v>2</v>
      </c>
      <c r="AG37" s="120">
        <v>4900</v>
      </c>
      <c r="AH37" s="120">
        <v>470</v>
      </c>
      <c r="AI37" s="120">
        <f t="shared" ref="AI37:AI39" si="6">AH37*1.7</f>
        <v>799</v>
      </c>
      <c r="AJ37" s="150">
        <v>8000000</v>
      </c>
      <c r="AK37" s="149">
        <v>10</v>
      </c>
      <c r="AL37" s="137"/>
      <c r="AM37" s="137"/>
      <c r="AN37" s="133"/>
      <c r="AO37" s="133"/>
      <c r="AP37" s="133"/>
      <c r="AQ37" s="133"/>
      <c r="AR37" s="133"/>
      <c r="AS37" s="133"/>
      <c r="AT37" s="133"/>
      <c r="AU37" s="133"/>
      <c r="AV37" s="133"/>
      <c r="AW37" s="133"/>
      <c r="AX37" s="133"/>
      <c r="AY37" s="133"/>
      <c r="AZ37" s="133"/>
      <c r="BA37" s="133"/>
      <c r="BB37" s="133"/>
      <c r="BC37" s="137"/>
      <c r="BD37" s="137"/>
      <c r="BE37" s="137"/>
      <c r="BF37" s="137"/>
      <c r="BG37" s="137"/>
      <c r="BH37" s="137"/>
      <c r="BI37" s="137"/>
      <c r="BJ37" s="137"/>
      <c r="BK37" s="137"/>
      <c r="BL37" s="137"/>
      <c r="BM37" s="137"/>
    </row>
    <row r="38" spans="1:65">
      <c r="A38" s="133"/>
      <c r="B38" s="133"/>
      <c r="C38" s="133"/>
      <c r="D38" s="133"/>
      <c r="E38" s="133"/>
      <c r="F38" s="140"/>
      <c r="G38" s="141"/>
      <c r="H38" s="92">
        <v>5</v>
      </c>
      <c r="I38" s="139">
        <v>4.5</v>
      </c>
      <c r="J38" s="150">
        <v>4200000</v>
      </c>
      <c r="K38" s="149">
        <v>6</v>
      </c>
      <c r="L38" s="133"/>
      <c r="M38" s="133"/>
      <c r="N38" s="133"/>
      <c r="O38" s="133"/>
      <c r="P38" s="137" t="s">
        <v>794</v>
      </c>
      <c r="Q38" s="138"/>
      <c r="R38" s="93">
        <v>5</v>
      </c>
      <c r="S38" s="120">
        <v>30</v>
      </c>
      <c r="T38" s="150">
        <v>5600000</v>
      </c>
      <c r="U38" s="149">
        <v>7</v>
      </c>
      <c r="V38" s="133"/>
      <c r="W38" s="133"/>
      <c r="X38" s="133"/>
      <c r="Y38" s="133"/>
      <c r="Z38" s="133"/>
      <c r="AA38" s="133"/>
      <c r="AB38" s="133"/>
      <c r="AC38" s="133"/>
      <c r="AD38" s="134" t="s">
        <v>871</v>
      </c>
      <c r="AE38" s="432"/>
      <c r="AF38" s="122">
        <v>3</v>
      </c>
      <c r="AG38" s="120">
        <v>5200</v>
      </c>
      <c r="AH38" s="120">
        <v>510</v>
      </c>
      <c r="AI38" s="120">
        <f t="shared" si="6"/>
        <v>867</v>
      </c>
      <c r="AJ38" s="150">
        <v>11100000</v>
      </c>
      <c r="AK38" s="149">
        <v>14</v>
      </c>
      <c r="AL38" s="137"/>
      <c r="AM38" s="137"/>
      <c r="AN38" s="133"/>
      <c r="AO38" s="133"/>
      <c r="AP38" s="133"/>
      <c r="AQ38" s="133"/>
      <c r="AR38" s="133"/>
      <c r="AS38" s="133"/>
      <c r="AT38" s="133"/>
      <c r="AU38" s="133"/>
      <c r="AV38" s="133"/>
      <c r="AW38" s="133"/>
      <c r="AX38" s="133"/>
      <c r="AY38" s="133"/>
      <c r="AZ38" s="133"/>
      <c r="BA38" s="133"/>
      <c r="BB38" s="133"/>
      <c r="BC38" s="137"/>
      <c r="BD38" s="137"/>
      <c r="BE38" s="137"/>
      <c r="BF38" s="137"/>
      <c r="BG38" s="137"/>
      <c r="BH38" s="137"/>
      <c r="BI38" s="137"/>
      <c r="BJ38" s="137"/>
      <c r="BK38" s="137"/>
      <c r="BL38" s="137"/>
      <c r="BM38" s="137"/>
    </row>
    <row r="39" spans="1:65">
      <c r="A39" s="133"/>
      <c r="B39" s="133"/>
      <c r="C39" s="133"/>
      <c r="D39" s="133"/>
      <c r="E39" s="133"/>
      <c r="F39" s="134" t="s">
        <v>305</v>
      </c>
      <c r="G39" s="135"/>
      <c r="H39" s="93">
        <v>6</v>
      </c>
      <c r="I39" s="139">
        <v>5</v>
      </c>
      <c r="J39" s="150">
        <v>6000000</v>
      </c>
      <c r="K39" s="149">
        <v>7.75</v>
      </c>
      <c r="L39" s="133"/>
      <c r="M39" s="133"/>
      <c r="N39" s="133"/>
      <c r="O39" s="133"/>
      <c r="P39" s="140"/>
      <c r="Q39" s="141"/>
      <c r="R39" s="100">
        <v>6</v>
      </c>
      <c r="S39" s="120">
        <v>34</v>
      </c>
      <c r="T39" s="150">
        <v>9000000</v>
      </c>
      <c r="U39" s="149">
        <v>11.25</v>
      </c>
      <c r="V39" s="133"/>
      <c r="W39" s="133"/>
      <c r="X39" s="133"/>
      <c r="Y39" s="133"/>
      <c r="Z39" s="133"/>
      <c r="AA39" s="133"/>
      <c r="AB39" s="133"/>
      <c r="AC39" s="133"/>
      <c r="AD39" s="137" t="s">
        <v>872</v>
      </c>
      <c r="AE39" s="138"/>
      <c r="AF39" s="122">
        <v>4</v>
      </c>
      <c r="AG39" s="120">
        <v>5500</v>
      </c>
      <c r="AH39" s="120">
        <v>550</v>
      </c>
      <c r="AI39" s="120">
        <f t="shared" si="6"/>
        <v>935</v>
      </c>
      <c r="AJ39" s="150">
        <v>14000000</v>
      </c>
      <c r="AK39" s="149">
        <v>16</v>
      </c>
      <c r="AL39" s="137"/>
      <c r="AM39" s="137"/>
      <c r="AN39" s="133"/>
      <c r="AO39" s="133"/>
      <c r="AP39" s="133"/>
      <c r="AQ39" s="133"/>
      <c r="AR39" s="133"/>
      <c r="AS39" s="133"/>
      <c r="AT39" s="133"/>
      <c r="AU39" s="133"/>
      <c r="AV39" s="133"/>
      <c r="AW39" s="133"/>
      <c r="AX39" s="133"/>
      <c r="AY39" s="133"/>
      <c r="AZ39" s="133"/>
      <c r="BA39" s="133"/>
      <c r="BB39" s="133"/>
      <c r="BC39" s="137"/>
      <c r="BD39" s="137"/>
      <c r="BE39" s="137"/>
      <c r="BF39" s="137"/>
      <c r="BG39" s="137"/>
      <c r="BH39" s="137"/>
      <c r="BI39" s="137"/>
      <c r="BJ39" s="137"/>
      <c r="BK39" s="137"/>
      <c r="BL39" s="137"/>
      <c r="BM39" s="137"/>
    </row>
    <row r="40" spans="1:65">
      <c r="A40" s="133"/>
      <c r="B40" s="133"/>
      <c r="C40" s="133"/>
      <c r="D40" s="133"/>
      <c r="E40" s="133"/>
      <c r="F40" s="137" t="s">
        <v>803</v>
      </c>
      <c r="G40" s="138"/>
      <c r="H40" s="94">
        <v>7</v>
      </c>
      <c r="I40" s="139">
        <v>5.5</v>
      </c>
      <c r="J40" s="150">
        <v>7700000</v>
      </c>
      <c r="K40" s="149">
        <v>8.25</v>
      </c>
      <c r="L40" s="133"/>
      <c r="M40" s="133"/>
      <c r="N40" s="133"/>
      <c r="O40" s="133"/>
      <c r="P40" s="134" t="s">
        <v>490</v>
      </c>
      <c r="Q40" s="135"/>
      <c r="R40" s="121">
        <v>7</v>
      </c>
      <c r="S40" s="120">
        <v>38</v>
      </c>
      <c r="T40" s="150">
        <v>15500000</v>
      </c>
      <c r="U40" s="149">
        <v>15.75</v>
      </c>
      <c r="V40" s="133"/>
      <c r="W40" s="133"/>
      <c r="X40" s="133"/>
      <c r="Y40" s="133"/>
      <c r="Z40" s="133"/>
      <c r="AA40" s="133"/>
      <c r="AB40" s="133"/>
      <c r="AC40" s="133"/>
      <c r="AD40" s="95" t="s">
        <v>855</v>
      </c>
      <c r="AE40" s="137"/>
      <c r="AF40" s="365"/>
      <c r="AG40" s="137"/>
      <c r="AH40" s="137"/>
      <c r="AI40" s="137"/>
      <c r="AJ40" s="137"/>
      <c r="AK40" s="137"/>
      <c r="AL40" s="137"/>
      <c r="AM40" s="137"/>
      <c r="AN40" s="133"/>
      <c r="AO40" s="133"/>
      <c r="AP40" s="133"/>
      <c r="AQ40" s="133"/>
      <c r="AR40" s="133"/>
      <c r="AS40" s="133"/>
      <c r="AT40" s="133"/>
      <c r="AU40" s="133"/>
      <c r="AV40" s="133"/>
      <c r="AW40" s="133"/>
      <c r="AX40" s="133"/>
      <c r="AY40" s="133"/>
      <c r="AZ40" s="133"/>
      <c r="BA40" s="133"/>
      <c r="BB40" s="133"/>
      <c r="BC40" s="137"/>
      <c r="BD40" s="137"/>
      <c r="BE40" s="137"/>
      <c r="BF40" s="137"/>
      <c r="BG40" s="137"/>
      <c r="BH40" s="137"/>
      <c r="BI40" s="137"/>
      <c r="BJ40" s="137"/>
      <c r="BK40" s="137"/>
      <c r="BL40" s="137"/>
      <c r="BM40" s="137"/>
    </row>
    <row r="41" spans="1:65">
      <c r="A41" s="133"/>
      <c r="B41" s="133"/>
      <c r="C41" s="133"/>
      <c r="D41" s="133"/>
      <c r="E41" s="133"/>
      <c r="F41" s="133"/>
      <c r="G41" s="133"/>
      <c r="H41" s="365" t="s">
        <v>873</v>
      </c>
      <c r="I41" s="133"/>
      <c r="J41" s="133"/>
      <c r="K41" s="133"/>
      <c r="L41" s="133"/>
      <c r="M41" s="133"/>
      <c r="N41" s="133"/>
      <c r="O41" s="133"/>
      <c r="P41" s="137" t="s">
        <v>874</v>
      </c>
      <c r="Q41" s="138"/>
      <c r="R41" s="137"/>
      <c r="S41" s="133"/>
      <c r="T41" s="133"/>
      <c r="U41" s="133"/>
      <c r="V41" s="133"/>
      <c r="W41" s="133"/>
      <c r="X41" s="133"/>
      <c r="Y41" s="133"/>
      <c r="Z41" s="133"/>
      <c r="AA41" s="133"/>
      <c r="AB41" s="133"/>
      <c r="AC41" s="133"/>
      <c r="AD41" s="137"/>
      <c r="AE41" s="137"/>
      <c r="AF41" s="137"/>
      <c r="AG41" s="137"/>
      <c r="AH41" s="137"/>
      <c r="AI41" s="137"/>
      <c r="AJ41" s="137"/>
      <c r="AK41" s="137"/>
      <c r="AL41" s="137"/>
      <c r="AM41" s="137"/>
      <c r="AN41" s="133"/>
      <c r="AO41" s="133"/>
      <c r="AP41" s="133"/>
      <c r="AQ41" s="133"/>
      <c r="AR41" s="133"/>
      <c r="AS41" s="133"/>
      <c r="AT41" s="133"/>
      <c r="AU41" s="133"/>
      <c r="AV41" s="133"/>
      <c r="AW41" s="133"/>
      <c r="AX41" s="133"/>
      <c r="AY41" s="133"/>
      <c r="AZ41" s="133"/>
      <c r="BA41" s="133"/>
      <c r="BB41" s="133"/>
      <c r="BC41" s="137"/>
      <c r="BD41" s="137"/>
      <c r="BE41" s="137"/>
      <c r="BF41" s="137"/>
      <c r="BG41" s="137"/>
      <c r="BH41" s="137"/>
      <c r="BI41" s="137"/>
      <c r="BJ41" s="137"/>
      <c r="BK41" s="137"/>
      <c r="BL41" s="137"/>
      <c r="BM41" s="137"/>
    </row>
    <row r="42" spans="1:65">
      <c r="A42" s="133"/>
      <c r="B42" s="133"/>
      <c r="C42" s="133"/>
      <c r="D42" s="133"/>
      <c r="E42" s="133"/>
      <c r="F42" s="133"/>
      <c r="G42" s="133"/>
      <c r="H42" s="133"/>
      <c r="I42" s="133"/>
      <c r="J42" s="133"/>
      <c r="K42" s="133"/>
      <c r="L42" s="133"/>
      <c r="M42" s="133"/>
      <c r="N42" s="133"/>
      <c r="O42" s="133"/>
      <c r="P42" s="133"/>
      <c r="Q42" s="133"/>
      <c r="R42" s="137"/>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7"/>
      <c r="BD42" s="137"/>
      <c r="BE42" s="137"/>
      <c r="BF42" s="137"/>
      <c r="BG42" s="137"/>
      <c r="BH42" s="137"/>
      <c r="BI42" s="137"/>
      <c r="BJ42" s="137"/>
      <c r="BK42" s="137"/>
      <c r="BL42" s="137"/>
      <c r="BM42" s="137"/>
    </row>
    <row r="43" spans="1:65">
      <c r="A43" s="133"/>
      <c r="B43" s="133"/>
      <c r="C43" s="133"/>
      <c r="D43" s="133"/>
      <c r="E43" s="133"/>
      <c r="F43" s="133"/>
      <c r="G43" s="133"/>
      <c r="H43" s="133"/>
      <c r="I43" s="133"/>
      <c r="J43" s="133"/>
      <c r="K43" s="133"/>
      <c r="L43" s="133"/>
      <c r="M43" s="133"/>
      <c r="N43" s="133"/>
      <c r="O43" s="133"/>
      <c r="P43" s="133"/>
      <c r="Q43" s="133"/>
      <c r="R43" s="142"/>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7"/>
      <c r="BD43" s="137"/>
      <c r="BE43" s="137"/>
      <c r="BF43" s="137"/>
      <c r="BG43" s="137"/>
      <c r="BH43" s="137"/>
      <c r="BI43" s="137"/>
      <c r="BJ43" s="137"/>
      <c r="BK43" s="137"/>
      <c r="BL43" s="137"/>
      <c r="BM43" s="137"/>
    </row>
    <row r="44" spans="1:65">
      <c r="A44" s="133"/>
      <c r="B44" s="133"/>
      <c r="C44" s="133"/>
      <c r="D44" s="133"/>
      <c r="E44" s="133"/>
      <c r="F44" s="142" t="s">
        <v>875</v>
      </c>
      <c r="G44" s="133"/>
      <c r="H44" s="133"/>
      <c r="I44" s="133"/>
      <c r="J44" s="133"/>
      <c r="K44" s="133"/>
      <c r="L44" s="133"/>
      <c r="M44" s="133"/>
      <c r="N44" s="133"/>
      <c r="O44" s="133"/>
      <c r="P44" s="142" t="s">
        <v>876</v>
      </c>
      <c r="Q44" s="133"/>
      <c r="R44" s="133"/>
      <c r="S44" s="133"/>
      <c r="T44" s="133"/>
      <c r="U44" s="133"/>
      <c r="V44" s="133"/>
      <c r="W44" s="133"/>
      <c r="X44" s="133"/>
      <c r="Y44" s="133"/>
      <c r="Z44" s="133"/>
      <c r="AA44" s="133"/>
      <c r="AB44" s="521" t="s">
        <v>877</v>
      </c>
      <c r="AC44" s="521"/>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7"/>
      <c r="BI44" s="137"/>
      <c r="BJ44" s="137"/>
      <c r="BK44" s="137"/>
      <c r="BL44" s="137"/>
      <c r="BM44" s="137"/>
    </row>
    <row r="45" spans="1:65">
      <c r="A45" s="133"/>
      <c r="B45" s="133"/>
      <c r="C45" s="133"/>
      <c r="D45" s="133"/>
      <c r="E45" s="133"/>
      <c r="F45" s="134" t="s">
        <v>878</v>
      </c>
      <c r="G45" s="135"/>
      <c r="H45" s="136" t="s">
        <v>243</v>
      </c>
      <c r="I45" s="136" t="s">
        <v>879</v>
      </c>
      <c r="J45" s="136" t="s">
        <v>822</v>
      </c>
      <c r="K45" s="136" t="s">
        <v>246</v>
      </c>
      <c r="L45" s="136" t="s">
        <v>247</v>
      </c>
      <c r="M45" s="133"/>
      <c r="N45" s="133"/>
      <c r="O45" s="133"/>
      <c r="P45" s="134" t="s">
        <v>880</v>
      </c>
      <c r="Q45" s="135"/>
      <c r="R45" s="136" t="s">
        <v>243</v>
      </c>
      <c r="S45" s="136" t="s">
        <v>881</v>
      </c>
      <c r="T45" s="148" t="s">
        <v>246</v>
      </c>
      <c r="U45" s="148" t="s">
        <v>247</v>
      </c>
      <c r="V45" s="133"/>
      <c r="W45" s="133"/>
      <c r="X45" s="133"/>
      <c r="Y45" s="133"/>
      <c r="Z45" s="133"/>
      <c r="AA45" s="133"/>
      <c r="AB45" s="532"/>
      <c r="AC45" s="532"/>
      <c r="AD45" s="383" t="s">
        <v>882</v>
      </c>
      <c r="AE45" s="359"/>
      <c r="AF45" s="359"/>
      <c r="AG45" s="359"/>
      <c r="AH45" s="359"/>
      <c r="AI45" s="359"/>
      <c r="AJ45" s="359"/>
      <c r="AK45" s="359"/>
      <c r="AL45" s="359"/>
      <c r="AM45" s="359"/>
      <c r="AN45" s="359"/>
      <c r="AO45" s="359"/>
      <c r="AP45" s="359"/>
      <c r="AQ45" s="359"/>
      <c r="AR45" s="359"/>
      <c r="AS45" s="359"/>
      <c r="AT45" s="359"/>
      <c r="AU45" s="359"/>
      <c r="AV45" s="359"/>
      <c r="AW45" s="359"/>
      <c r="AX45" s="359"/>
      <c r="AY45" s="359"/>
      <c r="AZ45" s="359"/>
      <c r="BA45" s="359"/>
      <c r="BB45" s="359"/>
      <c r="BC45" s="359"/>
      <c r="BD45" s="359"/>
      <c r="BE45" s="359"/>
      <c r="BF45" s="359"/>
      <c r="BG45" s="359"/>
      <c r="BH45" s="137"/>
      <c r="BI45" s="137"/>
      <c r="BJ45" s="137"/>
      <c r="BK45" s="137"/>
      <c r="BL45" s="137"/>
      <c r="BM45" s="137"/>
    </row>
    <row r="46" spans="1:65">
      <c r="A46" s="133"/>
      <c r="B46" s="133"/>
      <c r="C46" s="137"/>
      <c r="D46" s="133"/>
      <c r="E46" s="133"/>
      <c r="F46" s="137" t="s">
        <v>883</v>
      </c>
      <c r="G46" s="138"/>
      <c r="H46" s="93">
        <v>1</v>
      </c>
      <c r="I46" s="428">
        <f>J46*0.25</f>
        <v>3.75</v>
      </c>
      <c r="J46" s="120">
        <v>15</v>
      </c>
      <c r="K46" s="133"/>
      <c r="L46" s="133"/>
      <c r="M46" s="133"/>
      <c r="N46" s="133"/>
      <c r="O46" s="133"/>
      <c r="P46" s="133"/>
      <c r="Q46" s="138"/>
      <c r="R46" s="100">
        <v>1</v>
      </c>
      <c r="S46" s="120">
        <v>72</v>
      </c>
      <c r="T46" s="120"/>
      <c r="U46" s="149"/>
      <c r="V46" s="133"/>
      <c r="W46" s="133"/>
      <c r="X46" s="133"/>
      <c r="Y46" s="133"/>
      <c r="Z46" s="133"/>
      <c r="AA46" s="133"/>
      <c r="AB46" s="137" t="s">
        <v>231</v>
      </c>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7"/>
      <c r="BI46" s="137"/>
      <c r="BJ46" s="137"/>
      <c r="BK46" s="137"/>
      <c r="BL46" s="137"/>
      <c r="BM46" s="137"/>
    </row>
    <row r="47" spans="1:65" ht="14.6">
      <c r="A47" s="133"/>
      <c r="B47" s="133"/>
      <c r="C47" s="137"/>
      <c r="D47" s="133"/>
      <c r="E47" s="133"/>
      <c r="F47" s="137" t="s">
        <v>884</v>
      </c>
      <c r="G47" s="138"/>
      <c r="H47" s="93">
        <v>2</v>
      </c>
      <c r="I47" s="139">
        <f>J47*0.25</f>
        <v>4</v>
      </c>
      <c r="J47" s="120">
        <v>16</v>
      </c>
      <c r="K47" s="150">
        <v>5600000</v>
      </c>
      <c r="L47" s="149">
        <v>5.5</v>
      </c>
      <c r="M47" s="133"/>
      <c r="N47" s="133"/>
      <c r="O47" s="133"/>
      <c r="P47" s="134" t="s">
        <v>788</v>
      </c>
      <c r="Q47" s="135"/>
      <c r="R47" s="100">
        <v>2</v>
      </c>
      <c r="S47" s="120">
        <v>78</v>
      </c>
      <c r="T47" s="150">
        <v>7500000</v>
      </c>
      <c r="U47" s="149">
        <v>11.5</v>
      </c>
      <c r="V47" s="133"/>
      <c r="W47" s="133"/>
      <c r="X47" s="133"/>
      <c r="Y47" s="133"/>
      <c r="Z47" s="133"/>
      <c r="AA47" s="133"/>
      <c r="AB47" s="435" t="s">
        <v>885</v>
      </c>
      <c r="AC47" s="133"/>
      <c r="AD47" s="137" t="s">
        <v>886</v>
      </c>
      <c r="AE47" s="137"/>
      <c r="AF47" s="137"/>
      <c r="AG47" s="137"/>
      <c r="AH47" s="137"/>
      <c r="AI47" s="137"/>
      <c r="AJ47" s="137"/>
      <c r="AK47" s="133"/>
      <c r="AL47" s="133"/>
      <c r="AM47" s="133"/>
      <c r="AN47" s="137" t="s">
        <v>887</v>
      </c>
      <c r="AO47" s="137"/>
      <c r="AP47" s="137" t="s">
        <v>888</v>
      </c>
      <c r="AQ47" s="137"/>
      <c r="AR47" s="137"/>
      <c r="AS47" s="137"/>
      <c r="AT47" s="137"/>
      <c r="AU47" s="133"/>
      <c r="AV47" s="133"/>
      <c r="AW47" s="133"/>
      <c r="AX47" s="137" t="s">
        <v>889</v>
      </c>
      <c r="AY47" s="137"/>
      <c r="AZ47" s="137" t="s">
        <v>890</v>
      </c>
      <c r="BA47" s="137"/>
      <c r="BB47" s="137"/>
      <c r="BC47" s="137"/>
      <c r="BD47" s="137"/>
      <c r="BE47" s="133"/>
      <c r="BF47" s="137"/>
      <c r="BG47" s="137"/>
      <c r="BH47" s="133"/>
      <c r="BI47" s="137"/>
      <c r="BJ47" s="137"/>
      <c r="BK47" s="137"/>
      <c r="BL47" s="137"/>
      <c r="BM47" s="137"/>
    </row>
    <row r="48" spans="1:65" ht="14.6">
      <c r="A48" s="133"/>
      <c r="B48" s="133"/>
      <c r="C48" s="137"/>
      <c r="D48" s="133"/>
      <c r="E48" s="133"/>
      <c r="F48" s="134" t="s">
        <v>788</v>
      </c>
      <c r="G48" s="135"/>
      <c r="H48" s="94">
        <v>3</v>
      </c>
      <c r="I48" s="428">
        <f>J48*0.25</f>
        <v>4.25</v>
      </c>
      <c r="J48" s="120">
        <v>17</v>
      </c>
      <c r="K48" s="150">
        <v>8400000</v>
      </c>
      <c r="L48" s="149">
        <v>8</v>
      </c>
      <c r="M48" s="133"/>
      <c r="N48" s="133"/>
      <c r="O48" s="133"/>
      <c r="P48" s="137" t="s">
        <v>794</v>
      </c>
      <c r="Q48" s="138"/>
      <c r="R48" s="121">
        <v>3</v>
      </c>
      <c r="S48" s="120">
        <v>84</v>
      </c>
      <c r="T48" s="150">
        <v>14000000</v>
      </c>
      <c r="U48" s="149">
        <v>15.5</v>
      </c>
      <c r="V48" s="133"/>
      <c r="W48" s="133"/>
      <c r="X48" s="133"/>
      <c r="Y48" s="133"/>
      <c r="Z48" s="133"/>
      <c r="AA48" s="133"/>
      <c r="AB48" s="435" t="s">
        <v>891</v>
      </c>
      <c r="AC48" s="133"/>
      <c r="AD48" s="342" t="s">
        <v>242</v>
      </c>
      <c r="AE48" s="344"/>
      <c r="AF48" s="136" t="s">
        <v>243</v>
      </c>
      <c r="AG48" s="136" t="s">
        <v>244</v>
      </c>
      <c r="AH48" s="136" t="s">
        <v>245</v>
      </c>
      <c r="AI48" s="136" t="s">
        <v>250</v>
      </c>
      <c r="AJ48" s="120"/>
      <c r="AK48" s="150"/>
      <c r="AL48" s="133"/>
      <c r="AM48" s="133"/>
      <c r="AN48" s="342" t="s">
        <v>343</v>
      </c>
      <c r="AO48" s="344"/>
      <c r="AP48" s="136" t="s">
        <v>243</v>
      </c>
      <c r="AQ48" s="136" t="s">
        <v>244</v>
      </c>
      <c r="AR48" s="136" t="s">
        <v>245</v>
      </c>
      <c r="AS48" s="136" t="s">
        <v>344</v>
      </c>
      <c r="AT48" s="120"/>
      <c r="AU48" s="150"/>
      <c r="AV48" s="133"/>
      <c r="AW48" s="133"/>
      <c r="AX48" s="342" t="s">
        <v>352</v>
      </c>
      <c r="AY48" s="344"/>
      <c r="AZ48" s="136" t="s">
        <v>243</v>
      </c>
      <c r="BA48" s="136" t="s">
        <v>244</v>
      </c>
      <c r="BB48" s="136" t="s">
        <v>353</v>
      </c>
      <c r="BC48" s="136" t="s">
        <v>892</v>
      </c>
      <c r="BD48" s="136" t="s">
        <v>644</v>
      </c>
      <c r="BE48" s="120"/>
      <c r="BF48" s="137"/>
      <c r="BG48" s="137"/>
      <c r="BH48" s="150"/>
      <c r="BI48" s="137"/>
      <c r="BJ48" s="137"/>
      <c r="BK48" s="137"/>
      <c r="BL48" s="137"/>
      <c r="BM48" s="137"/>
    </row>
    <row r="49" spans="1:65" ht="14.6">
      <c r="A49" s="133"/>
      <c r="B49" s="133"/>
      <c r="C49" s="137"/>
      <c r="D49" s="133"/>
      <c r="E49" s="133"/>
      <c r="F49" s="137" t="s">
        <v>794</v>
      </c>
      <c r="G49" s="138"/>
      <c r="H49" s="100">
        <v>4</v>
      </c>
      <c r="I49" s="139">
        <f>J49*0.25</f>
        <v>4.5</v>
      </c>
      <c r="J49" s="120">
        <v>18</v>
      </c>
      <c r="K49" s="150">
        <v>11300000</v>
      </c>
      <c r="L49" s="149">
        <v>11.75</v>
      </c>
      <c r="M49" s="133"/>
      <c r="N49" s="133"/>
      <c r="O49" s="133"/>
      <c r="P49" s="133"/>
      <c r="Q49" s="138"/>
      <c r="R49" s="122">
        <v>4</v>
      </c>
      <c r="S49" s="120">
        <v>90</v>
      </c>
      <c r="T49" s="150">
        <v>17500000</v>
      </c>
      <c r="U49" s="149">
        <v>17.5</v>
      </c>
      <c r="V49" s="133"/>
      <c r="W49" s="133"/>
      <c r="X49" s="133"/>
      <c r="Y49" s="133"/>
      <c r="Z49" s="133"/>
      <c r="AA49" s="133"/>
      <c r="AB49" s="435" t="s">
        <v>893</v>
      </c>
      <c r="AC49" s="133"/>
      <c r="AD49" s="95" t="s">
        <v>438</v>
      </c>
      <c r="AE49" s="345"/>
      <c r="AF49" s="93">
        <v>8</v>
      </c>
      <c r="AG49" s="120">
        <v>1000</v>
      </c>
      <c r="AH49" s="120">
        <v>180</v>
      </c>
      <c r="AI49" s="120">
        <f>AH49*0.8</f>
        <v>144</v>
      </c>
      <c r="AJ49" s="120"/>
      <c r="AK49" s="150"/>
      <c r="AL49" s="133"/>
      <c r="AM49" s="133"/>
      <c r="AN49" s="95" t="s">
        <v>258</v>
      </c>
      <c r="AO49" s="345"/>
      <c r="AP49" s="93">
        <v>7</v>
      </c>
      <c r="AQ49" s="120">
        <v>270</v>
      </c>
      <c r="AR49" s="120">
        <v>155</v>
      </c>
      <c r="AS49" s="120">
        <f>AR49*2</f>
        <v>310</v>
      </c>
      <c r="AT49" s="120"/>
      <c r="AU49" s="150"/>
      <c r="AV49" s="133"/>
      <c r="AW49" s="133"/>
      <c r="AX49" s="95" t="s">
        <v>438</v>
      </c>
      <c r="AY49" s="345"/>
      <c r="AZ49" s="93">
        <v>7</v>
      </c>
      <c r="BA49" s="120">
        <v>350</v>
      </c>
      <c r="BB49" s="120">
        <v>78</v>
      </c>
      <c r="BC49" s="120">
        <v>175</v>
      </c>
      <c r="BD49" s="384" t="str">
        <f>BB49*40&amp;"+"&amp;BC49*40</f>
        <v>3120+7000</v>
      </c>
      <c r="BE49" s="120"/>
      <c r="BF49" s="137"/>
      <c r="BG49" s="137"/>
      <c r="BH49" s="150"/>
      <c r="BI49" s="137"/>
      <c r="BJ49" s="137"/>
      <c r="BK49" s="137"/>
      <c r="BL49" s="137"/>
      <c r="BM49" s="137"/>
    </row>
    <row r="50" spans="1:65" ht="14.6">
      <c r="A50" s="133"/>
      <c r="B50" s="133"/>
      <c r="C50" s="137"/>
      <c r="D50" s="133"/>
      <c r="E50" s="133"/>
      <c r="F50" s="140"/>
      <c r="G50" s="141"/>
      <c r="H50" s="133"/>
      <c r="I50" s="133"/>
      <c r="J50" s="133"/>
      <c r="K50" s="133"/>
      <c r="L50" s="133"/>
      <c r="M50" s="133"/>
      <c r="N50" s="133"/>
      <c r="O50" s="133"/>
      <c r="P50" s="134" t="s">
        <v>385</v>
      </c>
      <c r="Q50" s="135"/>
      <c r="R50" s="396"/>
      <c r="S50" s="120"/>
      <c r="T50" s="150"/>
      <c r="U50" s="149"/>
      <c r="V50" s="133"/>
      <c r="W50" s="133"/>
      <c r="X50" s="133"/>
      <c r="Y50" s="133"/>
      <c r="Z50" s="133"/>
      <c r="AA50" s="133"/>
      <c r="AB50" s="341" t="s">
        <v>894</v>
      </c>
      <c r="AC50" s="133"/>
      <c r="AD50" s="95" t="s">
        <v>895</v>
      </c>
      <c r="AE50" s="345"/>
      <c r="AF50" s="94">
        <v>9</v>
      </c>
      <c r="AG50" s="120">
        <v>1100</v>
      </c>
      <c r="AH50" s="120">
        <v>200</v>
      </c>
      <c r="AI50" s="120">
        <f>AH50*0.8</f>
        <v>160</v>
      </c>
      <c r="AJ50" s="120"/>
      <c r="AK50" s="150"/>
      <c r="AL50" s="133"/>
      <c r="AM50" s="133"/>
      <c r="AN50" s="95" t="s">
        <v>691</v>
      </c>
      <c r="AO50" s="345"/>
      <c r="AP50" s="94">
        <v>8</v>
      </c>
      <c r="AQ50" s="120">
        <v>320</v>
      </c>
      <c r="AR50" s="120">
        <v>170</v>
      </c>
      <c r="AS50" s="120">
        <f>AR50*2</f>
        <v>340</v>
      </c>
      <c r="AT50" s="120"/>
      <c r="AU50" s="150"/>
      <c r="AV50" s="133"/>
      <c r="AW50" s="133"/>
      <c r="AX50" s="95"/>
      <c r="AY50" s="345"/>
      <c r="AZ50" s="94">
        <v>8</v>
      </c>
      <c r="BA50" s="120">
        <v>400</v>
      </c>
      <c r="BB50" s="120">
        <v>100</v>
      </c>
      <c r="BC50" s="120">
        <v>225</v>
      </c>
      <c r="BD50" s="384" t="str">
        <f>BB50*40&amp;"+"&amp;BC50*40</f>
        <v>4000+9000</v>
      </c>
      <c r="BE50" s="120"/>
      <c r="BF50" s="137"/>
      <c r="BG50" s="137"/>
      <c r="BH50" s="150"/>
      <c r="BI50" s="137"/>
      <c r="BJ50" s="137"/>
      <c r="BK50" s="137"/>
      <c r="BL50" s="137"/>
      <c r="BM50" s="137"/>
    </row>
    <row r="51" spans="1:65" ht="14.6">
      <c r="A51" s="133"/>
      <c r="B51" s="133"/>
      <c r="C51" s="137"/>
      <c r="D51" s="133"/>
      <c r="E51" s="133"/>
      <c r="F51" s="134" t="s">
        <v>305</v>
      </c>
      <c r="G51" s="135"/>
      <c r="H51" s="133"/>
      <c r="I51" s="133"/>
      <c r="J51" s="133"/>
      <c r="K51" s="133"/>
      <c r="L51" s="133"/>
      <c r="M51" s="133"/>
      <c r="N51" s="133"/>
      <c r="O51" s="133"/>
      <c r="P51" s="137" t="s">
        <v>845</v>
      </c>
      <c r="Q51" s="138"/>
      <c r="R51" s="100"/>
      <c r="S51" s="120"/>
      <c r="T51" s="150"/>
      <c r="U51" s="149"/>
      <c r="V51" s="133"/>
      <c r="W51" s="133"/>
      <c r="X51" s="133"/>
      <c r="Y51" s="133"/>
      <c r="Z51" s="133"/>
      <c r="AA51" s="133"/>
      <c r="AB51" s="435" t="s">
        <v>896</v>
      </c>
      <c r="AC51" s="133"/>
      <c r="AD51" s="346" t="s">
        <v>445</v>
      </c>
      <c r="AE51" s="347"/>
      <c r="AF51" s="121">
        <v>10</v>
      </c>
      <c r="AG51" s="120">
        <v>1200</v>
      </c>
      <c r="AH51" s="120">
        <v>220</v>
      </c>
      <c r="AI51" s="120">
        <f>AH51*0.8</f>
        <v>176</v>
      </c>
      <c r="AJ51" s="120"/>
      <c r="AK51" s="150"/>
      <c r="AL51" s="133"/>
      <c r="AM51" s="133"/>
      <c r="AN51" s="346" t="s">
        <v>360</v>
      </c>
      <c r="AO51" s="347"/>
      <c r="AP51" s="149"/>
      <c r="AQ51" s="149"/>
      <c r="AR51" s="149"/>
      <c r="AS51" s="149"/>
      <c r="AT51" s="149"/>
      <c r="AU51" s="149"/>
      <c r="AV51" s="133"/>
      <c r="AW51" s="149"/>
      <c r="AX51" s="346" t="s">
        <v>897</v>
      </c>
      <c r="AY51" s="347"/>
      <c r="AZ51" s="100">
        <v>9</v>
      </c>
      <c r="BA51" s="120">
        <v>450</v>
      </c>
      <c r="BB51" s="120">
        <v>120</v>
      </c>
      <c r="BC51" s="120">
        <v>275</v>
      </c>
      <c r="BD51" s="384" t="str">
        <f>BB51*40&amp;"+"&amp;BC51*40</f>
        <v>4800+11000</v>
      </c>
      <c r="BE51" s="120"/>
      <c r="BF51" s="137"/>
      <c r="BG51" s="137"/>
      <c r="BH51" s="150"/>
      <c r="BI51" s="137"/>
      <c r="BJ51" s="137"/>
      <c r="BK51" s="137"/>
      <c r="BL51" s="137"/>
      <c r="BM51" s="137"/>
    </row>
    <row r="52" spans="1:65" ht="14.6">
      <c r="A52" s="133"/>
      <c r="B52" s="133"/>
      <c r="C52" s="133"/>
      <c r="D52" s="133"/>
      <c r="E52" s="133"/>
      <c r="F52" s="137" t="s">
        <v>803</v>
      </c>
      <c r="G52" s="138"/>
      <c r="H52" s="137" t="s">
        <v>898</v>
      </c>
      <c r="I52" s="133"/>
      <c r="J52" s="133"/>
      <c r="K52" s="133"/>
      <c r="L52" s="133"/>
      <c r="M52" s="133"/>
      <c r="N52" s="133"/>
      <c r="O52" s="133"/>
      <c r="P52" s="133"/>
      <c r="Q52" s="133"/>
      <c r="R52" s="121"/>
      <c r="S52" s="120"/>
      <c r="T52" s="150"/>
      <c r="U52" s="149"/>
      <c r="V52" s="133"/>
      <c r="W52" s="133"/>
      <c r="X52" s="133"/>
      <c r="Y52" s="133"/>
      <c r="Z52" s="133"/>
      <c r="AA52" s="133"/>
      <c r="AB52" s="341" t="s">
        <v>899</v>
      </c>
      <c r="AC52" s="133"/>
      <c r="AD52" s="342" t="s">
        <v>900</v>
      </c>
      <c r="AE52" s="344"/>
      <c r="AF52" s="122">
        <v>11</v>
      </c>
      <c r="AG52" s="120">
        <v>1300</v>
      </c>
      <c r="AH52" s="120">
        <v>240</v>
      </c>
      <c r="AI52" s="120">
        <f>AH52*0.8</f>
        <v>192</v>
      </c>
      <c r="AJ52" s="120"/>
      <c r="AK52" s="133"/>
      <c r="AL52" s="133"/>
      <c r="AM52" s="133"/>
      <c r="AN52" s="342" t="s">
        <v>364</v>
      </c>
      <c r="AO52" s="344"/>
      <c r="AP52" s="99"/>
      <c r="AQ52" s="120"/>
      <c r="AR52" s="120"/>
      <c r="AS52" s="120"/>
      <c r="AT52" s="120"/>
      <c r="AU52" s="133"/>
      <c r="AV52" s="133"/>
      <c r="AW52" s="133"/>
      <c r="AX52" s="342" t="s">
        <v>372</v>
      </c>
      <c r="AY52" s="344"/>
      <c r="AZ52" s="121">
        <v>10</v>
      </c>
      <c r="BA52" s="120">
        <v>475</v>
      </c>
      <c r="BB52" s="120">
        <v>130</v>
      </c>
      <c r="BC52" s="120">
        <v>313</v>
      </c>
      <c r="BD52" s="384" t="str">
        <f>BB52*40&amp;"+"&amp;BC52*40</f>
        <v>5200+12520</v>
      </c>
      <c r="BE52" s="120"/>
      <c r="BF52" s="137"/>
      <c r="BG52" s="137"/>
      <c r="BH52" s="150"/>
      <c r="BI52" s="137"/>
      <c r="BJ52" s="137"/>
      <c r="BK52" s="137"/>
      <c r="BL52" s="137"/>
      <c r="BM52" s="137"/>
    </row>
    <row r="53" spans="1:65" ht="14.6">
      <c r="A53" s="133"/>
      <c r="B53" s="133"/>
      <c r="C53" s="133"/>
      <c r="D53" s="133"/>
      <c r="E53" s="133"/>
      <c r="F53" s="133"/>
      <c r="G53" s="133"/>
      <c r="H53" s="133"/>
      <c r="I53" s="133"/>
      <c r="J53" s="133"/>
      <c r="K53" s="133"/>
      <c r="L53" s="133"/>
      <c r="M53" s="133"/>
      <c r="N53" s="133"/>
      <c r="O53" s="133"/>
      <c r="P53" s="133"/>
      <c r="Q53" s="133"/>
      <c r="R53" s="137"/>
      <c r="S53" s="133"/>
      <c r="T53" s="133"/>
      <c r="U53" s="133"/>
      <c r="V53" s="133"/>
      <c r="W53" s="133"/>
      <c r="X53" s="133"/>
      <c r="Y53" s="133"/>
      <c r="Z53" s="133"/>
      <c r="AA53" s="133"/>
      <c r="AB53" s="201" t="s">
        <v>901</v>
      </c>
      <c r="AC53" s="133"/>
      <c r="AD53" s="70" t="s">
        <v>902</v>
      </c>
      <c r="AE53" s="345"/>
      <c r="AF53" s="122"/>
      <c r="AG53" s="120"/>
      <c r="AH53" s="120"/>
      <c r="AI53" s="120"/>
      <c r="AJ53" s="120"/>
      <c r="AK53" s="149"/>
      <c r="AL53" s="133"/>
      <c r="AM53" s="133"/>
      <c r="AN53" s="95" t="s">
        <v>287</v>
      </c>
      <c r="AO53" s="345"/>
      <c r="AP53" s="90"/>
      <c r="AQ53" s="120"/>
      <c r="AR53" s="120"/>
      <c r="AS53" s="120"/>
      <c r="AT53" s="120"/>
      <c r="AU53" s="149"/>
      <c r="AV53" s="133"/>
      <c r="AW53" s="133"/>
      <c r="AX53" s="95" t="s">
        <v>376</v>
      </c>
      <c r="AY53" s="345"/>
      <c r="AZ53" s="122">
        <v>11</v>
      </c>
      <c r="BA53" s="120">
        <v>500</v>
      </c>
      <c r="BB53" s="120">
        <v>140</v>
      </c>
      <c r="BC53" s="120">
        <v>338</v>
      </c>
      <c r="BD53" s="120" t="str">
        <f>BB53*40&amp;"+"&amp;BC53*40</f>
        <v>5600+13520</v>
      </c>
      <c r="BE53" s="149"/>
      <c r="BF53" s="137"/>
      <c r="BG53" s="137"/>
      <c r="BH53" s="133"/>
      <c r="BI53" s="137"/>
      <c r="BJ53" s="137"/>
      <c r="BK53" s="137"/>
      <c r="BL53" s="137"/>
      <c r="BM53" s="137"/>
    </row>
    <row r="54" spans="1:65" ht="14.6">
      <c r="A54" s="133"/>
      <c r="B54" s="133"/>
      <c r="C54" s="133"/>
      <c r="D54" s="521" t="s">
        <v>903</v>
      </c>
      <c r="E54" s="521"/>
      <c r="F54" s="133"/>
      <c r="G54" s="133"/>
      <c r="H54" s="133"/>
      <c r="I54" s="133"/>
      <c r="J54" s="133"/>
      <c r="K54" s="133"/>
      <c r="L54" s="133"/>
      <c r="M54" s="133"/>
      <c r="N54" s="133"/>
      <c r="O54" s="133"/>
      <c r="P54" s="133"/>
      <c r="Q54" s="133"/>
      <c r="R54" s="133"/>
      <c r="S54" s="133"/>
      <c r="T54" s="133"/>
      <c r="U54" s="133"/>
      <c r="V54" s="133"/>
      <c r="W54" s="133"/>
      <c r="X54" s="133"/>
      <c r="Y54" s="133"/>
      <c r="Z54" s="133"/>
      <c r="AA54" s="133"/>
      <c r="AB54" s="201" t="s">
        <v>904</v>
      </c>
      <c r="AC54" s="133"/>
      <c r="AD54" s="88" t="s">
        <v>905</v>
      </c>
      <c r="AE54" s="347"/>
      <c r="AF54" s="122"/>
      <c r="AG54" s="120"/>
      <c r="AH54" s="120"/>
      <c r="AI54" s="120"/>
      <c r="AJ54" s="120"/>
      <c r="AK54" s="149"/>
      <c r="AL54" s="133"/>
      <c r="AM54" s="133"/>
      <c r="AN54" s="346"/>
      <c r="AO54" s="347"/>
      <c r="AP54" s="91"/>
      <c r="AQ54" s="120"/>
      <c r="AR54" s="120"/>
      <c r="AS54" s="120"/>
      <c r="AT54" s="120"/>
      <c r="AU54" s="149"/>
      <c r="AV54" s="133"/>
      <c r="AW54" s="133"/>
      <c r="AX54" s="346" t="s">
        <v>906</v>
      </c>
      <c r="AY54" s="347"/>
      <c r="AZ54" s="91"/>
      <c r="BA54" s="120"/>
      <c r="BB54" s="120"/>
      <c r="BC54" s="120"/>
      <c r="BD54" s="120"/>
      <c r="BE54" s="149"/>
      <c r="BF54" s="137"/>
      <c r="BG54" s="137"/>
      <c r="BH54" s="133"/>
      <c r="BI54" s="137"/>
      <c r="BJ54" s="137"/>
      <c r="BK54" s="137"/>
      <c r="BL54" s="137"/>
      <c r="BM54" s="137"/>
    </row>
    <row r="55" spans="1:65" ht="14.6">
      <c r="A55" s="133"/>
      <c r="B55" s="133"/>
      <c r="C55" s="133"/>
      <c r="D55" s="532"/>
      <c r="E55" s="532"/>
      <c r="F55" s="383"/>
      <c r="G55" s="359"/>
      <c r="H55" s="359"/>
      <c r="I55" s="359"/>
      <c r="J55" s="359"/>
      <c r="K55" s="359"/>
      <c r="L55" s="359"/>
      <c r="M55" s="359"/>
      <c r="N55" s="359"/>
      <c r="O55" s="359"/>
      <c r="P55" s="359"/>
      <c r="Q55" s="359"/>
      <c r="R55" s="359"/>
      <c r="S55" s="359"/>
      <c r="T55" s="359"/>
      <c r="U55" s="359"/>
      <c r="V55" s="359"/>
      <c r="W55" s="359"/>
      <c r="X55" s="359"/>
      <c r="Y55" s="359"/>
      <c r="Z55" s="133"/>
      <c r="AA55" s="133"/>
      <c r="AB55" s="201" t="s">
        <v>907</v>
      </c>
      <c r="AC55" s="133"/>
      <c r="AD55" s="95" t="s">
        <v>306</v>
      </c>
      <c r="AE55" s="344"/>
      <c r="AF55" s="122"/>
      <c r="AG55" s="120"/>
      <c r="AH55" s="120"/>
      <c r="AI55" s="120"/>
      <c r="AJ55" s="120"/>
      <c r="AK55" s="149"/>
      <c r="AL55" s="133"/>
      <c r="AM55" s="133"/>
      <c r="AN55" s="344" t="s">
        <v>490</v>
      </c>
      <c r="AO55" s="344"/>
      <c r="AP55" s="92"/>
      <c r="AQ55" s="120"/>
      <c r="AR55" s="120"/>
      <c r="AS55" s="120"/>
      <c r="AT55" s="120"/>
      <c r="AU55" s="149"/>
      <c r="AV55" s="133"/>
      <c r="AW55" s="133"/>
      <c r="AX55" s="95" t="s">
        <v>527</v>
      </c>
      <c r="AY55" s="344"/>
      <c r="AZ55" s="92"/>
      <c r="BA55" s="120"/>
      <c r="BB55" s="120"/>
      <c r="BC55" s="120"/>
      <c r="BD55" s="120"/>
      <c r="BE55" s="149"/>
      <c r="BF55" s="137"/>
      <c r="BG55" s="137"/>
      <c r="BH55" s="133"/>
      <c r="BI55" s="137"/>
      <c r="BJ55" s="137"/>
      <c r="BK55" s="137"/>
      <c r="BL55" s="137"/>
      <c r="BM55" s="137"/>
    </row>
    <row r="56" spans="1:65">
      <c r="A56" s="133"/>
      <c r="B56" s="133"/>
      <c r="C56" s="133"/>
      <c r="D56" s="137" t="s">
        <v>231</v>
      </c>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54" t="s">
        <v>908</v>
      </c>
      <c r="AC56" s="133"/>
      <c r="AD56" s="95" t="s">
        <v>909</v>
      </c>
      <c r="AE56" s="345"/>
      <c r="AF56" s="133"/>
      <c r="AG56" s="133"/>
      <c r="AH56" s="133"/>
      <c r="AI56" s="133"/>
      <c r="AJ56" s="133"/>
      <c r="AK56" s="133"/>
      <c r="AL56" s="133"/>
      <c r="AM56" s="133"/>
      <c r="AN56" s="95" t="s">
        <v>910</v>
      </c>
      <c r="AO56" s="345"/>
      <c r="AP56" s="133"/>
      <c r="AQ56" s="133"/>
      <c r="AR56" s="133"/>
      <c r="AS56" s="133"/>
      <c r="AT56" s="133"/>
      <c r="AU56" s="133"/>
      <c r="AV56" s="133"/>
      <c r="AW56" s="133"/>
      <c r="AX56" s="95" t="s">
        <v>631</v>
      </c>
      <c r="AY56" s="345"/>
      <c r="AZ56" s="137"/>
      <c r="BA56" s="133"/>
      <c r="BB56" s="133"/>
      <c r="BC56" s="133"/>
      <c r="BD56" s="120"/>
      <c r="BE56" s="133"/>
      <c r="BF56" s="137"/>
      <c r="BG56" s="137"/>
      <c r="BH56" s="133"/>
      <c r="BI56" s="137"/>
      <c r="BJ56" s="137"/>
      <c r="BK56" s="137"/>
      <c r="BL56" s="137"/>
      <c r="BM56" s="137"/>
    </row>
    <row r="57" spans="1:65" ht="14.6">
      <c r="A57" s="133"/>
      <c r="B57" s="133"/>
      <c r="C57" s="133"/>
      <c r="D57" s="163" t="s">
        <v>911</v>
      </c>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201" t="s">
        <v>912</v>
      </c>
      <c r="AC57" s="133"/>
      <c r="AD57" s="95" t="s">
        <v>913</v>
      </c>
      <c r="AE57" s="345"/>
      <c r="AF57" s="137" t="s">
        <v>914</v>
      </c>
      <c r="AG57" s="133"/>
      <c r="AH57" s="133"/>
      <c r="AI57" s="133"/>
      <c r="AJ57" s="133"/>
      <c r="AK57" s="133"/>
      <c r="AL57" s="133"/>
      <c r="AM57" s="133"/>
      <c r="AN57" s="95" t="s">
        <v>915</v>
      </c>
      <c r="AO57" s="345"/>
      <c r="AP57" s="142" t="s">
        <v>916</v>
      </c>
      <c r="AQ57" s="133"/>
      <c r="AR57" s="133"/>
      <c r="AS57" s="133"/>
      <c r="AT57" s="133"/>
      <c r="AU57" s="133"/>
      <c r="AV57" s="133"/>
      <c r="AW57" s="133"/>
      <c r="AX57" s="95" t="s">
        <v>917</v>
      </c>
      <c r="AY57" s="345"/>
      <c r="AZ57" s="142" t="s">
        <v>918</v>
      </c>
      <c r="BA57" s="133"/>
      <c r="BB57" s="133"/>
      <c r="BC57" s="133"/>
      <c r="BD57" s="133"/>
      <c r="BE57" s="133"/>
      <c r="BF57" s="137"/>
      <c r="BG57" s="137"/>
      <c r="BH57" s="133"/>
      <c r="BI57" s="137"/>
      <c r="BJ57" s="137"/>
      <c r="BK57" s="137"/>
      <c r="BL57" s="137"/>
      <c r="BM57" s="137"/>
    </row>
    <row r="58" spans="1:65" ht="14.6">
      <c r="A58" s="133"/>
      <c r="B58" s="133"/>
      <c r="C58" s="133"/>
      <c r="D58" s="163" t="s">
        <v>919</v>
      </c>
      <c r="E58" s="133"/>
      <c r="F58" s="137" t="s">
        <v>920</v>
      </c>
      <c r="G58" s="133"/>
      <c r="H58" s="133"/>
      <c r="I58" s="133"/>
      <c r="J58" s="133"/>
      <c r="K58" s="133"/>
      <c r="L58" s="133"/>
      <c r="M58" s="133"/>
      <c r="N58" s="133"/>
      <c r="O58" s="133"/>
      <c r="P58" s="137" t="s">
        <v>921</v>
      </c>
      <c r="Q58" s="133"/>
      <c r="R58" s="133"/>
      <c r="S58" s="133"/>
      <c r="T58" s="133"/>
      <c r="U58" s="133"/>
      <c r="V58" s="133"/>
      <c r="W58" s="133"/>
      <c r="X58" s="133"/>
      <c r="Y58" s="133"/>
      <c r="Z58" s="133"/>
      <c r="AA58" s="133"/>
      <c r="AB58" s="201" t="s">
        <v>922</v>
      </c>
      <c r="AC58" s="133"/>
      <c r="AD58" s="95" t="s">
        <v>923</v>
      </c>
      <c r="AE58" s="133"/>
      <c r="AF58" s="436"/>
      <c r="AG58" s="133"/>
      <c r="AH58" s="133"/>
      <c r="AI58" s="133"/>
      <c r="AJ58" s="133"/>
      <c r="AK58" s="133"/>
      <c r="AL58" s="133"/>
      <c r="AM58" s="133"/>
      <c r="AN58" s="95" t="s">
        <v>924</v>
      </c>
      <c r="AO58" s="133"/>
      <c r="AP58" s="436"/>
      <c r="AQ58" s="133"/>
      <c r="AR58" s="133"/>
      <c r="AS58" s="133"/>
      <c r="AT58" s="133"/>
      <c r="AU58" s="133"/>
      <c r="AV58" s="133"/>
      <c r="AW58" s="133"/>
      <c r="AX58" s="95" t="s">
        <v>384</v>
      </c>
      <c r="AY58" s="133"/>
      <c r="AZ58" s="436"/>
      <c r="BA58" s="133"/>
      <c r="BB58" s="133"/>
      <c r="BC58" s="133"/>
      <c r="BD58" s="133"/>
      <c r="BE58" s="133"/>
      <c r="BF58" s="137"/>
      <c r="BG58" s="137"/>
      <c r="BH58" s="133"/>
      <c r="BI58" s="137"/>
      <c r="BJ58" s="137"/>
      <c r="BK58" s="137"/>
      <c r="BL58" s="137"/>
      <c r="BM58" s="137"/>
    </row>
    <row r="59" spans="1:65" ht="14.6">
      <c r="A59" s="133"/>
      <c r="B59" s="133"/>
      <c r="C59" s="133"/>
      <c r="D59" s="163" t="s">
        <v>925</v>
      </c>
      <c r="E59" s="133"/>
      <c r="F59" s="134" t="s">
        <v>926</v>
      </c>
      <c r="G59" s="135"/>
      <c r="H59" s="136" t="s">
        <v>243</v>
      </c>
      <c r="I59" s="136" t="s">
        <v>927</v>
      </c>
      <c r="J59" s="136" t="s">
        <v>621</v>
      </c>
      <c r="K59" s="136" t="s">
        <v>928</v>
      </c>
      <c r="L59" s="148" t="s">
        <v>246</v>
      </c>
      <c r="M59" s="148" t="s">
        <v>247</v>
      </c>
      <c r="N59" s="133"/>
      <c r="O59" s="133"/>
      <c r="P59" s="134" t="s">
        <v>929</v>
      </c>
      <c r="Q59" s="135"/>
      <c r="R59" s="136" t="s">
        <v>243</v>
      </c>
      <c r="S59" s="136" t="s">
        <v>930</v>
      </c>
      <c r="T59" s="136" t="s">
        <v>931</v>
      </c>
      <c r="U59" s="148" t="s">
        <v>246</v>
      </c>
      <c r="V59" s="148" t="s">
        <v>247</v>
      </c>
      <c r="W59" s="133"/>
      <c r="X59" s="133"/>
      <c r="Y59" s="133"/>
      <c r="Z59" s="133"/>
      <c r="AA59" s="133"/>
      <c r="AB59" s="201" t="s">
        <v>932</v>
      </c>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7"/>
      <c r="BB59" s="137"/>
      <c r="BC59" s="137"/>
      <c r="BD59" s="137"/>
      <c r="BE59" s="137"/>
      <c r="BF59" s="137"/>
      <c r="BG59" s="137"/>
      <c r="BH59" s="137"/>
      <c r="BI59" s="137"/>
      <c r="BJ59" s="137"/>
      <c r="BK59" s="137"/>
      <c r="BL59" s="137"/>
      <c r="BM59" s="137"/>
    </row>
    <row r="60" spans="1:65" ht="14.6">
      <c r="A60" s="133"/>
      <c r="B60" s="133"/>
      <c r="C60" s="133"/>
      <c r="D60" s="163" t="s">
        <v>933</v>
      </c>
      <c r="E60" s="133"/>
      <c r="F60" s="137" t="s">
        <v>934</v>
      </c>
      <c r="G60" s="138"/>
      <c r="H60" s="90">
        <v>1</v>
      </c>
      <c r="I60" s="362">
        <v>0.26</v>
      </c>
      <c r="J60" s="362">
        <v>0.35</v>
      </c>
      <c r="K60" s="120">
        <v>90</v>
      </c>
      <c r="L60" s="120"/>
      <c r="M60" s="149"/>
      <c r="N60" s="133"/>
      <c r="O60" s="133"/>
      <c r="P60" s="137" t="s">
        <v>935</v>
      </c>
      <c r="Q60" s="138"/>
      <c r="R60" s="90">
        <v>1</v>
      </c>
      <c r="S60" s="430">
        <v>0.14499999999999999</v>
      </c>
      <c r="T60" s="389">
        <v>3.5</v>
      </c>
      <c r="U60" s="120"/>
      <c r="V60" s="149"/>
      <c r="W60" s="133"/>
      <c r="X60" s="133"/>
      <c r="Y60" s="133"/>
      <c r="Z60" s="133"/>
      <c r="AA60" s="133"/>
      <c r="AB60" s="341" t="s">
        <v>936</v>
      </c>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7"/>
      <c r="BB60" s="137"/>
      <c r="BC60" s="137"/>
      <c r="BD60" s="137"/>
      <c r="BE60" s="137"/>
      <c r="BF60" s="137"/>
      <c r="BG60" s="137"/>
      <c r="BH60" s="137"/>
      <c r="BI60" s="137"/>
      <c r="BJ60" s="137"/>
      <c r="BK60" s="137"/>
      <c r="BL60" s="137"/>
      <c r="BM60" s="137"/>
    </row>
    <row r="61" spans="1:65" ht="14.6">
      <c r="A61" s="133"/>
      <c r="B61" s="133"/>
      <c r="C61" s="133"/>
      <c r="D61" s="163" t="s">
        <v>937</v>
      </c>
      <c r="E61" s="133"/>
      <c r="F61" s="137" t="s">
        <v>938</v>
      </c>
      <c r="G61" s="138"/>
      <c r="H61" s="90">
        <v>2</v>
      </c>
      <c r="I61" s="362">
        <v>0.3</v>
      </c>
      <c r="J61" s="362">
        <v>0.4</v>
      </c>
      <c r="K61" s="120">
        <v>115</v>
      </c>
      <c r="L61" s="150">
        <v>12000</v>
      </c>
      <c r="M61" s="149">
        <v>0.33333333333333298</v>
      </c>
      <c r="N61" s="133"/>
      <c r="O61" s="133"/>
      <c r="P61" s="137" t="s">
        <v>939</v>
      </c>
      <c r="Q61" s="138"/>
      <c r="R61" s="90">
        <v>2</v>
      </c>
      <c r="S61" s="430">
        <v>0.17</v>
      </c>
      <c r="T61" s="389">
        <v>3.8</v>
      </c>
      <c r="U61" s="150">
        <v>15000</v>
      </c>
      <c r="V61" s="149">
        <v>0.75</v>
      </c>
      <c r="W61" s="133"/>
      <c r="X61" s="133"/>
      <c r="Y61" s="133"/>
      <c r="Z61" s="133"/>
      <c r="AA61" s="133"/>
      <c r="AB61" s="341" t="s">
        <v>940</v>
      </c>
      <c r="AC61" s="133"/>
      <c r="AD61" s="137" t="s">
        <v>941</v>
      </c>
      <c r="AE61" s="137"/>
      <c r="AF61" s="137" t="s">
        <v>942</v>
      </c>
      <c r="AG61" s="137"/>
      <c r="AH61" s="137"/>
      <c r="AI61" s="137"/>
      <c r="AJ61" s="137"/>
      <c r="AK61" s="133"/>
      <c r="AL61" s="133"/>
      <c r="AM61" s="133"/>
      <c r="AN61" s="137" t="s">
        <v>943</v>
      </c>
      <c r="AO61" s="137"/>
      <c r="AP61" s="137"/>
      <c r="AQ61" s="137"/>
      <c r="AR61" s="137"/>
      <c r="AS61" s="137"/>
      <c r="AT61" s="137"/>
      <c r="AU61" s="120"/>
      <c r="AV61" s="133"/>
      <c r="AW61" s="150"/>
      <c r="AX61" s="137" t="s">
        <v>944</v>
      </c>
      <c r="AY61" s="137"/>
      <c r="AZ61" s="137" t="s">
        <v>534</v>
      </c>
      <c r="BA61" s="137"/>
      <c r="BB61" s="137"/>
      <c r="BC61" s="137"/>
      <c r="BD61" s="137"/>
      <c r="BE61" s="120"/>
      <c r="BF61" s="137"/>
      <c r="BG61" s="137"/>
      <c r="BH61" s="150"/>
      <c r="BI61" s="137"/>
      <c r="BJ61" s="137"/>
      <c r="BK61" s="137"/>
      <c r="BL61" s="137"/>
      <c r="BM61" s="137"/>
    </row>
    <row r="62" spans="1:65">
      <c r="A62" s="133"/>
      <c r="B62" s="133"/>
      <c r="C62" s="133"/>
      <c r="D62" s="133"/>
      <c r="E62" s="133"/>
      <c r="F62" s="140" t="s">
        <v>945</v>
      </c>
      <c r="G62" s="143"/>
      <c r="H62" s="91">
        <v>3</v>
      </c>
      <c r="I62" s="362">
        <v>0.34</v>
      </c>
      <c r="J62" s="362">
        <v>0.45</v>
      </c>
      <c r="K62" s="120">
        <v>145</v>
      </c>
      <c r="L62" s="150">
        <v>25000</v>
      </c>
      <c r="M62" s="149">
        <v>1</v>
      </c>
      <c r="N62" s="133"/>
      <c r="O62" s="133"/>
      <c r="P62" s="140" t="s">
        <v>946</v>
      </c>
      <c r="Q62" s="143"/>
      <c r="R62" s="91">
        <v>3</v>
      </c>
      <c r="S62" s="430">
        <v>0.21</v>
      </c>
      <c r="T62" s="389">
        <v>4.0999999999999996</v>
      </c>
      <c r="U62" s="150">
        <v>30000</v>
      </c>
      <c r="V62" s="149">
        <v>1.5</v>
      </c>
      <c r="W62" s="133"/>
      <c r="X62" s="133"/>
      <c r="Y62" s="133"/>
      <c r="Z62" s="133"/>
      <c r="AA62" s="133"/>
      <c r="AB62" s="133"/>
      <c r="AC62" s="133"/>
      <c r="AD62" s="342" t="s">
        <v>249</v>
      </c>
      <c r="AE62" s="344"/>
      <c r="AF62" s="136" t="s">
        <v>243</v>
      </c>
      <c r="AG62" s="136" t="s">
        <v>244</v>
      </c>
      <c r="AH62" s="136" t="s">
        <v>245</v>
      </c>
      <c r="AI62" s="136" t="s">
        <v>250</v>
      </c>
      <c r="AJ62" s="136" t="s">
        <v>644</v>
      </c>
      <c r="AK62" s="120"/>
      <c r="AL62" s="150"/>
      <c r="AM62" s="133"/>
      <c r="AN62" s="342" t="s">
        <v>248</v>
      </c>
      <c r="AO62" s="344"/>
      <c r="AP62" s="136" t="s">
        <v>243</v>
      </c>
      <c r="AQ62" s="136" t="s">
        <v>244</v>
      </c>
      <c r="AR62" s="136" t="s">
        <v>947</v>
      </c>
      <c r="AS62" s="136" t="s">
        <v>948</v>
      </c>
      <c r="AT62" s="136" t="s">
        <v>949</v>
      </c>
      <c r="AU62" s="120"/>
      <c r="AV62" s="133"/>
      <c r="AW62" s="150"/>
      <c r="AX62" s="134" t="s">
        <v>248</v>
      </c>
      <c r="AY62" s="135"/>
      <c r="AZ62" s="136" t="s">
        <v>243</v>
      </c>
      <c r="BA62" s="136" t="s">
        <v>244</v>
      </c>
      <c r="BB62" s="136" t="s">
        <v>245</v>
      </c>
      <c r="BC62" s="136" t="s">
        <v>250</v>
      </c>
      <c r="BD62" s="136" t="s">
        <v>950</v>
      </c>
      <c r="BE62" s="120"/>
      <c r="BF62" s="137"/>
      <c r="BG62" s="137"/>
      <c r="BH62" s="150"/>
      <c r="BI62" s="137"/>
      <c r="BJ62" s="137"/>
      <c r="BK62" s="137"/>
      <c r="BL62" s="137"/>
      <c r="BM62" s="137"/>
    </row>
    <row r="63" spans="1:65">
      <c r="A63" s="133"/>
      <c r="B63" s="133"/>
      <c r="C63" s="133"/>
      <c r="D63" s="142" t="s">
        <v>796</v>
      </c>
      <c r="E63" s="133"/>
      <c r="F63" s="134" t="s">
        <v>788</v>
      </c>
      <c r="G63" s="135"/>
      <c r="H63" s="92">
        <v>4</v>
      </c>
      <c r="I63" s="362">
        <v>0.38</v>
      </c>
      <c r="J63" s="362">
        <v>0.5</v>
      </c>
      <c r="K63" s="120">
        <v>180</v>
      </c>
      <c r="L63" s="150">
        <v>43000</v>
      </c>
      <c r="M63" s="149">
        <v>2.5833333333333299</v>
      </c>
      <c r="N63" s="133"/>
      <c r="O63" s="133"/>
      <c r="P63" s="134" t="s">
        <v>788</v>
      </c>
      <c r="Q63" s="135"/>
      <c r="R63" s="92">
        <v>4</v>
      </c>
      <c r="S63" s="430">
        <v>0.25</v>
      </c>
      <c r="T63" s="389">
        <v>4.4000000000000004</v>
      </c>
      <c r="U63" s="150">
        <v>51000</v>
      </c>
      <c r="V63" s="149">
        <v>4.25</v>
      </c>
      <c r="W63" s="133"/>
      <c r="X63" s="133"/>
      <c r="Y63" s="133"/>
      <c r="Z63" s="133"/>
      <c r="AA63" s="133"/>
      <c r="AB63" s="142" t="s">
        <v>796</v>
      </c>
      <c r="AC63" s="133"/>
      <c r="AD63" s="95" t="s">
        <v>260</v>
      </c>
      <c r="AE63" s="345"/>
      <c r="AF63" s="94">
        <v>9</v>
      </c>
      <c r="AG63" s="120">
        <v>4000</v>
      </c>
      <c r="AH63" s="120">
        <v>130</v>
      </c>
      <c r="AI63" s="120">
        <v>260</v>
      </c>
      <c r="AJ63" s="120">
        <f>AI63*5</f>
        <v>1300</v>
      </c>
      <c r="AK63" s="120"/>
      <c r="AL63" s="150"/>
      <c r="AM63" s="133"/>
      <c r="AN63" s="95" t="s">
        <v>259</v>
      </c>
      <c r="AO63" s="345"/>
      <c r="AP63" s="94">
        <v>6</v>
      </c>
      <c r="AQ63" s="120">
        <v>1900</v>
      </c>
      <c r="AR63" s="120">
        <v>75</v>
      </c>
      <c r="AS63" s="120">
        <v>150</v>
      </c>
      <c r="AT63" s="120">
        <v>1500</v>
      </c>
      <c r="AU63" s="120"/>
      <c r="AV63" s="133"/>
      <c r="AW63" s="150"/>
      <c r="AX63" s="137" t="s">
        <v>554</v>
      </c>
      <c r="AY63" s="138"/>
      <c r="AZ63" s="94">
        <v>5</v>
      </c>
      <c r="BA63" s="120">
        <v>3200</v>
      </c>
      <c r="BB63" s="120">
        <v>360</v>
      </c>
      <c r="BC63" s="120">
        <f>BB63*0.7</f>
        <v>251.99999999999997</v>
      </c>
      <c r="BD63" s="120">
        <v>1</v>
      </c>
      <c r="BE63" s="120"/>
      <c r="BF63" s="137"/>
      <c r="BG63" s="137"/>
      <c r="BH63" s="150"/>
      <c r="BI63" s="137"/>
      <c r="BJ63" s="137"/>
      <c r="BK63" s="137"/>
      <c r="BL63" s="137"/>
      <c r="BM63" s="137"/>
    </row>
    <row r="64" spans="1:65">
      <c r="A64" s="133"/>
      <c r="B64" s="133"/>
      <c r="C64" s="133"/>
      <c r="D64" s="142" t="s">
        <v>802</v>
      </c>
      <c r="E64" s="133"/>
      <c r="F64" s="137" t="s">
        <v>794</v>
      </c>
      <c r="G64" s="138"/>
      <c r="H64" s="93">
        <v>5</v>
      </c>
      <c r="I64" s="362">
        <v>0.4</v>
      </c>
      <c r="J64" s="362">
        <v>0.55000000000000004</v>
      </c>
      <c r="K64" s="120">
        <v>220</v>
      </c>
      <c r="L64" s="150">
        <v>70000</v>
      </c>
      <c r="M64" s="149">
        <v>6.25</v>
      </c>
      <c r="N64" s="133"/>
      <c r="O64" s="133"/>
      <c r="P64" s="137" t="s">
        <v>794</v>
      </c>
      <c r="Q64" s="138"/>
      <c r="R64" s="93">
        <v>5</v>
      </c>
      <c r="S64" s="430">
        <v>0.28999999999999998</v>
      </c>
      <c r="T64" s="389">
        <v>4.7</v>
      </c>
      <c r="U64" s="150">
        <v>84000</v>
      </c>
      <c r="V64" s="149">
        <v>7.75</v>
      </c>
      <c r="W64" s="133"/>
      <c r="X64" s="133"/>
      <c r="Y64" s="133"/>
      <c r="Z64" s="133"/>
      <c r="AA64" s="133"/>
      <c r="AB64" s="142" t="s">
        <v>798</v>
      </c>
      <c r="AC64" s="133"/>
      <c r="AD64" s="95" t="s">
        <v>273</v>
      </c>
      <c r="AE64" s="345"/>
      <c r="AF64" s="100">
        <v>10</v>
      </c>
      <c r="AG64" s="120">
        <v>4200</v>
      </c>
      <c r="AH64" s="120">
        <v>140</v>
      </c>
      <c r="AI64" s="120">
        <v>280</v>
      </c>
      <c r="AJ64" s="120">
        <f>AI64*5</f>
        <v>1400</v>
      </c>
      <c r="AK64" s="120"/>
      <c r="AL64" s="150"/>
      <c r="AM64" s="133"/>
      <c r="AN64" s="95" t="s">
        <v>951</v>
      </c>
      <c r="AO64" s="345"/>
      <c r="AP64" s="100">
        <v>7</v>
      </c>
      <c r="AQ64" s="120">
        <v>2050</v>
      </c>
      <c r="AR64" s="120">
        <v>79</v>
      </c>
      <c r="AS64" s="120">
        <v>158</v>
      </c>
      <c r="AT64" s="120">
        <v>1580</v>
      </c>
      <c r="AU64" s="120"/>
      <c r="AV64" s="133"/>
      <c r="AW64" s="150"/>
      <c r="AX64" s="137" t="s">
        <v>419</v>
      </c>
      <c r="AY64" s="138"/>
      <c r="AZ64" s="122">
        <v>6</v>
      </c>
      <c r="BA64" s="120">
        <v>3400</v>
      </c>
      <c r="BB64" s="120">
        <v>390</v>
      </c>
      <c r="BC64" s="120">
        <f>BB64*0.7</f>
        <v>273</v>
      </c>
      <c r="BD64" s="120" t="s">
        <v>952</v>
      </c>
      <c r="BE64" s="120"/>
      <c r="BF64" s="137"/>
      <c r="BG64" s="137"/>
      <c r="BH64" s="150"/>
      <c r="BI64" s="137"/>
      <c r="BJ64" s="137"/>
      <c r="BK64" s="137"/>
      <c r="BL64" s="137"/>
      <c r="BM64" s="137"/>
    </row>
    <row r="65" spans="1:65">
      <c r="A65" s="133"/>
      <c r="B65" s="133"/>
      <c r="C65" s="133"/>
      <c r="D65" s="142" t="s">
        <v>804</v>
      </c>
      <c r="E65" s="133"/>
      <c r="F65" s="140"/>
      <c r="G65" s="141"/>
      <c r="H65" s="94">
        <v>6</v>
      </c>
      <c r="I65" s="362">
        <v>0.42</v>
      </c>
      <c r="J65" s="362">
        <v>0.6</v>
      </c>
      <c r="K65" s="120">
        <v>260</v>
      </c>
      <c r="L65" s="150">
        <v>123000</v>
      </c>
      <c r="M65" s="149">
        <v>7.75</v>
      </c>
      <c r="N65" s="133"/>
      <c r="O65" s="133"/>
      <c r="P65" s="140"/>
      <c r="Q65" s="141"/>
      <c r="R65" s="429"/>
      <c r="S65" s="120"/>
      <c r="T65" s="120"/>
      <c r="U65" s="120"/>
      <c r="V65" s="120"/>
      <c r="W65" s="120"/>
      <c r="X65" s="133"/>
      <c r="Y65" s="133"/>
      <c r="Z65" s="133"/>
      <c r="AA65" s="133"/>
      <c r="AB65" s="142" t="s">
        <v>802</v>
      </c>
      <c r="AC65" s="133"/>
      <c r="AD65" s="346" t="s">
        <v>281</v>
      </c>
      <c r="AE65" s="347"/>
      <c r="AF65" s="122">
        <v>11</v>
      </c>
      <c r="AG65" s="120">
        <v>4400</v>
      </c>
      <c r="AH65" s="120">
        <v>150</v>
      </c>
      <c r="AI65" s="120">
        <v>300</v>
      </c>
      <c r="AJ65" s="120">
        <f>AI65*5</f>
        <v>1500</v>
      </c>
      <c r="AK65" s="133"/>
      <c r="AL65" s="133"/>
      <c r="AM65" s="133"/>
      <c r="AN65" s="346" t="s">
        <v>445</v>
      </c>
      <c r="AO65" s="347"/>
      <c r="AP65" s="121">
        <v>8</v>
      </c>
      <c r="AQ65" s="120">
        <v>2200</v>
      </c>
      <c r="AR65" s="120">
        <v>83</v>
      </c>
      <c r="AS65" s="120">
        <v>166</v>
      </c>
      <c r="AT65" s="120">
        <v>1660</v>
      </c>
      <c r="AU65" s="120"/>
      <c r="AV65" s="133"/>
      <c r="AW65" s="150"/>
      <c r="AX65" s="140" t="s">
        <v>281</v>
      </c>
      <c r="AY65" s="143"/>
      <c r="AZ65" s="120"/>
      <c r="BA65" s="120"/>
      <c r="BB65" s="120"/>
      <c r="BC65" s="120"/>
      <c r="BD65" s="120"/>
      <c r="BE65" s="120"/>
      <c r="BF65" s="137"/>
      <c r="BG65" s="137"/>
      <c r="BH65" s="120"/>
      <c r="BI65" s="137"/>
      <c r="BJ65" s="137"/>
      <c r="BK65" s="137"/>
      <c r="BL65" s="137"/>
      <c r="BM65" s="137"/>
    </row>
    <row r="66" spans="1:65">
      <c r="A66" s="133"/>
      <c r="B66" s="133"/>
      <c r="C66" s="133"/>
      <c r="D66" s="142" t="s">
        <v>307</v>
      </c>
      <c r="E66" s="133"/>
      <c r="F66" s="134" t="s">
        <v>305</v>
      </c>
      <c r="G66" s="135"/>
      <c r="H66" s="100">
        <v>7</v>
      </c>
      <c r="I66" s="362">
        <v>0.44</v>
      </c>
      <c r="J66" s="362">
        <v>0.65</v>
      </c>
      <c r="K66" s="120">
        <v>280</v>
      </c>
      <c r="L66" s="150">
        <v>195000</v>
      </c>
      <c r="M66" s="149">
        <v>11.75</v>
      </c>
      <c r="N66" s="133"/>
      <c r="O66" s="133"/>
      <c r="P66" s="134" t="s">
        <v>305</v>
      </c>
      <c r="Q66" s="135"/>
      <c r="R66" s="137" t="s">
        <v>953</v>
      </c>
      <c r="S66" s="120"/>
      <c r="T66" s="120"/>
      <c r="U66" s="120"/>
      <c r="V66" s="120"/>
      <c r="W66" s="120"/>
      <c r="X66" s="133"/>
      <c r="Y66" s="133"/>
      <c r="Z66" s="133"/>
      <c r="AA66" s="133"/>
      <c r="AB66" s="142" t="s">
        <v>307</v>
      </c>
      <c r="AC66" s="133"/>
      <c r="AD66" s="342" t="s">
        <v>287</v>
      </c>
      <c r="AE66" s="344"/>
      <c r="AF66" s="122"/>
      <c r="AG66" s="120"/>
      <c r="AH66" s="120"/>
      <c r="AI66" s="120"/>
      <c r="AJ66" s="120"/>
      <c r="AK66" s="133"/>
      <c r="AL66" s="133"/>
      <c r="AM66" s="133"/>
      <c r="AN66" s="137" t="s">
        <v>954</v>
      </c>
      <c r="AO66" s="344"/>
      <c r="AP66" s="120"/>
      <c r="AQ66" s="120"/>
      <c r="AR66" s="120"/>
      <c r="AS66" s="120"/>
      <c r="AT66" s="120"/>
      <c r="AU66" s="133"/>
      <c r="AV66" s="133"/>
      <c r="AW66" s="133"/>
      <c r="AX66" s="134" t="s">
        <v>558</v>
      </c>
      <c r="AY66" s="135"/>
      <c r="AZ66" s="120"/>
      <c r="BA66" s="120"/>
      <c r="BB66" s="120"/>
      <c r="BC66" s="120"/>
      <c r="BD66" s="120"/>
      <c r="BE66" s="120"/>
      <c r="BF66" s="137"/>
      <c r="BG66" s="137"/>
      <c r="BH66" s="120"/>
      <c r="BI66" s="137"/>
      <c r="BJ66" s="137"/>
      <c r="BK66" s="137"/>
      <c r="BL66" s="137"/>
      <c r="BM66" s="137"/>
    </row>
    <row r="67" spans="1:65">
      <c r="A67" s="133"/>
      <c r="B67" s="133"/>
      <c r="C67" s="133"/>
      <c r="D67" s="133"/>
      <c r="E67" s="133"/>
      <c r="F67" s="137" t="s">
        <v>803</v>
      </c>
      <c r="G67" s="138"/>
      <c r="H67" s="121">
        <v>8</v>
      </c>
      <c r="I67" s="362">
        <v>0.46</v>
      </c>
      <c r="J67" s="362">
        <v>0.68</v>
      </c>
      <c r="K67" s="120">
        <v>300</v>
      </c>
      <c r="L67" s="150">
        <v>285000</v>
      </c>
      <c r="M67" s="149">
        <v>16.75</v>
      </c>
      <c r="N67" s="133"/>
      <c r="O67" s="133"/>
      <c r="P67" s="137" t="s">
        <v>803</v>
      </c>
      <c r="Q67" s="138"/>
      <c r="R67" s="137" t="s">
        <v>955</v>
      </c>
      <c r="S67" s="133"/>
      <c r="T67" s="133"/>
      <c r="U67" s="133"/>
      <c r="V67" s="133"/>
      <c r="W67" s="133"/>
      <c r="X67" s="133"/>
      <c r="Y67" s="133"/>
      <c r="Z67" s="133"/>
      <c r="AA67" s="133"/>
      <c r="AB67" s="133"/>
      <c r="AC67" s="133"/>
      <c r="AD67" s="95" t="s">
        <v>956</v>
      </c>
      <c r="AE67" s="345"/>
      <c r="AF67" s="90"/>
      <c r="AG67" s="120"/>
      <c r="AH67" s="120"/>
      <c r="AI67" s="120"/>
      <c r="AJ67" s="120"/>
      <c r="AK67" s="149"/>
      <c r="AL67" s="133"/>
      <c r="AM67" s="133"/>
      <c r="AN67" s="137" t="s">
        <v>957</v>
      </c>
      <c r="AO67" s="345"/>
      <c r="AP67" s="90"/>
      <c r="AQ67" s="120"/>
      <c r="AR67" s="120"/>
      <c r="AS67" s="120"/>
      <c r="AT67" s="120"/>
      <c r="AU67" s="149"/>
      <c r="AV67" s="133"/>
      <c r="AW67" s="133"/>
      <c r="AX67" s="137" t="s">
        <v>958</v>
      </c>
      <c r="AY67" s="138"/>
      <c r="AZ67" s="120"/>
      <c r="BA67" s="120"/>
      <c r="BB67" s="120"/>
      <c r="BC67" s="120"/>
      <c r="BD67" s="120"/>
      <c r="BE67" s="120"/>
      <c r="BF67" s="137"/>
      <c r="BG67" s="137"/>
      <c r="BH67" s="120"/>
      <c r="BI67" s="137"/>
      <c r="BJ67" s="137"/>
      <c r="BK67" s="137"/>
      <c r="BL67" s="137"/>
      <c r="BM67" s="137"/>
    </row>
    <row r="68" spans="1:65">
      <c r="A68" s="133"/>
      <c r="B68" s="133"/>
      <c r="C68" s="133"/>
      <c r="D68" s="133"/>
      <c r="E68" s="133"/>
      <c r="F68" s="133"/>
      <c r="G68" s="133"/>
      <c r="H68" s="122">
        <v>9</v>
      </c>
      <c r="I68" s="362">
        <v>0.48</v>
      </c>
      <c r="J68" s="362">
        <v>0.7</v>
      </c>
      <c r="K68" s="120">
        <v>320</v>
      </c>
      <c r="L68" s="150">
        <v>320000</v>
      </c>
      <c r="M68" s="149">
        <v>17.5</v>
      </c>
      <c r="N68" s="133"/>
      <c r="O68" s="133"/>
      <c r="P68" s="133"/>
      <c r="Q68" s="133"/>
      <c r="R68" s="133"/>
      <c r="S68" s="133"/>
      <c r="T68" s="133"/>
      <c r="U68" s="133"/>
      <c r="V68" s="133"/>
      <c r="W68" s="133"/>
      <c r="X68" s="133"/>
      <c r="Y68" s="133"/>
      <c r="Z68" s="133"/>
      <c r="AA68" s="133"/>
      <c r="AB68" s="133"/>
      <c r="AC68" s="133"/>
      <c r="AD68" s="346"/>
      <c r="AE68" s="347"/>
      <c r="AF68" s="91"/>
      <c r="AG68" s="120"/>
      <c r="AH68" s="120"/>
      <c r="AI68" s="120"/>
      <c r="AJ68" s="120"/>
      <c r="AK68" s="149"/>
      <c r="AL68" s="133"/>
      <c r="AM68" s="133"/>
      <c r="AN68" s="346" t="s">
        <v>959</v>
      </c>
      <c r="AO68" s="347"/>
      <c r="AP68" s="91"/>
      <c r="AQ68" s="120"/>
      <c r="AR68" s="120"/>
      <c r="AS68" s="120"/>
      <c r="AT68" s="120"/>
      <c r="AU68" s="149"/>
      <c r="AV68" s="133"/>
      <c r="AW68" s="133"/>
      <c r="AX68" s="140" t="s">
        <v>960</v>
      </c>
      <c r="AY68" s="143"/>
      <c r="AZ68" s="120"/>
      <c r="BA68" s="120"/>
      <c r="BB68" s="120"/>
      <c r="BC68" s="120"/>
      <c r="BD68" s="120"/>
      <c r="BE68" s="120"/>
      <c r="BF68" s="137"/>
      <c r="BG68" s="137"/>
      <c r="BH68" s="120"/>
      <c r="BI68" s="137"/>
      <c r="BJ68" s="137"/>
      <c r="BK68" s="137"/>
      <c r="BL68" s="137"/>
      <c r="BM68" s="137"/>
    </row>
    <row r="69" spans="1:65">
      <c r="A69" s="133"/>
      <c r="B69" s="133"/>
      <c r="C69" s="133"/>
      <c r="D69" s="133"/>
      <c r="E69" s="133"/>
      <c r="F69" s="133"/>
      <c r="G69" s="133"/>
      <c r="H69" s="137" t="s">
        <v>961</v>
      </c>
      <c r="I69" s="133"/>
      <c r="J69" s="133"/>
      <c r="K69" s="133"/>
      <c r="L69" s="133"/>
      <c r="M69" s="133"/>
      <c r="N69" s="133"/>
      <c r="O69" s="133"/>
      <c r="P69" s="133"/>
      <c r="Q69" s="133"/>
      <c r="R69" s="133"/>
      <c r="S69" s="133"/>
      <c r="T69" s="133"/>
      <c r="U69" s="133"/>
      <c r="V69" s="133"/>
      <c r="W69" s="133"/>
      <c r="X69" s="133"/>
      <c r="Y69" s="133"/>
      <c r="Z69" s="133"/>
      <c r="AA69" s="133"/>
      <c r="AB69" s="133"/>
      <c r="AC69" s="133"/>
      <c r="AD69" s="95" t="s">
        <v>449</v>
      </c>
      <c r="AE69" s="344"/>
      <c r="AF69" s="92"/>
      <c r="AG69" s="120"/>
      <c r="AH69" s="120"/>
      <c r="AI69" s="120"/>
      <c r="AJ69" s="120"/>
      <c r="AK69" s="149"/>
      <c r="AL69" s="133"/>
      <c r="AM69" s="133"/>
      <c r="AN69" s="95" t="s">
        <v>604</v>
      </c>
      <c r="AO69" s="344"/>
      <c r="AP69" s="92"/>
      <c r="AQ69" s="120"/>
      <c r="AR69" s="120"/>
      <c r="AS69" s="120"/>
      <c r="AT69" s="120"/>
      <c r="AU69" s="149"/>
      <c r="AV69" s="133"/>
      <c r="AW69" s="133"/>
      <c r="AX69" s="137" t="s">
        <v>962</v>
      </c>
      <c r="AY69" s="135"/>
      <c r="AZ69" s="95"/>
      <c r="BA69" s="120"/>
      <c r="BB69" s="120"/>
      <c r="BC69" s="120"/>
      <c r="BD69" s="120"/>
      <c r="BE69" s="137"/>
      <c r="BF69" s="137"/>
      <c r="BG69" s="137"/>
      <c r="BH69" s="120"/>
      <c r="BI69" s="137"/>
      <c r="BJ69" s="137"/>
      <c r="BK69" s="137"/>
      <c r="BL69" s="137"/>
      <c r="BM69" s="137"/>
    </row>
    <row r="70" spans="1:65">
      <c r="A70" s="133"/>
      <c r="B70" s="133"/>
      <c r="C70" s="133"/>
      <c r="D70" s="133"/>
      <c r="E70" s="133"/>
      <c r="F70" s="133"/>
      <c r="G70" s="133"/>
      <c r="H70" s="137" t="s">
        <v>963</v>
      </c>
      <c r="I70" s="133"/>
      <c r="J70" s="133"/>
      <c r="K70" s="133"/>
      <c r="L70" s="133"/>
      <c r="M70" s="133"/>
      <c r="N70" s="133"/>
      <c r="O70" s="133"/>
      <c r="P70" s="137" t="s">
        <v>964</v>
      </c>
      <c r="Q70" s="133"/>
      <c r="R70" s="133"/>
      <c r="S70" s="133"/>
      <c r="T70" s="133"/>
      <c r="U70" s="133"/>
      <c r="V70" s="133"/>
      <c r="W70" s="133"/>
      <c r="X70" s="133"/>
      <c r="Y70" s="133"/>
      <c r="Z70" s="133"/>
      <c r="AA70" s="133"/>
      <c r="AB70" s="133"/>
      <c r="AC70" s="133"/>
      <c r="AD70" s="95" t="s">
        <v>631</v>
      </c>
      <c r="AE70" s="345"/>
      <c r="AF70" s="133"/>
      <c r="AG70" s="133"/>
      <c r="AH70" s="133"/>
      <c r="AI70" s="133"/>
      <c r="AJ70" s="133"/>
      <c r="AK70" s="133"/>
      <c r="AL70" s="133"/>
      <c r="AM70" s="133"/>
      <c r="AN70" s="95" t="s">
        <v>965</v>
      </c>
      <c r="AO70" s="345"/>
      <c r="AP70" s="137" t="s">
        <v>966</v>
      </c>
      <c r="AQ70" s="133"/>
      <c r="AR70" s="133"/>
      <c r="AS70" s="133"/>
      <c r="AT70" s="133"/>
      <c r="AU70" s="133"/>
      <c r="AV70" s="133"/>
      <c r="AW70" s="133"/>
      <c r="AX70" s="137" t="s">
        <v>967</v>
      </c>
      <c r="AY70" s="138"/>
      <c r="AZ70" s="95" t="s">
        <v>968</v>
      </c>
      <c r="BA70" s="120"/>
      <c r="BB70" s="120"/>
      <c r="BC70" s="120"/>
      <c r="BD70" s="120"/>
      <c r="BE70" s="137"/>
      <c r="BF70" s="137"/>
      <c r="BG70" s="137"/>
      <c r="BH70" s="120"/>
      <c r="BI70" s="137"/>
      <c r="BJ70" s="137"/>
      <c r="BK70" s="137"/>
      <c r="BL70" s="137"/>
      <c r="BM70" s="137"/>
    </row>
    <row r="71" spans="1:65">
      <c r="A71" s="133"/>
      <c r="B71" s="133"/>
      <c r="C71" s="133"/>
      <c r="D71" s="133"/>
      <c r="E71" s="133"/>
      <c r="F71" s="137" t="s">
        <v>969</v>
      </c>
      <c r="G71" s="133"/>
      <c r="H71" s="133"/>
      <c r="I71" s="133"/>
      <c r="J71" s="133"/>
      <c r="K71" s="133"/>
      <c r="L71" s="133"/>
      <c r="M71" s="133"/>
      <c r="N71" s="137"/>
      <c r="O71" s="133"/>
      <c r="P71" s="134" t="s">
        <v>970</v>
      </c>
      <c r="Q71" s="135"/>
      <c r="R71" s="136" t="s">
        <v>243</v>
      </c>
      <c r="S71" s="136" t="s">
        <v>267</v>
      </c>
      <c r="T71" s="136" t="s">
        <v>971</v>
      </c>
      <c r="U71" s="136" t="s">
        <v>246</v>
      </c>
      <c r="V71" s="148" t="s">
        <v>247</v>
      </c>
      <c r="W71" s="133"/>
      <c r="X71" s="133"/>
      <c r="Y71" s="133"/>
      <c r="Z71" s="133"/>
      <c r="AA71" s="133"/>
      <c r="AB71" s="133"/>
      <c r="AC71" s="133"/>
      <c r="AD71" s="95" t="s">
        <v>972</v>
      </c>
      <c r="AE71" s="345"/>
      <c r="AF71" s="133"/>
      <c r="AG71" s="133"/>
      <c r="AH71" s="133"/>
      <c r="AI71" s="133"/>
      <c r="AJ71" s="133"/>
      <c r="AK71" s="133"/>
      <c r="AL71" s="133"/>
      <c r="AM71" s="133"/>
      <c r="AN71" s="95" t="s">
        <v>973</v>
      </c>
      <c r="AO71" s="345"/>
      <c r="AP71" s="133"/>
      <c r="AQ71" s="133"/>
      <c r="AR71" s="133"/>
      <c r="AS71" s="133"/>
      <c r="AT71" s="133"/>
      <c r="AU71" s="133"/>
      <c r="AV71" s="133"/>
      <c r="AW71" s="133"/>
      <c r="AX71" s="95" t="s">
        <v>974</v>
      </c>
      <c r="AY71" s="345"/>
      <c r="AZ71" s="95" t="s">
        <v>975</v>
      </c>
      <c r="BA71" s="133"/>
      <c r="BB71" s="133"/>
      <c r="BC71" s="133"/>
      <c r="BD71" s="133"/>
      <c r="BE71" s="133"/>
      <c r="BF71" s="137"/>
      <c r="BG71" s="137"/>
      <c r="BH71" s="133"/>
      <c r="BI71" s="137"/>
      <c r="BJ71" s="137"/>
      <c r="BK71" s="137"/>
      <c r="BL71" s="137"/>
      <c r="BM71" s="137"/>
    </row>
    <row r="72" spans="1:65">
      <c r="A72" s="133"/>
      <c r="B72" s="133"/>
      <c r="C72" s="133"/>
      <c r="D72" s="133"/>
      <c r="E72" s="133"/>
      <c r="F72" s="134" t="s">
        <v>976</v>
      </c>
      <c r="G72" s="135"/>
      <c r="H72" s="136" t="s">
        <v>243</v>
      </c>
      <c r="I72" s="136" t="s">
        <v>977</v>
      </c>
      <c r="J72" s="136" t="s">
        <v>821</v>
      </c>
      <c r="K72" s="136" t="s">
        <v>246</v>
      </c>
      <c r="L72" s="148" t="s">
        <v>247</v>
      </c>
      <c r="M72" s="133"/>
      <c r="N72" s="149"/>
      <c r="O72" s="133"/>
      <c r="P72" s="137" t="s">
        <v>504</v>
      </c>
      <c r="Q72" s="138"/>
      <c r="R72" s="91">
        <v>1</v>
      </c>
      <c r="S72" s="120">
        <v>12</v>
      </c>
      <c r="T72" s="139">
        <v>12</v>
      </c>
      <c r="U72" s="120"/>
      <c r="V72" s="120"/>
      <c r="W72" s="133"/>
      <c r="X72" s="133"/>
      <c r="Y72" s="133"/>
      <c r="Z72" s="133"/>
      <c r="AA72" s="133"/>
      <c r="AB72" s="133"/>
      <c r="AC72" s="133"/>
      <c r="AD72" s="95" t="s">
        <v>978</v>
      </c>
      <c r="AE72" s="133"/>
      <c r="AF72" s="436"/>
      <c r="AG72" s="133"/>
      <c r="AH72" s="133"/>
      <c r="AI72" s="133"/>
      <c r="AJ72" s="133"/>
      <c r="AK72" s="133"/>
      <c r="AL72" s="133"/>
      <c r="AM72" s="133"/>
      <c r="AN72" s="95" t="s">
        <v>979</v>
      </c>
      <c r="AO72" s="133"/>
      <c r="AP72" s="436"/>
      <c r="AQ72" s="133"/>
      <c r="AR72" s="133"/>
      <c r="AS72" s="133"/>
      <c r="AT72" s="133"/>
      <c r="AU72" s="133"/>
      <c r="AV72" s="133"/>
      <c r="AW72" s="133"/>
      <c r="AX72" s="95" t="s">
        <v>980</v>
      </c>
      <c r="AY72" s="133"/>
      <c r="AZ72" s="436"/>
      <c r="BA72" s="133"/>
      <c r="BB72" s="133"/>
      <c r="BC72" s="133"/>
      <c r="BD72" s="133"/>
      <c r="BE72" s="133"/>
      <c r="BF72" s="137"/>
      <c r="BG72" s="137"/>
      <c r="BH72" s="133"/>
      <c r="BI72" s="137"/>
      <c r="BJ72" s="137"/>
      <c r="BK72" s="137"/>
      <c r="BL72" s="137"/>
      <c r="BM72" s="137"/>
    </row>
    <row r="73" spans="1:65">
      <c r="A73" s="133"/>
      <c r="B73" s="133"/>
      <c r="C73" s="133"/>
      <c r="D73" s="133"/>
      <c r="E73" s="133"/>
      <c r="F73" s="137" t="s">
        <v>839</v>
      </c>
      <c r="G73" s="138"/>
      <c r="H73" s="91">
        <v>1</v>
      </c>
      <c r="I73" s="120">
        <v>28</v>
      </c>
      <c r="J73" s="139">
        <v>10</v>
      </c>
      <c r="K73" s="120"/>
      <c r="L73" s="120"/>
      <c r="M73" s="133"/>
      <c r="N73" s="149"/>
      <c r="O73" s="133"/>
      <c r="P73" s="137" t="s">
        <v>981</v>
      </c>
      <c r="Q73" s="138"/>
      <c r="R73" s="92">
        <v>2</v>
      </c>
      <c r="S73" s="120">
        <v>13</v>
      </c>
      <c r="T73" s="139">
        <v>13</v>
      </c>
      <c r="U73" s="150">
        <v>22000</v>
      </c>
      <c r="V73" s="149">
        <v>1.3333333333333299</v>
      </c>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7"/>
      <c r="BB73" s="137"/>
      <c r="BC73" s="137"/>
      <c r="BD73" s="137"/>
      <c r="BE73" s="137"/>
      <c r="BF73" s="137"/>
      <c r="BG73" s="137"/>
      <c r="BH73" s="137"/>
      <c r="BI73" s="137"/>
      <c r="BJ73" s="137"/>
      <c r="BK73" s="137"/>
      <c r="BL73" s="137"/>
      <c r="BM73" s="137"/>
    </row>
    <row r="74" spans="1:65">
      <c r="A74" s="133"/>
      <c r="B74" s="133"/>
      <c r="C74" s="133"/>
      <c r="D74" s="133"/>
      <c r="E74" s="133"/>
      <c r="F74" s="137" t="s">
        <v>826</v>
      </c>
      <c r="G74" s="138"/>
      <c r="H74" s="91">
        <v>2</v>
      </c>
      <c r="I74" s="120">
        <v>34</v>
      </c>
      <c r="J74" s="139">
        <v>15</v>
      </c>
      <c r="K74" s="150">
        <v>20000</v>
      </c>
      <c r="L74" s="149">
        <v>1.5</v>
      </c>
      <c r="M74" s="133"/>
      <c r="N74" s="149"/>
      <c r="O74" s="133"/>
      <c r="P74" s="142" t="s">
        <v>982</v>
      </c>
      <c r="Q74" s="143"/>
      <c r="R74" s="92">
        <v>3</v>
      </c>
      <c r="S74" s="120">
        <v>14</v>
      </c>
      <c r="T74" s="139">
        <v>14</v>
      </c>
      <c r="U74" s="150">
        <v>34000</v>
      </c>
      <c r="V74" s="149">
        <v>2.5833333333333299</v>
      </c>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20"/>
      <c r="AU74" s="150"/>
      <c r="AV74" s="133"/>
      <c r="AW74" s="133"/>
      <c r="AX74" s="133"/>
      <c r="AY74" s="133"/>
      <c r="AZ74" s="133"/>
      <c r="BA74" s="137"/>
      <c r="BB74" s="137"/>
      <c r="BC74" s="137"/>
      <c r="BD74" s="137"/>
      <c r="BE74" s="137"/>
      <c r="BF74" s="137"/>
      <c r="BG74" s="137"/>
      <c r="BH74" s="137"/>
      <c r="BI74" s="137"/>
      <c r="BJ74" s="137"/>
      <c r="BK74" s="137"/>
      <c r="BL74" s="137"/>
      <c r="BM74" s="137"/>
    </row>
    <row r="75" spans="1:65">
      <c r="A75" s="133"/>
      <c r="B75" s="133"/>
      <c r="C75" s="133"/>
      <c r="D75" s="133"/>
      <c r="E75" s="133"/>
      <c r="F75" s="133"/>
      <c r="G75" s="143"/>
      <c r="H75" s="92">
        <v>3</v>
      </c>
      <c r="I75" s="120">
        <v>40</v>
      </c>
      <c r="J75" s="139">
        <v>20</v>
      </c>
      <c r="K75" s="150">
        <v>34000</v>
      </c>
      <c r="L75" s="149">
        <v>2.5833333333333299</v>
      </c>
      <c r="M75" s="133"/>
      <c r="N75" s="149"/>
      <c r="O75" s="133"/>
      <c r="P75" s="134" t="s">
        <v>788</v>
      </c>
      <c r="Q75" s="135"/>
      <c r="R75" s="93">
        <v>4</v>
      </c>
      <c r="S75" s="120">
        <v>15</v>
      </c>
      <c r="T75" s="139">
        <v>15</v>
      </c>
      <c r="U75" s="150">
        <v>50000</v>
      </c>
      <c r="V75" s="149">
        <v>4.25</v>
      </c>
      <c r="W75" s="133"/>
      <c r="X75" s="133"/>
      <c r="Y75" s="133"/>
      <c r="Z75" s="133"/>
      <c r="AA75" s="133"/>
      <c r="AB75" s="133"/>
      <c r="AC75" s="133"/>
      <c r="AD75" s="137" t="s">
        <v>983</v>
      </c>
      <c r="AE75" s="137"/>
      <c r="AF75" s="137" t="s">
        <v>984</v>
      </c>
      <c r="AG75" s="133"/>
      <c r="AH75" s="137"/>
      <c r="AI75" s="137"/>
      <c r="AJ75" s="137"/>
      <c r="AK75" s="137"/>
      <c r="AL75" s="133"/>
      <c r="AM75" s="133"/>
      <c r="AN75" s="137" t="s">
        <v>985</v>
      </c>
      <c r="AO75" s="137"/>
      <c r="AP75" s="137"/>
      <c r="AQ75" s="137" t="s">
        <v>986</v>
      </c>
      <c r="AR75" s="137"/>
      <c r="AS75" s="137"/>
      <c r="AT75" s="120"/>
      <c r="AU75" s="150"/>
      <c r="AV75" s="133"/>
      <c r="AW75" s="133"/>
      <c r="AX75" s="137" t="s">
        <v>987</v>
      </c>
      <c r="AY75" s="137"/>
      <c r="AZ75" s="137" t="s">
        <v>988</v>
      </c>
      <c r="BA75" s="137"/>
      <c r="BB75" s="137"/>
      <c r="BC75" s="137"/>
      <c r="BD75" s="120"/>
      <c r="BE75" s="150"/>
      <c r="BF75" s="137"/>
      <c r="BG75" s="137"/>
      <c r="BH75" s="133"/>
      <c r="BI75" s="137"/>
      <c r="BJ75" s="137"/>
      <c r="BK75" s="137"/>
      <c r="BL75" s="137"/>
      <c r="BM75" s="137"/>
    </row>
    <row r="76" spans="1:65">
      <c r="A76" s="133"/>
      <c r="B76" s="133"/>
      <c r="C76" s="133"/>
      <c r="D76" s="133"/>
      <c r="E76" s="133"/>
      <c r="F76" s="134" t="s">
        <v>788</v>
      </c>
      <c r="G76" s="135"/>
      <c r="H76" s="92">
        <v>4</v>
      </c>
      <c r="I76" s="120">
        <v>46</v>
      </c>
      <c r="J76" s="139">
        <v>25</v>
      </c>
      <c r="K76" s="150">
        <v>60000</v>
      </c>
      <c r="L76" s="149">
        <v>5</v>
      </c>
      <c r="M76" s="133"/>
      <c r="N76" s="149"/>
      <c r="O76" s="133"/>
      <c r="P76" s="137" t="s">
        <v>989</v>
      </c>
      <c r="Q76" s="138"/>
      <c r="R76" s="94">
        <v>5</v>
      </c>
      <c r="S76" s="120">
        <v>16</v>
      </c>
      <c r="T76" s="139">
        <v>16</v>
      </c>
      <c r="U76" s="150">
        <v>87000</v>
      </c>
      <c r="V76" s="149">
        <v>6</v>
      </c>
      <c r="W76" s="133"/>
      <c r="X76" s="133"/>
      <c r="Y76" s="133"/>
      <c r="Z76" s="133"/>
      <c r="AA76" s="133"/>
      <c r="AB76" s="133"/>
      <c r="AC76" s="133"/>
      <c r="AD76" s="342" t="s">
        <v>248</v>
      </c>
      <c r="AE76" s="344"/>
      <c r="AF76" s="136" t="s">
        <v>243</v>
      </c>
      <c r="AG76" s="136" t="s">
        <v>244</v>
      </c>
      <c r="AH76" s="136" t="s">
        <v>245</v>
      </c>
      <c r="AI76" s="136" t="s">
        <v>250</v>
      </c>
      <c r="AJ76" s="120"/>
      <c r="AK76" s="150"/>
      <c r="AL76" s="133"/>
      <c r="AM76" s="133"/>
      <c r="AN76" s="134" t="s">
        <v>242</v>
      </c>
      <c r="AO76" s="135"/>
      <c r="AP76" s="136" t="s">
        <v>243</v>
      </c>
      <c r="AQ76" s="136" t="s">
        <v>244</v>
      </c>
      <c r="AR76" s="136" t="s">
        <v>245</v>
      </c>
      <c r="AS76" s="136" t="s">
        <v>250</v>
      </c>
      <c r="AT76" s="120"/>
      <c r="AU76" s="150"/>
      <c r="AV76" s="133"/>
      <c r="AW76" s="133"/>
      <c r="AX76" s="134" t="s">
        <v>248</v>
      </c>
      <c r="AY76" s="135"/>
      <c r="AZ76" s="136" t="s">
        <v>243</v>
      </c>
      <c r="BA76" s="136" t="s">
        <v>244</v>
      </c>
      <c r="BB76" s="136" t="s">
        <v>245</v>
      </c>
      <c r="BC76" s="136" t="s">
        <v>990</v>
      </c>
      <c r="BD76" s="120"/>
      <c r="BE76" s="150"/>
      <c r="BF76" s="137"/>
      <c r="BG76" s="137"/>
      <c r="BH76" s="133"/>
      <c r="BI76" s="137"/>
      <c r="BJ76" s="137"/>
      <c r="BK76" s="137"/>
      <c r="BL76" s="137"/>
      <c r="BM76" s="137"/>
    </row>
    <row r="77" spans="1:65">
      <c r="A77" s="133"/>
      <c r="B77" s="133"/>
      <c r="C77" s="133"/>
      <c r="D77" s="133"/>
      <c r="E77" s="133"/>
      <c r="F77" s="137" t="s">
        <v>794</v>
      </c>
      <c r="G77" s="138"/>
      <c r="H77" s="93">
        <v>5</v>
      </c>
      <c r="I77" s="120">
        <v>52</v>
      </c>
      <c r="J77" s="139">
        <v>30</v>
      </c>
      <c r="K77" s="150">
        <v>77000</v>
      </c>
      <c r="L77" s="149">
        <v>7.75</v>
      </c>
      <c r="M77" s="120"/>
      <c r="N77" s="133"/>
      <c r="O77" s="133"/>
      <c r="P77" s="140"/>
      <c r="Q77" s="141"/>
      <c r="R77" s="94">
        <v>6</v>
      </c>
      <c r="S77" s="120">
        <v>17</v>
      </c>
      <c r="T77" s="139">
        <v>17</v>
      </c>
      <c r="U77" s="150">
        <v>105000</v>
      </c>
      <c r="V77" s="149">
        <v>7.25</v>
      </c>
      <c r="W77" s="133"/>
      <c r="X77" s="133"/>
      <c r="Y77" s="133"/>
      <c r="Z77" s="133"/>
      <c r="AA77" s="133"/>
      <c r="AB77" s="133"/>
      <c r="AC77" s="133"/>
      <c r="AD77" s="95" t="s">
        <v>688</v>
      </c>
      <c r="AE77" s="345"/>
      <c r="AF77" s="93">
        <v>8</v>
      </c>
      <c r="AG77" s="120">
        <v>450</v>
      </c>
      <c r="AH77" s="120">
        <v>120</v>
      </c>
      <c r="AI77" s="120">
        <f>AH77*1.5</f>
        <v>180</v>
      </c>
      <c r="AJ77" s="120"/>
      <c r="AK77" s="150"/>
      <c r="AL77" s="133"/>
      <c r="AM77" s="133"/>
      <c r="AN77" s="137" t="s">
        <v>349</v>
      </c>
      <c r="AO77" s="138"/>
      <c r="AP77" s="94">
        <v>7</v>
      </c>
      <c r="AQ77" s="120">
        <v>2400</v>
      </c>
      <c r="AR77" s="120">
        <v>250</v>
      </c>
      <c r="AS77" s="120">
        <f>AR77*1.1</f>
        <v>275</v>
      </c>
      <c r="AT77" s="120"/>
      <c r="AU77" s="150"/>
      <c r="AV77" s="133"/>
      <c r="AW77" s="133"/>
      <c r="AX77" s="137" t="s">
        <v>259</v>
      </c>
      <c r="AY77" s="138"/>
      <c r="AZ77" s="94">
        <v>8</v>
      </c>
      <c r="BA77" s="120">
        <v>1500</v>
      </c>
      <c r="BB77" s="120">
        <v>300</v>
      </c>
      <c r="BC77" s="120">
        <f>BB77*1.65</f>
        <v>495</v>
      </c>
      <c r="BD77" s="120"/>
      <c r="BE77" s="150"/>
      <c r="BF77" s="137"/>
      <c r="BG77" s="137"/>
      <c r="BH77" s="133"/>
      <c r="BI77" s="137"/>
      <c r="BJ77" s="137"/>
      <c r="BK77" s="137"/>
      <c r="BL77" s="137"/>
      <c r="BM77" s="137"/>
    </row>
    <row r="78" spans="1:65">
      <c r="A78" s="133"/>
      <c r="B78" s="133"/>
      <c r="C78" s="133"/>
      <c r="D78" s="133"/>
      <c r="E78" s="133"/>
      <c r="F78" s="140"/>
      <c r="G78" s="141"/>
      <c r="H78" s="429"/>
      <c r="I78" s="120"/>
      <c r="J78" s="120"/>
      <c r="K78" s="120"/>
      <c r="L78" s="120"/>
      <c r="M78" s="120"/>
      <c r="N78" s="133"/>
      <c r="O78" s="133"/>
      <c r="P78" s="134" t="s">
        <v>305</v>
      </c>
      <c r="Q78" s="135"/>
      <c r="R78" s="100">
        <v>7</v>
      </c>
      <c r="S78" s="120">
        <v>18</v>
      </c>
      <c r="T78" s="139">
        <v>18</v>
      </c>
      <c r="U78" s="150">
        <v>187000</v>
      </c>
      <c r="V78" s="149">
        <v>11.25</v>
      </c>
      <c r="W78" s="133"/>
      <c r="X78" s="133"/>
      <c r="Y78" s="133"/>
      <c r="Z78" s="133"/>
      <c r="AA78" s="133"/>
      <c r="AB78" s="133"/>
      <c r="AC78" s="133"/>
      <c r="AD78" s="95" t="s">
        <v>405</v>
      </c>
      <c r="AE78" s="345"/>
      <c r="AF78" s="94">
        <v>9</v>
      </c>
      <c r="AG78" s="120">
        <v>510</v>
      </c>
      <c r="AH78" s="120">
        <v>132</v>
      </c>
      <c r="AI78" s="120">
        <f>AH78*1.5</f>
        <v>198</v>
      </c>
      <c r="AJ78" s="120"/>
      <c r="AK78" s="150"/>
      <c r="AL78" s="133"/>
      <c r="AM78" s="133"/>
      <c r="AN78" s="137" t="s">
        <v>698</v>
      </c>
      <c r="AO78" s="138"/>
      <c r="AP78" s="100">
        <v>8</v>
      </c>
      <c r="AQ78" s="120">
        <v>2700</v>
      </c>
      <c r="AR78" s="120">
        <v>300</v>
      </c>
      <c r="AS78" s="120">
        <f t="shared" ref="AS78:AS79" si="7">AR78*1.1</f>
        <v>330</v>
      </c>
      <c r="AT78" s="120"/>
      <c r="AU78" s="150"/>
      <c r="AV78" s="133"/>
      <c r="AW78" s="133"/>
      <c r="AX78" s="137" t="s">
        <v>272</v>
      </c>
      <c r="AY78" s="138"/>
      <c r="AZ78" s="100">
        <v>9</v>
      </c>
      <c r="BA78" s="120">
        <v>1600</v>
      </c>
      <c r="BB78" s="120">
        <v>325</v>
      </c>
      <c r="BC78" s="120">
        <f>BB78*1.65</f>
        <v>536.25</v>
      </c>
      <c r="BD78" s="120"/>
      <c r="BE78" s="150"/>
      <c r="BF78" s="137"/>
      <c r="BG78" s="137"/>
      <c r="BH78" s="133"/>
      <c r="BI78" s="137"/>
      <c r="BJ78" s="137"/>
      <c r="BK78" s="137"/>
      <c r="BL78" s="137"/>
      <c r="BM78" s="137"/>
    </row>
    <row r="79" spans="1:65">
      <c r="A79" s="133"/>
      <c r="B79" s="133"/>
      <c r="C79" s="133"/>
      <c r="D79" s="133"/>
      <c r="E79" s="133"/>
      <c r="F79" s="134" t="s">
        <v>305</v>
      </c>
      <c r="G79" s="135"/>
      <c r="H79" s="137" t="s">
        <v>991</v>
      </c>
      <c r="I79" s="120"/>
      <c r="J79" s="120"/>
      <c r="K79" s="120"/>
      <c r="L79" s="120"/>
      <c r="M79" s="133"/>
      <c r="N79" s="133"/>
      <c r="O79" s="133"/>
      <c r="P79" s="137" t="s">
        <v>803</v>
      </c>
      <c r="Q79" s="138"/>
      <c r="R79" s="137" t="s">
        <v>992</v>
      </c>
      <c r="S79" s="120"/>
      <c r="T79" s="133"/>
      <c r="U79" s="133"/>
      <c r="V79" s="133"/>
      <c r="W79" s="133"/>
      <c r="X79" s="133"/>
      <c r="Y79" s="133"/>
      <c r="Z79" s="133"/>
      <c r="AA79" s="133"/>
      <c r="AB79" s="133"/>
      <c r="AC79" s="133"/>
      <c r="AD79" s="346" t="s">
        <v>280</v>
      </c>
      <c r="AE79" s="347"/>
      <c r="AF79" s="121">
        <v>10</v>
      </c>
      <c r="AG79" s="120">
        <v>550</v>
      </c>
      <c r="AH79" s="120">
        <v>144</v>
      </c>
      <c r="AI79" s="120">
        <f>AH79*1.5</f>
        <v>216</v>
      </c>
      <c r="AJ79" s="120"/>
      <c r="AK79" s="150"/>
      <c r="AL79" s="133"/>
      <c r="AM79" s="133"/>
      <c r="AN79" s="140" t="s">
        <v>870</v>
      </c>
      <c r="AO79" s="143"/>
      <c r="AP79" s="121">
        <v>9</v>
      </c>
      <c r="AQ79" s="120">
        <v>2900</v>
      </c>
      <c r="AR79" s="120">
        <v>325</v>
      </c>
      <c r="AS79" s="120">
        <f t="shared" si="7"/>
        <v>357.50000000000006</v>
      </c>
      <c r="AT79" s="120"/>
      <c r="AU79" s="150"/>
      <c r="AV79" s="133"/>
      <c r="AW79" s="149"/>
      <c r="AX79" s="140" t="s">
        <v>279</v>
      </c>
      <c r="AY79" s="143"/>
      <c r="AZ79" s="121">
        <v>10</v>
      </c>
      <c r="BA79" s="120">
        <v>1700</v>
      </c>
      <c r="BB79" s="120">
        <v>350</v>
      </c>
      <c r="BC79" s="120">
        <f>BB79*1.65</f>
        <v>577.5</v>
      </c>
      <c r="BD79" s="120"/>
      <c r="BE79" s="150"/>
      <c r="BF79" s="137"/>
      <c r="BG79" s="137"/>
      <c r="BH79" s="133"/>
      <c r="BI79" s="137"/>
      <c r="BJ79" s="137"/>
      <c r="BK79" s="137"/>
      <c r="BL79" s="137"/>
      <c r="BM79" s="137"/>
    </row>
    <row r="80" spans="1:65">
      <c r="A80" s="133"/>
      <c r="B80" s="133"/>
      <c r="C80" s="133"/>
      <c r="D80" s="133"/>
      <c r="E80" s="133"/>
      <c r="F80" s="137" t="s">
        <v>803</v>
      </c>
      <c r="G80" s="138"/>
      <c r="H80" s="365" t="s">
        <v>993</v>
      </c>
      <c r="I80" s="133"/>
      <c r="J80" s="133"/>
      <c r="K80" s="133"/>
      <c r="L80" s="133"/>
      <c r="M80" s="133"/>
      <c r="N80" s="133"/>
      <c r="O80" s="133"/>
      <c r="P80" s="133"/>
      <c r="Q80" s="138"/>
      <c r="R80" s="137" t="s">
        <v>994</v>
      </c>
      <c r="S80" s="133"/>
      <c r="T80" s="133"/>
      <c r="U80" s="133"/>
      <c r="V80" s="133"/>
      <c r="W80" s="133"/>
      <c r="X80" s="133"/>
      <c r="Y80" s="133"/>
      <c r="Z80" s="133"/>
      <c r="AA80" s="133"/>
      <c r="AB80" s="133"/>
      <c r="AC80" s="133"/>
      <c r="AD80" s="49" t="s">
        <v>995</v>
      </c>
      <c r="AE80" s="344"/>
      <c r="AF80" s="122">
        <v>11</v>
      </c>
      <c r="AG80" s="120">
        <v>600</v>
      </c>
      <c r="AH80" s="120">
        <v>156</v>
      </c>
      <c r="AI80" s="120">
        <f>AH80*1.5</f>
        <v>234</v>
      </c>
      <c r="AJ80" s="133"/>
      <c r="AK80" s="133"/>
      <c r="AL80" s="133"/>
      <c r="AM80" s="133"/>
      <c r="AN80" s="134" t="s">
        <v>523</v>
      </c>
      <c r="AO80" s="135"/>
      <c r="AP80" s="91"/>
      <c r="AQ80" s="120"/>
      <c r="AR80" s="120"/>
      <c r="AS80" s="120"/>
      <c r="AT80" s="120"/>
      <c r="AU80" s="150"/>
      <c r="AV80" s="133"/>
      <c r="AW80" s="149"/>
      <c r="AX80" s="134" t="s">
        <v>287</v>
      </c>
      <c r="AY80" s="135"/>
      <c r="AZ80" s="122">
        <v>11</v>
      </c>
      <c r="BA80" s="120">
        <v>1800</v>
      </c>
      <c r="BB80" s="120">
        <v>360</v>
      </c>
      <c r="BC80" s="120">
        <f>BB80*1.65</f>
        <v>594</v>
      </c>
      <c r="BD80" s="120"/>
      <c r="BE80" s="150"/>
      <c r="BF80" s="137"/>
      <c r="BG80" s="137"/>
      <c r="BH80" s="133"/>
      <c r="BI80" s="137"/>
      <c r="BJ80" s="137"/>
      <c r="BK80" s="137"/>
      <c r="BL80" s="137"/>
      <c r="BM80" s="137"/>
    </row>
    <row r="81" spans="1:65">
      <c r="A81" s="133"/>
      <c r="B81" s="133"/>
      <c r="C81" s="133"/>
      <c r="D81" s="133"/>
      <c r="E81" s="133"/>
      <c r="F81" s="133"/>
      <c r="G81" s="133"/>
      <c r="H81" s="133"/>
      <c r="I81" s="133"/>
      <c r="J81" s="133"/>
      <c r="K81" s="133"/>
      <c r="L81" s="133"/>
      <c r="M81" s="133"/>
      <c r="N81" s="133"/>
      <c r="O81" s="133"/>
      <c r="P81" s="133"/>
      <c r="Q81" s="138"/>
      <c r="R81" s="137" t="s">
        <v>996</v>
      </c>
      <c r="S81" s="133"/>
      <c r="T81" s="133"/>
      <c r="U81" s="133"/>
      <c r="V81" s="133"/>
      <c r="W81" s="133"/>
      <c r="X81" s="133"/>
      <c r="Y81" s="133"/>
      <c r="Z81" s="133"/>
      <c r="AA81" s="133"/>
      <c r="AB81" s="133"/>
      <c r="AC81" s="133"/>
      <c r="AD81" s="49" t="s">
        <v>997</v>
      </c>
      <c r="AE81" s="345"/>
      <c r="AF81" s="133"/>
      <c r="AG81" s="133"/>
      <c r="AH81" s="133"/>
      <c r="AI81" s="133"/>
      <c r="AJ81" s="133"/>
      <c r="AK81" s="133"/>
      <c r="AL81" s="133"/>
      <c r="AM81" s="133"/>
      <c r="AN81" s="137" t="s">
        <v>525</v>
      </c>
      <c r="AO81" s="138"/>
      <c r="AP81" s="92"/>
      <c r="AQ81" s="120"/>
      <c r="AR81" s="120"/>
      <c r="AS81" s="120"/>
      <c r="AT81" s="120"/>
      <c r="AU81" s="150"/>
      <c r="AV81" s="133"/>
      <c r="AW81" s="149"/>
      <c r="AX81" s="142"/>
      <c r="AY81" s="438"/>
      <c r="AZ81" s="133"/>
      <c r="BA81" s="133"/>
      <c r="BB81" s="133"/>
      <c r="BC81" s="133"/>
      <c r="BD81" s="133"/>
      <c r="BE81" s="133"/>
      <c r="BF81" s="137"/>
      <c r="BG81" s="137"/>
      <c r="BH81" s="133"/>
      <c r="BI81" s="137"/>
      <c r="BJ81" s="137"/>
      <c r="BK81" s="137"/>
      <c r="BL81" s="137"/>
      <c r="BM81" s="137"/>
    </row>
    <row r="82" spans="1:65">
      <c r="A82" s="133"/>
      <c r="B82" s="133"/>
      <c r="C82" s="133"/>
      <c r="D82" s="133"/>
      <c r="E82" s="133"/>
      <c r="F82" s="133"/>
      <c r="G82" s="133"/>
      <c r="H82" s="133"/>
      <c r="I82" s="133"/>
      <c r="J82" s="133"/>
      <c r="K82" s="133"/>
      <c r="L82" s="133"/>
      <c r="M82" s="133"/>
      <c r="N82" s="133"/>
      <c r="O82" s="133"/>
      <c r="P82" s="133"/>
      <c r="Q82" s="133"/>
      <c r="R82" s="133"/>
      <c r="S82" s="133"/>
      <c r="T82" s="133"/>
      <c r="U82" s="133"/>
      <c r="V82" s="133"/>
      <c r="W82" s="133"/>
      <c r="X82" s="133"/>
      <c r="Y82" s="133"/>
      <c r="Z82" s="133"/>
      <c r="AA82" s="133"/>
      <c r="AB82" s="133"/>
      <c r="AC82" s="133"/>
      <c r="AD82" s="346"/>
      <c r="AE82" s="347"/>
      <c r="AF82" s="142" t="s">
        <v>998</v>
      </c>
      <c r="AG82" s="133"/>
      <c r="AH82" s="133"/>
      <c r="AI82" s="133"/>
      <c r="AJ82" s="133"/>
      <c r="AK82" s="133"/>
      <c r="AL82" s="133"/>
      <c r="AM82" s="133"/>
      <c r="AN82" s="144"/>
      <c r="AO82" s="143"/>
      <c r="AP82" s="93"/>
      <c r="AQ82" s="120"/>
      <c r="AR82" s="120"/>
      <c r="AS82" s="120"/>
      <c r="AT82" s="120"/>
      <c r="AU82" s="150"/>
      <c r="AV82" s="133"/>
      <c r="AW82" s="149"/>
      <c r="AX82" s="317" t="s">
        <v>566</v>
      </c>
      <c r="AY82" s="439"/>
      <c r="AZ82" s="142" t="s">
        <v>999</v>
      </c>
      <c r="BA82" s="133"/>
      <c r="BB82" s="133"/>
      <c r="BC82" s="133"/>
      <c r="BD82" s="133"/>
      <c r="BE82" s="133"/>
      <c r="BF82" s="137"/>
      <c r="BG82" s="137"/>
      <c r="BH82" s="133"/>
      <c r="BI82" s="137"/>
      <c r="BJ82" s="137"/>
      <c r="BK82" s="137"/>
      <c r="BL82" s="137"/>
      <c r="BM82" s="137"/>
    </row>
    <row r="83" spans="1:65">
      <c r="A83" s="133"/>
      <c r="B83" s="133"/>
      <c r="C83" s="133"/>
      <c r="D83" s="133"/>
      <c r="E83" s="133"/>
      <c r="F83" s="137" t="s">
        <v>1000</v>
      </c>
      <c r="G83" s="133"/>
      <c r="H83" s="133"/>
      <c r="I83" s="133"/>
      <c r="J83" s="133"/>
      <c r="K83" s="133"/>
      <c r="L83" s="133"/>
      <c r="M83" s="133"/>
      <c r="N83" s="133"/>
      <c r="O83" s="133"/>
      <c r="P83" s="137" t="s">
        <v>1001</v>
      </c>
      <c r="Q83" s="202"/>
      <c r="R83" s="133"/>
      <c r="S83" s="137"/>
      <c r="T83" s="202"/>
      <c r="U83" s="133"/>
      <c r="V83" s="133"/>
      <c r="W83" s="133"/>
      <c r="X83" s="133"/>
      <c r="Y83" s="133"/>
      <c r="Z83" s="133"/>
      <c r="AA83" s="133"/>
      <c r="AB83" s="133"/>
      <c r="AC83" s="133"/>
      <c r="AD83" s="95" t="s">
        <v>566</v>
      </c>
      <c r="AE83" s="344"/>
      <c r="AF83" s="142" t="s">
        <v>1002</v>
      </c>
      <c r="AG83" s="142" t="s">
        <v>300</v>
      </c>
      <c r="AH83" s="133"/>
      <c r="AI83" s="133"/>
      <c r="AJ83" s="133"/>
      <c r="AK83" s="133"/>
      <c r="AL83" s="133"/>
      <c r="AM83" s="133"/>
      <c r="AN83" s="137" t="s">
        <v>424</v>
      </c>
      <c r="AO83" s="135"/>
      <c r="AP83" s="94"/>
      <c r="AQ83" s="120"/>
      <c r="AR83" s="120"/>
      <c r="AS83" s="120"/>
      <c r="AT83" s="120"/>
      <c r="AU83" s="150"/>
      <c r="AV83" s="133"/>
      <c r="AW83" s="149"/>
      <c r="AX83" s="142" t="s">
        <v>1003</v>
      </c>
      <c r="AY83" s="438"/>
      <c r="AZ83" s="142" t="s">
        <v>1004</v>
      </c>
      <c r="BA83" s="133"/>
      <c r="BB83" s="133"/>
      <c r="BC83" s="133"/>
      <c r="BD83" s="133"/>
      <c r="BE83" s="133"/>
      <c r="BF83" s="137"/>
      <c r="BG83" s="137"/>
      <c r="BH83" s="133"/>
      <c r="BI83" s="137"/>
      <c r="BJ83" s="137"/>
      <c r="BK83" s="137"/>
      <c r="BL83" s="137"/>
      <c r="BM83" s="137"/>
    </row>
    <row r="84" spans="1:65">
      <c r="A84" s="133"/>
      <c r="B84" s="133"/>
      <c r="C84" s="133"/>
      <c r="D84" s="133"/>
      <c r="E84" s="133"/>
      <c r="F84" s="134" t="s">
        <v>970</v>
      </c>
      <c r="G84" s="135"/>
      <c r="H84" s="136" t="s">
        <v>243</v>
      </c>
      <c r="I84" s="136" t="s">
        <v>267</v>
      </c>
      <c r="J84" s="136" t="s">
        <v>971</v>
      </c>
      <c r="K84" s="136" t="s">
        <v>246</v>
      </c>
      <c r="L84" s="148" t="s">
        <v>247</v>
      </c>
      <c r="M84" s="133"/>
      <c r="N84" s="133"/>
      <c r="O84" s="133"/>
      <c r="P84" s="134" t="s">
        <v>1005</v>
      </c>
      <c r="Q84" s="135"/>
      <c r="R84" s="133"/>
      <c r="S84" s="137"/>
      <c r="T84" s="137"/>
      <c r="U84" s="133"/>
      <c r="V84" s="133"/>
      <c r="W84" s="133"/>
      <c r="X84" s="133"/>
      <c r="Y84" s="133"/>
      <c r="Z84" s="133"/>
      <c r="AA84" s="133"/>
      <c r="AB84" s="133"/>
      <c r="AC84" s="133"/>
      <c r="AD84" s="95" t="s">
        <v>1006</v>
      </c>
      <c r="AE84" s="345"/>
      <c r="AF84" s="133"/>
      <c r="AG84" s="133"/>
      <c r="AH84" s="133"/>
      <c r="AI84" s="133"/>
      <c r="AJ84" s="133"/>
      <c r="AK84" s="133"/>
      <c r="AL84" s="133"/>
      <c r="AM84" s="133"/>
      <c r="AN84" s="137" t="s">
        <v>1007</v>
      </c>
      <c r="AO84" s="138"/>
      <c r="AP84" s="95"/>
      <c r="AQ84" s="120"/>
      <c r="AR84" s="120"/>
      <c r="AS84" s="120"/>
      <c r="AT84" s="120"/>
      <c r="AU84" s="150"/>
      <c r="AV84" s="133"/>
      <c r="AW84" s="149"/>
      <c r="AX84" s="95" t="s">
        <v>1008</v>
      </c>
      <c r="AY84" s="345"/>
      <c r="AZ84" s="133"/>
      <c r="BA84" s="133"/>
      <c r="BB84" s="133"/>
      <c r="BC84" s="133"/>
      <c r="BD84" s="133"/>
      <c r="BE84" s="133"/>
      <c r="BF84" s="137"/>
      <c r="BG84" s="137"/>
      <c r="BH84" s="133"/>
      <c r="BI84" s="137"/>
      <c r="BJ84" s="137"/>
      <c r="BK84" s="137"/>
      <c r="BL84" s="137"/>
      <c r="BM84" s="137"/>
    </row>
    <row r="85" spans="1:65">
      <c r="A85" s="133"/>
      <c r="B85" s="133"/>
      <c r="C85" s="133"/>
      <c r="D85" s="133"/>
      <c r="E85" s="133"/>
      <c r="F85" s="137" t="s">
        <v>504</v>
      </c>
      <c r="G85" s="138"/>
      <c r="H85" s="92">
        <v>1</v>
      </c>
      <c r="I85" s="120">
        <v>7</v>
      </c>
      <c r="J85" s="139">
        <v>4.2</v>
      </c>
      <c r="K85" s="120"/>
      <c r="L85" s="120"/>
      <c r="M85" s="133"/>
      <c r="N85" s="133"/>
      <c r="O85" s="133"/>
      <c r="P85" s="137" t="s">
        <v>1009</v>
      </c>
      <c r="Q85" s="138"/>
      <c r="R85" s="133"/>
      <c r="S85" s="137"/>
      <c r="T85" s="137"/>
      <c r="U85" s="133"/>
      <c r="V85" s="133"/>
      <c r="W85" s="133"/>
      <c r="X85" s="133"/>
      <c r="Y85" s="133"/>
      <c r="Z85" s="133"/>
      <c r="AA85" s="133"/>
      <c r="AB85" s="133"/>
      <c r="AC85" s="133"/>
      <c r="AD85" s="95" t="s">
        <v>1010</v>
      </c>
      <c r="AE85" s="345"/>
      <c r="AF85" s="133"/>
      <c r="AG85" s="133"/>
      <c r="AH85" s="133"/>
      <c r="AI85" s="133"/>
      <c r="AJ85" s="133"/>
      <c r="AK85" s="133"/>
      <c r="AL85" s="133"/>
      <c r="AM85" s="133"/>
      <c r="AN85" s="95" t="s">
        <v>1011</v>
      </c>
      <c r="AO85" s="345"/>
      <c r="AP85" s="133"/>
      <c r="AQ85" s="133"/>
      <c r="AR85" s="133"/>
      <c r="AS85" s="133"/>
      <c r="AT85" s="133"/>
      <c r="AU85" s="133"/>
      <c r="AV85" s="133"/>
      <c r="AW85" s="133"/>
      <c r="AX85" s="95" t="s">
        <v>1012</v>
      </c>
      <c r="AY85" s="133"/>
      <c r="AZ85" s="436"/>
      <c r="BA85" s="133"/>
      <c r="BB85" s="133"/>
      <c r="BC85" s="133"/>
      <c r="BD85" s="133"/>
      <c r="BE85" s="133"/>
      <c r="BF85" s="137"/>
      <c r="BG85" s="137"/>
      <c r="BH85" s="133"/>
      <c r="BI85" s="137"/>
      <c r="BJ85" s="137"/>
      <c r="BK85" s="137"/>
      <c r="BL85" s="137"/>
      <c r="BM85" s="137"/>
    </row>
    <row r="86" spans="1:65">
      <c r="A86" s="133"/>
      <c r="B86" s="133"/>
      <c r="C86" s="133"/>
      <c r="D86" s="133"/>
      <c r="E86" s="133"/>
      <c r="F86" s="137" t="s">
        <v>1013</v>
      </c>
      <c r="G86" s="138"/>
      <c r="H86" s="92">
        <v>2</v>
      </c>
      <c r="I86" s="120">
        <v>9</v>
      </c>
      <c r="J86" s="139">
        <v>5.4</v>
      </c>
      <c r="K86" s="150">
        <v>26000</v>
      </c>
      <c r="L86" s="149">
        <v>1.75</v>
      </c>
      <c r="M86" s="133"/>
      <c r="N86" s="133"/>
      <c r="O86" s="133"/>
      <c r="P86" s="140" t="s">
        <v>592</v>
      </c>
      <c r="Q86" s="143"/>
      <c r="R86" s="133"/>
      <c r="S86" s="137"/>
      <c r="T86" s="137"/>
      <c r="U86" s="133"/>
      <c r="V86" s="133"/>
      <c r="W86" s="133"/>
      <c r="X86" s="133"/>
      <c r="Y86" s="133"/>
      <c r="Z86" s="133"/>
      <c r="AA86" s="133"/>
      <c r="AB86" s="133"/>
      <c r="AC86" s="133"/>
      <c r="AD86" s="95" t="s">
        <v>1014</v>
      </c>
      <c r="AE86" s="133"/>
      <c r="AF86" s="436"/>
      <c r="AG86" s="133"/>
      <c r="AH86" s="133"/>
      <c r="AI86" s="133"/>
      <c r="AJ86" s="133"/>
      <c r="AK86" s="133"/>
      <c r="AL86" s="133"/>
      <c r="AM86" s="133"/>
      <c r="AN86" s="95" t="s">
        <v>1015</v>
      </c>
      <c r="AO86" s="133"/>
      <c r="AP86" s="436"/>
      <c r="AQ86" s="133"/>
      <c r="AR86" s="133"/>
      <c r="AS86" s="133"/>
      <c r="AT86" s="133"/>
      <c r="AU86" s="133"/>
      <c r="AV86" s="133"/>
      <c r="AW86" s="133"/>
      <c r="AX86" s="133"/>
      <c r="AY86" s="133"/>
      <c r="AZ86" s="133"/>
      <c r="BA86" s="137"/>
      <c r="BB86" s="137"/>
      <c r="BC86" s="137"/>
      <c r="BD86" s="137"/>
      <c r="BE86" s="137"/>
      <c r="BF86" s="137"/>
      <c r="BG86" s="137"/>
      <c r="BH86" s="137"/>
      <c r="BI86" s="137"/>
      <c r="BJ86" s="137"/>
      <c r="BK86" s="137"/>
      <c r="BL86" s="137"/>
      <c r="BM86" s="137"/>
    </row>
    <row r="87" spans="1:65">
      <c r="A87" s="133"/>
      <c r="B87" s="133"/>
      <c r="C87" s="133"/>
      <c r="D87" s="133"/>
      <c r="E87" s="133"/>
      <c r="F87" s="142" t="s">
        <v>982</v>
      </c>
      <c r="G87" s="143"/>
      <c r="H87" s="92">
        <v>3</v>
      </c>
      <c r="I87" s="120">
        <v>11</v>
      </c>
      <c r="J87" s="139">
        <v>6.6</v>
      </c>
      <c r="K87" s="150">
        <v>51000</v>
      </c>
      <c r="L87" s="149">
        <v>3.5</v>
      </c>
      <c r="M87" s="133"/>
      <c r="N87" s="133"/>
      <c r="O87" s="133"/>
      <c r="P87" s="134" t="s">
        <v>871</v>
      </c>
      <c r="Q87" s="135"/>
      <c r="R87" s="133"/>
      <c r="S87" s="142"/>
      <c r="T87" s="137"/>
      <c r="U87" s="133"/>
      <c r="V87" s="133"/>
      <c r="W87" s="133"/>
      <c r="X87" s="133"/>
      <c r="Y87" s="133"/>
      <c r="Z87" s="133"/>
      <c r="AA87" s="133"/>
      <c r="AB87" s="133"/>
      <c r="AC87" s="133"/>
      <c r="AD87" s="133"/>
      <c r="AE87" s="133"/>
      <c r="AF87" s="133"/>
      <c r="AG87" s="133"/>
      <c r="AH87" s="133"/>
      <c r="AI87" s="133"/>
      <c r="AJ87" s="133"/>
      <c r="AK87" s="133"/>
      <c r="AL87" s="133"/>
      <c r="AM87" s="133"/>
      <c r="AN87" s="133"/>
      <c r="AO87" s="133"/>
      <c r="AP87" s="133"/>
      <c r="AQ87" s="133"/>
      <c r="AR87" s="133"/>
      <c r="AS87" s="133"/>
      <c r="AT87" s="133"/>
      <c r="AU87" s="133"/>
      <c r="AV87" s="133"/>
      <c r="AW87" s="133"/>
      <c r="AX87" s="133"/>
      <c r="AY87" s="133"/>
      <c r="AZ87" s="133"/>
      <c r="BA87" s="137"/>
      <c r="BB87" s="137"/>
      <c r="BC87" s="137"/>
      <c r="BD87" s="137"/>
      <c r="BE87" s="137"/>
      <c r="BF87" s="137"/>
      <c r="BG87" s="137"/>
      <c r="BH87" s="137"/>
      <c r="BI87" s="137"/>
      <c r="BJ87" s="137"/>
      <c r="BK87" s="137"/>
      <c r="BL87" s="137"/>
      <c r="BM87" s="137"/>
    </row>
    <row r="88" spans="1:65">
      <c r="A88" s="133"/>
      <c r="B88" s="133"/>
      <c r="C88" s="133"/>
      <c r="D88" s="133"/>
      <c r="E88" s="133"/>
      <c r="F88" s="134" t="s">
        <v>788</v>
      </c>
      <c r="G88" s="135"/>
      <c r="H88" s="93">
        <v>4</v>
      </c>
      <c r="I88" s="120">
        <v>16</v>
      </c>
      <c r="J88" s="139">
        <v>9.6</v>
      </c>
      <c r="K88" s="150">
        <v>700000</v>
      </c>
      <c r="L88" s="149">
        <v>5.25</v>
      </c>
      <c r="M88" s="133"/>
      <c r="N88" s="133"/>
      <c r="O88" s="133"/>
      <c r="P88" s="142" t="s">
        <v>982</v>
      </c>
      <c r="Q88" s="138"/>
      <c r="R88" s="133"/>
      <c r="S88" s="137"/>
      <c r="T88" s="137"/>
      <c r="U88" s="133"/>
      <c r="V88" s="133"/>
      <c r="W88" s="133"/>
      <c r="X88" s="133"/>
      <c r="Y88" s="133"/>
      <c r="Z88" s="133"/>
      <c r="AA88" s="133"/>
      <c r="AB88" s="133"/>
      <c r="AC88" s="133"/>
      <c r="AD88" s="133"/>
      <c r="AE88" s="133"/>
      <c r="AF88" s="133"/>
      <c r="AG88" s="133"/>
      <c r="AH88" s="133"/>
      <c r="AI88" s="133"/>
      <c r="AJ88" s="133"/>
      <c r="AK88" s="133"/>
      <c r="AL88" s="133"/>
      <c r="AM88" s="133"/>
      <c r="AN88" s="133"/>
      <c r="AO88" s="133"/>
      <c r="AP88" s="133"/>
      <c r="AQ88" s="133"/>
      <c r="AR88" s="133"/>
      <c r="AS88" s="133"/>
      <c r="AT88" s="133"/>
      <c r="AU88" s="133"/>
      <c r="AV88" s="133"/>
      <c r="AW88" s="133"/>
      <c r="AX88" s="133"/>
      <c r="AY88" s="133"/>
      <c r="AZ88" s="133"/>
      <c r="BA88" s="137"/>
      <c r="BB88" s="137"/>
      <c r="BC88" s="137"/>
      <c r="BD88" s="137"/>
      <c r="BE88" s="137"/>
      <c r="BF88" s="137"/>
      <c r="BG88" s="137"/>
      <c r="BH88" s="137"/>
      <c r="BI88" s="137"/>
      <c r="BJ88" s="137"/>
      <c r="BK88" s="137"/>
      <c r="BL88" s="137"/>
      <c r="BM88" s="137"/>
    </row>
    <row r="89" spans="1:65">
      <c r="A89" s="133"/>
      <c r="B89" s="133"/>
      <c r="C89" s="133"/>
      <c r="D89" s="133"/>
      <c r="E89" s="133"/>
      <c r="F89" s="137" t="s">
        <v>989</v>
      </c>
      <c r="G89" s="138"/>
      <c r="H89" s="94">
        <v>5</v>
      </c>
      <c r="I89" s="120">
        <v>21</v>
      </c>
      <c r="J89" s="139">
        <v>12.6</v>
      </c>
      <c r="K89" s="150">
        <v>105000</v>
      </c>
      <c r="L89" s="149">
        <v>6.25</v>
      </c>
      <c r="M89" s="133"/>
      <c r="N89" s="133"/>
      <c r="O89" s="133"/>
      <c r="P89" s="137" t="s">
        <v>258</v>
      </c>
      <c r="Q89" s="138"/>
      <c r="R89" s="133"/>
      <c r="S89" s="137"/>
      <c r="T89" s="137"/>
      <c r="U89" s="133"/>
      <c r="V89" s="133"/>
      <c r="W89" s="133"/>
      <c r="X89" s="133"/>
      <c r="Y89" s="133"/>
      <c r="Z89" s="133"/>
      <c r="AA89" s="133"/>
      <c r="AB89" s="133"/>
      <c r="AC89" s="133"/>
      <c r="AD89" s="137" t="s">
        <v>1016</v>
      </c>
      <c r="AE89" s="137"/>
      <c r="AF89" s="137" t="s">
        <v>1017</v>
      </c>
      <c r="AG89" s="137"/>
      <c r="AH89" s="137"/>
      <c r="AI89" s="137"/>
      <c r="AJ89" s="137"/>
      <c r="AK89" s="137"/>
      <c r="AL89" s="133"/>
      <c r="AM89" s="133"/>
      <c r="AN89" s="142" t="s">
        <v>1018</v>
      </c>
      <c r="AO89" s="142"/>
      <c r="AP89" s="142" t="s">
        <v>1019</v>
      </c>
      <c r="AQ89" s="142"/>
      <c r="AR89" s="142"/>
      <c r="AS89" s="142"/>
      <c r="AT89" s="142"/>
      <c r="AU89" s="142"/>
      <c r="AV89" s="133"/>
      <c r="AW89" s="133"/>
      <c r="AX89" s="137" t="s">
        <v>1020</v>
      </c>
      <c r="AY89" s="137"/>
      <c r="AZ89" s="137" t="s">
        <v>1021</v>
      </c>
      <c r="BA89" s="137"/>
      <c r="BB89" s="137"/>
      <c r="BC89" s="137"/>
      <c r="BD89" s="137"/>
      <c r="BE89" s="137"/>
      <c r="BF89" s="137"/>
      <c r="BG89" s="137"/>
      <c r="BH89" s="137"/>
      <c r="BI89" s="137"/>
      <c r="BJ89" s="137"/>
      <c r="BK89" s="137"/>
      <c r="BL89" s="137"/>
      <c r="BM89" s="137"/>
    </row>
    <row r="90" spans="1:65">
      <c r="A90" s="133"/>
      <c r="B90" s="133"/>
      <c r="C90" s="133"/>
      <c r="D90" s="133"/>
      <c r="E90" s="133"/>
      <c r="F90" s="140"/>
      <c r="G90" s="141"/>
      <c r="H90" s="122">
        <v>6</v>
      </c>
      <c r="I90" s="120">
        <v>22</v>
      </c>
      <c r="J90" s="139">
        <v>13.2</v>
      </c>
      <c r="K90" s="150">
        <v>330000</v>
      </c>
      <c r="L90" s="149">
        <v>18</v>
      </c>
      <c r="M90" s="133"/>
      <c r="N90" s="133"/>
      <c r="O90" s="133"/>
      <c r="P90" s="137" t="s">
        <v>272</v>
      </c>
      <c r="Q90" s="138"/>
      <c r="R90" s="133"/>
      <c r="S90" s="137"/>
      <c r="T90" s="137"/>
      <c r="U90" s="133"/>
      <c r="V90" s="133"/>
      <c r="W90" s="133"/>
      <c r="X90" s="133"/>
      <c r="Y90" s="133"/>
      <c r="Z90" s="133"/>
      <c r="AA90" s="133"/>
      <c r="AB90" s="133"/>
      <c r="AC90" s="133"/>
      <c r="AD90" s="134" t="s">
        <v>248</v>
      </c>
      <c r="AE90" s="135"/>
      <c r="AF90" s="136" t="s">
        <v>243</v>
      </c>
      <c r="AG90" s="136" t="s">
        <v>244</v>
      </c>
      <c r="AH90" s="136" t="s">
        <v>245</v>
      </c>
      <c r="AI90" s="136" t="s">
        <v>250</v>
      </c>
      <c r="AJ90" s="120"/>
      <c r="AK90" s="150"/>
      <c r="AL90" s="133"/>
      <c r="AM90" s="133"/>
      <c r="AN90" s="440" t="s">
        <v>1022</v>
      </c>
      <c r="AO90" s="439"/>
      <c r="AP90" s="442" t="s">
        <v>243</v>
      </c>
      <c r="AQ90" s="442" t="s">
        <v>244</v>
      </c>
      <c r="AR90" s="442" t="s">
        <v>245</v>
      </c>
      <c r="AS90" s="442" t="s">
        <v>250</v>
      </c>
      <c r="AT90" s="442" t="s">
        <v>548</v>
      </c>
      <c r="AU90" s="442" t="s">
        <v>861</v>
      </c>
      <c r="AV90" s="133"/>
      <c r="AW90" s="133"/>
      <c r="AX90" s="134" t="s">
        <v>248</v>
      </c>
      <c r="AY90" s="135"/>
      <c r="AZ90" s="136" t="s">
        <v>243</v>
      </c>
      <c r="BA90" s="136" t="s">
        <v>244</v>
      </c>
      <c r="BB90" s="136" t="s">
        <v>245</v>
      </c>
      <c r="BC90" s="136" t="s">
        <v>250</v>
      </c>
      <c r="BD90" s="133"/>
      <c r="BE90" s="133"/>
      <c r="BF90" s="137"/>
      <c r="BG90" s="137"/>
      <c r="BH90" s="137"/>
      <c r="BI90" s="137"/>
      <c r="BJ90" s="137"/>
      <c r="BK90" s="137"/>
      <c r="BL90" s="137"/>
      <c r="BM90" s="137"/>
    </row>
    <row r="91" spans="1:65">
      <c r="A91" s="133"/>
      <c r="B91" s="133"/>
      <c r="C91" s="133"/>
      <c r="D91" s="133"/>
      <c r="E91" s="133"/>
      <c r="F91" s="134" t="s">
        <v>305</v>
      </c>
      <c r="G91" s="135"/>
      <c r="H91" s="137"/>
      <c r="I91" s="120"/>
      <c r="J91" s="120"/>
      <c r="K91" s="120"/>
      <c r="L91" s="120"/>
      <c r="M91" s="120"/>
      <c r="N91" s="133"/>
      <c r="O91" s="133"/>
      <c r="P91" s="140" t="s">
        <v>280</v>
      </c>
      <c r="Q91" s="143"/>
      <c r="R91" s="133"/>
      <c r="S91" s="137"/>
      <c r="T91" s="386"/>
      <c r="U91" s="133"/>
      <c r="V91" s="133"/>
      <c r="W91" s="133"/>
      <c r="X91" s="133"/>
      <c r="Y91" s="133"/>
      <c r="Z91" s="133"/>
      <c r="AA91" s="133"/>
      <c r="AB91" s="133"/>
      <c r="AC91" s="133"/>
      <c r="AD91" s="137" t="s">
        <v>259</v>
      </c>
      <c r="AE91" s="138"/>
      <c r="AF91" s="94">
        <v>9</v>
      </c>
      <c r="AG91" s="120">
        <v>450</v>
      </c>
      <c r="AH91" s="120">
        <v>220</v>
      </c>
      <c r="AI91" s="120">
        <f>AH91*2</f>
        <v>440</v>
      </c>
      <c r="AJ91" s="120"/>
      <c r="AK91" s="150"/>
      <c r="AL91" s="133"/>
      <c r="AM91" s="133"/>
      <c r="AN91" s="142" t="s">
        <v>1023</v>
      </c>
      <c r="AO91" s="438"/>
      <c r="AP91" s="443">
        <v>5</v>
      </c>
      <c r="AQ91" s="123">
        <v>9500</v>
      </c>
      <c r="AR91" s="123">
        <v>10</v>
      </c>
      <c r="AS91" s="123">
        <f>AR91*2</f>
        <v>20</v>
      </c>
      <c r="AT91" s="123">
        <v>10</v>
      </c>
      <c r="AU91" s="123">
        <v>3.5</v>
      </c>
      <c r="AV91" s="133"/>
      <c r="AW91" s="133"/>
      <c r="AX91" s="137" t="s">
        <v>444</v>
      </c>
      <c r="AY91" s="138"/>
      <c r="AZ91" s="94">
        <v>1</v>
      </c>
      <c r="BA91" s="120">
        <v>50</v>
      </c>
      <c r="BB91" s="120">
        <v>35</v>
      </c>
      <c r="BC91" s="120">
        <v>35</v>
      </c>
      <c r="BD91" s="133"/>
      <c r="BE91" s="133"/>
      <c r="BF91" s="137"/>
      <c r="BG91" s="137"/>
      <c r="BH91" s="137"/>
      <c r="BI91" s="137"/>
      <c r="BJ91" s="137"/>
      <c r="BK91" s="137"/>
      <c r="BL91" s="137"/>
      <c r="BM91" s="137"/>
    </row>
    <row r="92" spans="1:65">
      <c r="A92" s="133"/>
      <c r="B92" s="133"/>
      <c r="C92" s="133"/>
      <c r="D92" s="133"/>
      <c r="E92" s="133"/>
      <c r="F92" s="137" t="s">
        <v>803</v>
      </c>
      <c r="G92" s="138"/>
      <c r="H92" s="137" t="s">
        <v>1024</v>
      </c>
      <c r="I92" s="133"/>
      <c r="J92" s="133"/>
      <c r="K92" s="133"/>
      <c r="L92" s="133"/>
      <c r="M92" s="133"/>
      <c r="N92" s="133"/>
      <c r="O92" s="133"/>
      <c r="P92" s="134" t="s">
        <v>287</v>
      </c>
      <c r="Q92" s="432"/>
      <c r="R92" s="133"/>
      <c r="S92" s="137"/>
      <c r="T92" s="386"/>
      <c r="U92" s="133"/>
      <c r="V92" s="133"/>
      <c r="W92" s="133"/>
      <c r="X92" s="133"/>
      <c r="Y92" s="133"/>
      <c r="Z92" s="133"/>
      <c r="AA92" s="133"/>
      <c r="AB92" s="133"/>
      <c r="AC92" s="133"/>
      <c r="AD92" s="137" t="s">
        <v>273</v>
      </c>
      <c r="AE92" s="138"/>
      <c r="AF92" s="100">
        <v>10</v>
      </c>
      <c r="AG92" s="120">
        <v>500</v>
      </c>
      <c r="AH92" s="120">
        <v>240</v>
      </c>
      <c r="AI92" s="120">
        <f>AH92*2</f>
        <v>480</v>
      </c>
      <c r="AJ92" s="120"/>
      <c r="AK92" s="150"/>
      <c r="AL92" s="133"/>
      <c r="AM92" s="133"/>
      <c r="AN92" s="142" t="s">
        <v>273</v>
      </c>
      <c r="AO92" s="438"/>
      <c r="AP92" s="443">
        <v>6</v>
      </c>
      <c r="AQ92" s="123">
        <v>10000</v>
      </c>
      <c r="AR92" s="123">
        <v>15</v>
      </c>
      <c r="AS92" s="123">
        <f>AR92*2</f>
        <v>30</v>
      </c>
      <c r="AT92" s="123">
        <v>12</v>
      </c>
      <c r="AU92" s="123">
        <v>4.25</v>
      </c>
      <c r="AV92" s="133"/>
      <c r="AW92" s="133"/>
      <c r="AX92" s="137" t="s">
        <v>273</v>
      </c>
      <c r="AY92" s="138"/>
      <c r="AZ92" s="100"/>
      <c r="BA92" s="120"/>
      <c r="BB92" s="120"/>
      <c r="BC92" s="120"/>
      <c r="BD92" s="133"/>
      <c r="BE92" s="133"/>
      <c r="BF92" s="137"/>
      <c r="BG92" s="137"/>
      <c r="BH92" s="137"/>
      <c r="BI92" s="137"/>
      <c r="BJ92" s="137"/>
      <c r="BK92" s="137"/>
      <c r="BL92" s="137"/>
      <c r="BM92" s="137"/>
    </row>
    <row r="93" spans="1:65">
      <c r="A93" s="133"/>
      <c r="B93" s="133"/>
      <c r="C93" s="133"/>
      <c r="D93" s="133"/>
      <c r="E93" s="133"/>
      <c r="F93" s="133"/>
      <c r="G93" s="133"/>
      <c r="H93" s="365" t="s">
        <v>1025</v>
      </c>
      <c r="I93" s="133"/>
      <c r="J93" s="133"/>
      <c r="K93" s="133"/>
      <c r="L93" s="133"/>
      <c r="M93" s="133"/>
      <c r="N93" s="133"/>
      <c r="O93" s="133"/>
      <c r="P93" s="137" t="s">
        <v>305</v>
      </c>
      <c r="Q93" s="433"/>
      <c r="R93" s="133"/>
      <c r="S93" s="95"/>
      <c r="T93" s="386"/>
      <c r="U93" s="133"/>
      <c r="V93" s="133"/>
      <c r="W93" s="133"/>
      <c r="X93" s="133"/>
      <c r="Y93" s="133"/>
      <c r="Z93" s="133"/>
      <c r="AA93" s="133"/>
      <c r="AB93" s="133"/>
      <c r="AC93" s="133"/>
      <c r="AD93" s="140" t="s">
        <v>445</v>
      </c>
      <c r="AE93" s="143"/>
      <c r="AF93" s="122">
        <v>11</v>
      </c>
      <c r="AG93" s="120">
        <v>540</v>
      </c>
      <c r="AH93" s="120">
        <v>260</v>
      </c>
      <c r="AI93" s="120">
        <f>AH93*2</f>
        <v>520</v>
      </c>
      <c r="AJ93" s="133"/>
      <c r="AK93" s="133"/>
      <c r="AL93" s="133"/>
      <c r="AM93" s="133"/>
      <c r="AN93" s="361" t="s">
        <v>445</v>
      </c>
      <c r="AO93" s="444"/>
      <c r="AP93" s="142"/>
      <c r="AQ93" s="142"/>
      <c r="AR93" s="142"/>
      <c r="AS93" s="142"/>
      <c r="AT93" s="142"/>
      <c r="AU93" s="142"/>
      <c r="AV93" s="133"/>
      <c r="AW93" s="133"/>
      <c r="AX93" s="140" t="s">
        <v>360</v>
      </c>
      <c r="AY93" s="143"/>
      <c r="AZ93" s="133"/>
      <c r="BA93" s="133"/>
      <c r="BB93" s="133"/>
      <c r="BC93" s="133"/>
      <c r="BD93" s="133"/>
      <c r="BE93" s="133"/>
      <c r="BF93" s="137"/>
      <c r="BG93" s="137"/>
      <c r="BH93" s="137"/>
      <c r="BI93" s="137"/>
      <c r="BJ93" s="137"/>
      <c r="BK93" s="137"/>
      <c r="BL93" s="137"/>
      <c r="BM93" s="137"/>
    </row>
    <row r="94" spans="1:65">
      <c r="A94" s="133"/>
      <c r="B94" s="133"/>
      <c r="C94" s="133"/>
      <c r="D94" s="133"/>
      <c r="E94" s="133"/>
      <c r="F94" s="133"/>
      <c r="G94" s="133"/>
      <c r="H94" s="133"/>
      <c r="I94" s="133"/>
      <c r="J94" s="133"/>
      <c r="K94" s="133"/>
      <c r="L94" s="133"/>
      <c r="M94" s="133"/>
      <c r="N94" s="133"/>
      <c r="O94" s="133"/>
      <c r="P94" s="95" t="s">
        <v>323</v>
      </c>
      <c r="Q94" s="433"/>
      <c r="R94" s="133"/>
      <c r="S94" s="133"/>
      <c r="T94" s="133"/>
      <c r="U94" s="133"/>
      <c r="V94" s="133"/>
      <c r="W94" s="133"/>
      <c r="X94" s="133"/>
      <c r="Y94" s="133"/>
      <c r="Z94" s="133"/>
      <c r="AA94" s="133"/>
      <c r="AB94" s="133"/>
      <c r="AC94" s="133"/>
      <c r="AD94" s="342" t="s">
        <v>470</v>
      </c>
      <c r="AE94" s="135"/>
      <c r="AF94" s="133"/>
      <c r="AG94" s="133"/>
      <c r="AH94" s="133"/>
      <c r="AI94" s="133"/>
      <c r="AJ94" s="133"/>
      <c r="AK94" s="133"/>
      <c r="AL94" s="133"/>
      <c r="AM94" s="133"/>
      <c r="AN94" s="317" t="s">
        <v>287</v>
      </c>
      <c r="AO94" s="439"/>
      <c r="AP94" s="142"/>
      <c r="AQ94" s="142"/>
      <c r="AR94" s="142"/>
      <c r="AS94" s="142"/>
      <c r="AT94" s="142"/>
      <c r="AU94" s="142"/>
      <c r="AV94" s="133"/>
      <c r="AW94" s="133"/>
      <c r="AX94" s="342" t="s">
        <v>287</v>
      </c>
      <c r="AY94" s="135"/>
      <c r="AZ94" s="133"/>
      <c r="BA94" s="133"/>
      <c r="BB94" s="133"/>
      <c r="BC94" s="133"/>
      <c r="BD94" s="133"/>
      <c r="BE94" s="133"/>
      <c r="BF94" s="137"/>
      <c r="BG94" s="137"/>
      <c r="BH94" s="137"/>
      <c r="BI94" s="137"/>
      <c r="BJ94" s="137"/>
      <c r="BK94" s="137"/>
      <c r="BL94" s="137"/>
      <c r="BM94" s="137"/>
    </row>
    <row r="95" spans="1:65">
      <c r="A95" s="133"/>
      <c r="B95" s="133"/>
      <c r="C95" s="133"/>
      <c r="D95" s="133"/>
      <c r="E95" s="133"/>
      <c r="F95" s="137" t="s">
        <v>1026</v>
      </c>
      <c r="G95" s="202"/>
      <c r="H95" s="133"/>
      <c r="I95" s="133"/>
      <c r="J95" s="133"/>
      <c r="K95" s="133"/>
      <c r="L95" s="133"/>
      <c r="M95" s="133"/>
      <c r="N95" s="133"/>
      <c r="O95" s="133"/>
      <c r="P95" s="133"/>
      <c r="Q95" s="133"/>
      <c r="R95" s="133"/>
      <c r="S95" s="133"/>
      <c r="T95" s="133"/>
      <c r="U95" s="133"/>
      <c r="V95" s="133"/>
      <c r="W95" s="133"/>
      <c r="X95" s="133"/>
      <c r="Y95" s="133"/>
      <c r="Z95" s="133"/>
      <c r="AA95" s="133"/>
      <c r="AB95" s="133"/>
      <c r="AC95" s="133"/>
      <c r="AD95" s="95" t="s">
        <v>1027</v>
      </c>
      <c r="AE95" s="438"/>
      <c r="AF95" s="133"/>
      <c r="AG95" s="133"/>
      <c r="AH95" s="133"/>
      <c r="AI95" s="133"/>
      <c r="AJ95" s="133"/>
      <c r="AK95" s="133"/>
      <c r="AL95" s="133"/>
      <c r="AM95" s="133"/>
      <c r="AN95" s="142"/>
      <c r="AO95" s="438"/>
      <c r="AP95" s="142" t="s">
        <v>1028</v>
      </c>
      <c r="AQ95" s="142"/>
      <c r="AR95" s="142"/>
      <c r="AS95" s="142"/>
      <c r="AT95" s="142"/>
      <c r="AU95" s="142"/>
      <c r="AV95" s="133"/>
      <c r="AW95" s="133"/>
      <c r="AX95" s="133"/>
      <c r="AY95" s="438"/>
      <c r="AZ95" s="142"/>
      <c r="BA95" s="133"/>
      <c r="BB95" s="133"/>
      <c r="BC95" s="133"/>
      <c r="BD95" s="133"/>
      <c r="BE95" s="133"/>
      <c r="BF95" s="137"/>
      <c r="BG95" s="137"/>
      <c r="BH95" s="137"/>
      <c r="BI95" s="137"/>
      <c r="BJ95" s="137"/>
      <c r="BK95" s="137"/>
      <c r="BL95" s="137"/>
      <c r="BM95" s="137"/>
    </row>
    <row r="96" spans="1:65">
      <c r="A96" s="133"/>
      <c r="B96" s="133"/>
      <c r="C96" s="133"/>
      <c r="D96" s="133"/>
      <c r="E96" s="133"/>
      <c r="F96" s="134" t="s">
        <v>1029</v>
      </c>
      <c r="G96" s="135"/>
      <c r="H96" s="133"/>
      <c r="I96" s="133"/>
      <c r="J96" s="133"/>
      <c r="K96" s="133"/>
      <c r="L96" s="133"/>
      <c r="M96" s="133"/>
      <c r="N96" s="133"/>
      <c r="O96" s="133"/>
      <c r="P96" s="133"/>
      <c r="Q96" s="133"/>
      <c r="R96" s="133"/>
      <c r="S96" s="133"/>
      <c r="T96" s="133"/>
      <c r="U96" s="133"/>
      <c r="V96" s="133"/>
      <c r="W96" s="133"/>
      <c r="X96" s="133"/>
      <c r="Y96" s="133"/>
      <c r="Z96" s="133"/>
      <c r="AA96" s="133"/>
      <c r="AB96" s="133"/>
      <c r="AC96" s="133"/>
      <c r="AD96" s="346"/>
      <c r="AE96" s="347"/>
      <c r="AF96" s="133"/>
      <c r="AG96" s="133"/>
      <c r="AH96" s="133"/>
      <c r="AI96" s="133"/>
      <c r="AJ96" s="133"/>
      <c r="AK96" s="133"/>
      <c r="AL96" s="133"/>
      <c r="AM96" s="133"/>
      <c r="AN96" s="142"/>
      <c r="AO96" s="445"/>
      <c r="AP96" s="142" t="s">
        <v>1030</v>
      </c>
      <c r="AQ96" s="142"/>
      <c r="AR96" s="142"/>
      <c r="AS96" s="142"/>
      <c r="AT96" s="142"/>
      <c r="AU96" s="142"/>
      <c r="AV96" s="133"/>
      <c r="AW96" s="133"/>
      <c r="AX96" s="133"/>
      <c r="AY96" s="347"/>
      <c r="AZ96" s="142"/>
      <c r="BA96" s="133"/>
      <c r="BB96" s="133"/>
      <c r="BC96" s="133"/>
      <c r="BD96" s="133"/>
      <c r="BE96" s="133"/>
      <c r="BF96" s="137"/>
      <c r="BG96" s="137"/>
      <c r="BH96" s="137"/>
      <c r="BI96" s="137"/>
      <c r="BJ96" s="137"/>
      <c r="BK96" s="137"/>
      <c r="BL96" s="137"/>
      <c r="BM96" s="137"/>
    </row>
    <row r="97" spans="1:65">
      <c r="A97" s="133"/>
      <c r="B97" s="133"/>
      <c r="C97" s="133"/>
      <c r="D97" s="133"/>
      <c r="E97" s="133"/>
      <c r="F97" s="140" t="s">
        <v>1031</v>
      </c>
      <c r="G97" s="143"/>
      <c r="H97" s="133"/>
      <c r="I97" s="133"/>
      <c r="J97" s="133"/>
      <c r="K97" s="133"/>
      <c r="L97" s="133"/>
      <c r="M97" s="133"/>
      <c r="N97" s="133"/>
      <c r="O97" s="133"/>
      <c r="P97" s="133"/>
      <c r="Q97" s="133"/>
      <c r="R97" s="133"/>
      <c r="S97" s="133"/>
      <c r="T97" s="133"/>
      <c r="U97" s="133"/>
      <c r="V97" s="133"/>
      <c r="W97" s="133"/>
      <c r="X97" s="133"/>
      <c r="Y97" s="133"/>
      <c r="Z97" s="133"/>
      <c r="AA97" s="133"/>
      <c r="AB97" s="133"/>
      <c r="AC97" s="133"/>
      <c r="AD97" s="317" t="s">
        <v>449</v>
      </c>
      <c r="AE97" s="439"/>
      <c r="AF97" s="142" t="s">
        <v>1032</v>
      </c>
      <c r="AG97" s="133"/>
      <c r="AH97" s="133"/>
      <c r="AI97" s="133"/>
      <c r="AJ97" s="133"/>
      <c r="AK97" s="133"/>
      <c r="AL97" s="133"/>
      <c r="AM97" s="133"/>
      <c r="AN97" s="317" t="s">
        <v>962</v>
      </c>
      <c r="AO97" s="439"/>
      <c r="AP97" s="142" t="s">
        <v>1033</v>
      </c>
      <c r="AQ97" s="142"/>
      <c r="AR97" s="142"/>
      <c r="AS97" s="142"/>
      <c r="AT97" s="142"/>
      <c r="AU97" s="142"/>
      <c r="AV97" s="133"/>
      <c r="AW97" s="133"/>
      <c r="AX97" s="317" t="s">
        <v>385</v>
      </c>
      <c r="AY97" s="439"/>
      <c r="AZ97" s="142" t="s">
        <v>1034</v>
      </c>
      <c r="BA97" s="133"/>
      <c r="BB97" s="133"/>
      <c r="BC97" s="133"/>
      <c r="BD97" s="133"/>
      <c r="BE97" s="133"/>
      <c r="BF97" s="137"/>
      <c r="BG97" s="137"/>
      <c r="BH97" s="137"/>
      <c r="BI97" s="137"/>
      <c r="BJ97" s="137"/>
      <c r="BK97" s="137"/>
      <c r="BL97" s="137"/>
      <c r="BM97" s="137"/>
    </row>
    <row r="98" spans="1:65">
      <c r="A98" s="133"/>
      <c r="B98" s="133"/>
      <c r="C98" s="133"/>
      <c r="D98" s="133"/>
      <c r="E98" s="133"/>
      <c r="F98" s="134" t="s">
        <v>1035</v>
      </c>
      <c r="G98" s="135"/>
      <c r="H98" s="133"/>
      <c r="I98" s="133"/>
      <c r="J98" s="133"/>
      <c r="K98" s="133"/>
      <c r="L98" s="133"/>
      <c r="M98" s="133"/>
      <c r="N98" s="133"/>
      <c r="O98" s="133"/>
      <c r="P98" s="133"/>
      <c r="Q98" s="133"/>
      <c r="R98" s="133"/>
      <c r="S98" s="133"/>
      <c r="T98" s="133"/>
      <c r="U98" s="133"/>
      <c r="V98" s="133"/>
      <c r="W98" s="133"/>
      <c r="X98" s="133"/>
      <c r="Y98" s="133"/>
      <c r="Z98" s="133"/>
      <c r="AA98" s="133"/>
      <c r="AB98" s="133"/>
      <c r="AC98" s="133"/>
      <c r="AD98" s="142" t="s">
        <v>1036</v>
      </c>
      <c r="AE98" s="438"/>
      <c r="AF98" s="142" t="s">
        <v>1037</v>
      </c>
      <c r="AG98" s="133"/>
      <c r="AH98" s="133"/>
      <c r="AI98" s="133"/>
      <c r="AJ98" s="133"/>
      <c r="AK98" s="133"/>
      <c r="AL98" s="133"/>
      <c r="AM98" s="133"/>
      <c r="AN98" s="142" t="s">
        <v>967</v>
      </c>
      <c r="AO98" s="438"/>
      <c r="AP98" s="142" t="s">
        <v>1038</v>
      </c>
      <c r="AQ98" s="142"/>
      <c r="AR98" s="142"/>
      <c r="AS98" s="142"/>
      <c r="AT98" s="142"/>
      <c r="AU98" s="142"/>
      <c r="AV98" s="133"/>
      <c r="AW98" s="133"/>
      <c r="AX98" s="95" t="s">
        <v>493</v>
      </c>
      <c r="AY98" s="345"/>
      <c r="AZ98" s="133"/>
      <c r="BA98" s="133"/>
      <c r="BB98" s="133"/>
      <c r="BC98" s="133"/>
      <c r="BD98" s="133"/>
      <c r="BE98" s="133"/>
      <c r="BF98" s="137"/>
      <c r="BG98" s="137"/>
      <c r="BH98" s="137"/>
      <c r="BI98" s="137"/>
      <c r="BJ98" s="137"/>
      <c r="BK98" s="137"/>
      <c r="BL98" s="137"/>
      <c r="BM98" s="137"/>
    </row>
    <row r="99" spans="1:65">
      <c r="A99" s="133"/>
      <c r="B99" s="133"/>
      <c r="C99" s="133"/>
      <c r="D99" s="133"/>
      <c r="E99" s="133"/>
      <c r="F99" s="142" t="s">
        <v>982</v>
      </c>
      <c r="G99" s="138"/>
      <c r="H99" s="133"/>
      <c r="I99" s="133"/>
      <c r="J99" s="133"/>
      <c r="K99" s="133"/>
      <c r="L99" s="133"/>
      <c r="M99" s="133"/>
      <c r="N99" s="133"/>
      <c r="O99" s="133"/>
      <c r="P99" s="133"/>
      <c r="Q99" s="133"/>
      <c r="R99" s="133"/>
      <c r="S99" s="133"/>
      <c r="T99" s="133"/>
      <c r="U99" s="133"/>
      <c r="V99" s="133"/>
      <c r="W99" s="133"/>
      <c r="X99" s="133"/>
      <c r="Y99" s="133"/>
      <c r="Z99" s="133"/>
      <c r="AA99" s="133"/>
      <c r="AB99" s="133"/>
      <c r="AC99" s="133"/>
      <c r="AD99" s="95" t="s">
        <v>1039</v>
      </c>
      <c r="AE99" s="345"/>
      <c r="AF99" s="133"/>
      <c r="AG99" s="133"/>
      <c r="AH99" s="133"/>
      <c r="AI99" s="133"/>
      <c r="AJ99" s="133"/>
      <c r="AK99" s="133"/>
      <c r="AL99" s="133"/>
      <c r="AM99" s="133"/>
      <c r="AN99" s="441" t="s">
        <v>1040</v>
      </c>
      <c r="AO99" s="446"/>
      <c r="AP99" s="142"/>
      <c r="AQ99" s="142"/>
      <c r="AR99" s="142"/>
      <c r="AS99" s="142"/>
      <c r="AT99" s="142"/>
      <c r="AU99" s="142"/>
      <c r="AV99" s="133"/>
      <c r="AW99" s="133"/>
      <c r="AX99" s="133"/>
      <c r="AY99" s="133"/>
      <c r="AZ99" s="436"/>
      <c r="BA99" s="133"/>
      <c r="BB99" s="133"/>
      <c r="BC99" s="133"/>
      <c r="BD99" s="133"/>
      <c r="BE99" s="133"/>
      <c r="BF99" s="137"/>
      <c r="BG99" s="137"/>
      <c r="BH99" s="137"/>
      <c r="BI99" s="137"/>
      <c r="BJ99" s="137"/>
      <c r="BK99" s="137"/>
      <c r="BL99" s="137"/>
      <c r="BM99" s="137"/>
    </row>
    <row r="100" spans="1:65">
      <c r="A100" s="133"/>
      <c r="B100" s="133"/>
      <c r="C100" s="133"/>
      <c r="D100" s="133"/>
      <c r="E100" s="133"/>
      <c r="F100" s="137" t="s">
        <v>1041</v>
      </c>
      <c r="G100" s="138"/>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95" t="s">
        <v>456</v>
      </c>
      <c r="AE100" s="133"/>
      <c r="AF100" s="436"/>
      <c r="AG100" s="133"/>
      <c r="AH100" s="133"/>
      <c r="AI100" s="133"/>
      <c r="AJ100" s="133"/>
      <c r="AK100" s="133"/>
      <c r="AL100" s="133"/>
      <c r="AM100" s="133"/>
      <c r="AN100" s="441" t="s">
        <v>1042</v>
      </c>
      <c r="AO100" s="142"/>
      <c r="AP100" s="447"/>
      <c r="AQ100" s="142"/>
      <c r="AR100" s="142"/>
      <c r="AS100" s="142"/>
      <c r="AT100" s="142"/>
      <c r="AU100" s="142"/>
      <c r="AV100" s="133"/>
      <c r="AW100" s="133"/>
      <c r="AX100" s="133"/>
      <c r="AY100" s="133"/>
      <c r="AZ100" s="133"/>
      <c r="BA100" s="133"/>
      <c r="BB100" s="133"/>
      <c r="BC100" s="133"/>
      <c r="BD100" s="133"/>
      <c r="BE100" s="133"/>
      <c r="BF100" s="137"/>
      <c r="BG100" s="137"/>
      <c r="BH100" s="137"/>
      <c r="BI100" s="137"/>
      <c r="BJ100" s="137"/>
      <c r="BK100" s="137"/>
      <c r="BL100" s="137"/>
      <c r="BM100" s="137"/>
    </row>
    <row r="101" spans="1:65">
      <c r="A101" s="133"/>
      <c r="B101" s="133"/>
      <c r="C101" s="133"/>
      <c r="D101" s="133"/>
      <c r="E101" s="133"/>
      <c r="F101" s="137" t="s">
        <v>273</v>
      </c>
      <c r="G101" s="138"/>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7"/>
      <c r="BB101" s="137"/>
      <c r="BC101" s="137"/>
      <c r="BD101" s="137"/>
      <c r="BE101" s="137"/>
      <c r="BF101" s="137"/>
      <c r="BG101" s="137"/>
      <c r="BH101" s="137"/>
      <c r="BI101" s="137"/>
      <c r="BJ101" s="137"/>
      <c r="BK101" s="137"/>
      <c r="BL101" s="137"/>
      <c r="BM101" s="137"/>
    </row>
    <row r="102" spans="1:65">
      <c r="A102" s="133"/>
      <c r="B102" s="133"/>
      <c r="C102" s="133"/>
      <c r="D102" s="133"/>
      <c r="E102" s="133"/>
      <c r="F102" s="140" t="s">
        <v>1043</v>
      </c>
      <c r="G102" s="14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c r="AD102" s="133"/>
      <c r="AE102" s="133"/>
      <c r="AF102" s="133"/>
      <c r="AG102" s="133"/>
      <c r="AH102" s="133"/>
      <c r="AI102" s="133"/>
      <c r="AJ102" s="133"/>
      <c r="AK102" s="133"/>
      <c r="AL102" s="133"/>
      <c r="AM102" s="133"/>
      <c r="AN102" s="133"/>
      <c r="AO102" s="133"/>
      <c r="AP102" s="133"/>
      <c r="AQ102" s="133"/>
      <c r="AR102" s="133"/>
      <c r="AS102" s="133"/>
      <c r="AT102" s="137"/>
      <c r="AU102" s="137"/>
      <c r="AV102" s="133"/>
      <c r="AW102" s="133"/>
      <c r="AX102" s="133"/>
      <c r="AY102" s="133"/>
      <c r="AZ102" s="133"/>
      <c r="BA102" s="137"/>
      <c r="BB102" s="137"/>
      <c r="BC102" s="137"/>
      <c r="BD102" s="137"/>
      <c r="BE102" s="137"/>
      <c r="BF102" s="137"/>
      <c r="BG102" s="137"/>
      <c r="BH102" s="137"/>
      <c r="BI102" s="137"/>
      <c r="BJ102" s="137"/>
      <c r="BK102" s="137"/>
      <c r="BL102" s="137"/>
      <c r="BM102" s="137"/>
    </row>
    <row r="103" spans="1:65">
      <c r="A103" s="133"/>
      <c r="B103" s="133"/>
      <c r="C103" s="133"/>
      <c r="D103" s="133"/>
      <c r="E103" s="133"/>
      <c r="F103" s="134" t="s">
        <v>287</v>
      </c>
      <c r="G103" s="432"/>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7" t="s">
        <v>1044</v>
      </c>
      <c r="AE103" s="137"/>
      <c r="AF103" s="137" t="s">
        <v>1045</v>
      </c>
      <c r="AG103" s="137"/>
      <c r="AH103" s="137"/>
      <c r="AI103" s="137"/>
      <c r="AJ103" s="137"/>
      <c r="AK103" s="133"/>
      <c r="AL103" s="133"/>
      <c r="AM103" s="133"/>
      <c r="AN103" s="137" t="s">
        <v>1046</v>
      </c>
      <c r="AO103" s="137"/>
      <c r="AP103" s="137" t="s">
        <v>1047</v>
      </c>
      <c r="AQ103" s="137"/>
      <c r="AR103" s="137"/>
      <c r="AS103" s="137"/>
      <c r="AT103" s="137"/>
      <c r="AU103" s="137"/>
      <c r="AV103" s="133"/>
      <c r="AW103" s="133"/>
      <c r="AX103" s="137" t="s">
        <v>1048</v>
      </c>
      <c r="AY103" s="137"/>
      <c r="AZ103" s="137" t="s">
        <v>1049</v>
      </c>
      <c r="BA103" s="133"/>
      <c r="BB103" s="137"/>
      <c r="BC103" s="137"/>
      <c r="BD103" s="137"/>
      <c r="BE103" s="137"/>
      <c r="BF103" s="137"/>
      <c r="BG103" s="137"/>
      <c r="BH103" s="137"/>
      <c r="BI103" s="137"/>
      <c r="BJ103" s="137"/>
      <c r="BK103" s="137"/>
      <c r="BL103" s="137"/>
      <c r="BM103" s="137"/>
    </row>
    <row r="104" spans="1:65">
      <c r="A104" s="133"/>
      <c r="B104" s="133"/>
      <c r="C104" s="133"/>
      <c r="D104" s="133"/>
      <c r="E104" s="133"/>
      <c r="F104" s="137" t="s">
        <v>305</v>
      </c>
      <c r="G104" s="4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342" t="s">
        <v>249</v>
      </c>
      <c r="AE104" s="344"/>
      <c r="AF104" s="136" t="s">
        <v>243</v>
      </c>
      <c r="AG104" s="136" t="s">
        <v>244</v>
      </c>
      <c r="AH104" s="136" t="s">
        <v>245</v>
      </c>
      <c r="AI104" s="136" t="s">
        <v>250</v>
      </c>
      <c r="AJ104" s="136" t="s">
        <v>345</v>
      </c>
      <c r="AK104" s="133"/>
      <c r="AL104" s="133"/>
      <c r="AM104" s="133"/>
      <c r="AN104" s="134" t="s">
        <v>242</v>
      </c>
      <c r="AO104" s="135"/>
      <c r="AP104" s="136" t="s">
        <v>243</v>
      </c>
      <c r="AQ104" s="136" t="s">
        <v>244</v>
      </c>
      <c r="AR104" s="136" t="s">
        <v>245</v>
      </c>
      <c r="AS104" s="136" t="s">
        <v>250</v>
      </c>
      <c r="AT104" s="137"/>
      <c r="AU104" s="137"/>
      <c r="AV104" s="133"/>
      <c r="AW104" s="133"/>
      <c r="AX104" s="342" t="s">
        <v>248</v>
      </c>
      <c r="AY104" s="344"/>
      <c r="AZ104" s="136" t="s">
        <v>243</v>
      </c>
      <c r="BA104" s="136" t="s">
        <v>244</v>
      </c>
      <c r="BB104" s="136" t="s">
        <v>245</v>
      </c>
      <c r="BC104" s="136" t="s">
        <v>250</v>
      </c>
      <c r="BD104" s="120"/>
      <c r="BE104" s="150"/>
      <c r="BF104" s="137"/>
      <c r="BG104" s="137"/>
      <c r="BH104" s="137"/>
      <c r="BI104" s="137"/>
      <c r="BJ104" s="137"/>
      <c r="BK104" s="137"/>
      <c r="BL104" s="137"/>
      <c r="BM104" s="137"/>
    </row>
    <row r="105" spans="1:65">
      <c r="A105" s="133"/>
      <c r="B105" s="133"/>
      <c r="C105" s="133"/>
      <c r="D105" s="133"/>
      <c r="E105" s="133"/>
      <c r="F105" s="95" t="s">
        <v>323</v>
      </c>
      <c r="G105" s="4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95" t="s">
        <v>1050</v>
      </c>
      <c r="AE105" s="345"/>
      <c r="AF105" s="94">
        <v>8</v>
      </c>
      <c r="AG105" s="120">
        <v>840</v>
      </c>
      <c r="AH105" s="120">
        <v>236</v>
      </c>
      <c r="AI105" s="120">
        <f>AH105*3</f>
        <v>708</v>
      </c>
      <c r="AJ105" s="120">
        <v>400</v>
      </c>
      <c r="AK105" s="133"/>
      <c r="AL105" s="133"/>
      <c r="AM105" s="133"/>
      <c r="AN105" s="137" t="s">
        <v>402</v>
      </c>
      <c r="AO105" s="138"/>
      <c r="AP105" s="94">
        <v>4</v>
      </c>
      <c r="AQ105" s="120">
        <v>1600</v>
      </c>
      <c r="AR105" s="120">
        <v>170</v>
      </c>
      <c r="AS105" s="151">
        <f>AR105*2.2</f>
        <v>374.00000000000006</v>
      </c>
      <c r="AT105" s="137"/>
      <c r="AU105" s="137"/>
      <c r="AV105" s="133"/>
      <c r="AW105" s="133"/>
      <c r="AX105" s="95" t="s">
        <v>622</v>
      </c>
      <c r="AY105" s="345"/>
      <c r="AZ105" s="94">
        <v>7</v>
      </c>
      <c r="BA105" s="120">
        <v>6100</v>
      </c>
      <c r="BB105" s="357">
        <f>10*BC105/(1.92+1.8)</f>
        <v>387.09677419354841</v>
      </c>
      <c r="BC105" s="357">
        <v>144</v>
      </c>
      <c r="BD105" s="120"/>
      <c r="BE105" s="150"/>
      <c r="BF105" s="137"/>
      <c r="BG105" s="137"/>
      <c r="BH105" s="137"/>
      <c r="BI105" s="137"/>
      <c r="BJ105" s="137"/>
      <c r="BK105" s="137"/>
      <c r="BL105" s="137"/>
      <c r="BM105" s="137"/>
    </row>
    <row r="106" spans="1:65">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95" t="s">
        <v>356</v>
      </c>
      <c r="AE106" s="345"/>
      <c r="AF106" s="100">
        <v>9</v>
      </c>
      <c r="AG106" s="120">
        <v>940</v>
      </c>
      <c r="AH106" s="120">
        <v>256</v>
      </c>
      <c r="AI106" s="120">
        <f>AH106*3</f>
        <v>768</v>
      </c>
      <c r="AJ106" s="120">
        <v>500</v>
      </c>
      <c r="AK106" s="133"/>
      <c r="AL106" s="133"/>
      <c r="AM106" s="133"/>
      <c r="AN106" s="137" t="s">
        <v>623</v>
      </c>
      <c r="AO106" s="138"/>
      <c r="AP106" s="100">
        <v>5</v>
      </c>
      <c r="AQ106" s="120">
        <v>1800</v>
      </c>
      <c r="AR106" s="120">
        <v>185</v>
      </c>
      <c r="AS106" s="151">
        <f>AR106*2.2</f>
        <v>407.00000000000006</v>
      </c>
      <c r="AT106" s="137"/>
      <c r="AU106" s="137"/>
      <c r="AV106" s="133"/>
      <c r="AW106" s="133"/>
      <c r="AX106" s="95" t="s">
        <v>1051</v>
      </c>
      <c r="AY106" s="345"/>
      <c r="AZ106" s="100">
        <v>8</v>
      </c>
      <c r="BA106" s="120">
        <v>6400</v>
      </c>
      <c r="BB106" s="357">
        <f t="shared" ref="BB106:BB107" si="8">10*BC106/(1.92+1.8)</f>
        <v>411.29032258064518</v>
      </c>
      <c r="BC106" s="357">
        <v>153</v>
      </c>
      <c r="BD106" s="120"/>
      <c r="BE106" s="150"/>
      <c r="BF106" s="137"/>
      <c r="BG106" s="137"/>
      <c r="BH106" s="137"/>
      <c r="BI106" s="137"/>
      <c r="BJ106" s="137"/>
      <c r="BK106" s="137"/>
      <c r="BL106" s="137"/>
      <c r="BM106" s="137"/>
    </row>
    <row r="107" spans="1:65">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346" t="s">
        <v>281</v>
      </c>
      <c r="AE107" s="347"/>
      <c r="AF107" s="121">
        <v>10</v>
      </c>
      <c r="AG107" s="120">
        <v>1040</v>
      </c>
      <c r="AH107" s="120">
        <v>276</v>
      </c>
      <c r="AI107" s="120">
        <f>AH107*3</f>
        <v>828</v>
      </c>
      <c r="AJ107" s="120">
        <v>600</v>
      </c>
      <c r="AK107" s="133"/>
      <c r="AL107" s="133"/>
      <c r="AM107" s="133"/>
      <c r="AN107" s="140" t="s">
        <v>625</v>
      </c>
      <c r="AO107" s="143"/>
      <c r="AP107" s="121">
        <v>6</v>
      </c>
      <c r="AQ107" s="120">
        <v>2000</v>
      </c>
      <c r="AR107" s="120">
        <v>200</v>
      </c>
      <c r="AS107" s="151">
        <f>AR107*2.2</f>
        <v>440.00000000000006</v>
      </c>
      <c r="AT107" s="137"/>
      <c r="AU107" s="137"/>
      <c r="AV107" s="133"/>
      <c r="AW107" s="133"/>
      <c r="AX107" s="346" t="s">
        <v>1052</v>
      </c>
      <c r="AY107" s="347"/>
      <c r="AZ107" s="121">
        <v>9</v>
      </c>
      <c r="BA107" s="120">
        <v>6700</v>
      </c>
      <c r="BB107" s="357">
        <f t="shared" si="8"/>
        <v>435.48387096774195</v>
      </c>
      <c r="BC107" s="357">
        <v>162</v>
      </c>
      <c r="BD107" s="120"/>
      <c r="BE107" s="150"/>
      <c r="BF107" s="137"/>
      <c r="BG107" s="137"/>
      <c r="BH107" s="137"/>
      <c r="BI107" s="137"/>
      <c r="BJ107" s="137"/>
      <c r="BK107" s="137"/>
      <c r="BL107" s="137"/>
      <c r="BM107" s="137"/>
    </row>
    <row r="108" spans="1:65">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342" t="s">
        <v>366</v>
      </c>
      <c r="AE108" s="344"/>
      <c r="AF108" s="133"/>
      <c r="AG108" s="133"/>
      <c r="AH108" s="133"/>
      <c r="AI108" s="133"/>
      <c r="AJ108" s="133"/>
      <c r="AK108" s="133"/>
      <c r="AL108" s="133"/>
      <c r="AM108" s="133"/>
      <c r="AN108" s="134" t="s">
        <v>1053</v>
      </c>
      <c r="AO108" s="135"/>
      <c r="AP108" s="137"/>
      <c r="AQ108" s="137"/>
      <c r="AR108" s="137"/>
      <c r="AS108" s="137"/>
      <c r="AT108" s="137"/>
      <c r="AU108" s="137"/>
      <c r="AV108" s="133"/>
      <c r="AW108" s="133"/>
      <c r="AX108" s="134" t="s">
        <v>1054</v>
      </c>
      <c r="AY108" s="344"/>
      <c r="AZ108" s="133"/>
      <c r="BA108" s="133"/>
      <c r="BB108" s="133"/>
      <c r="BC108" s="133"/>
      <c r="BD108" s="133"/>
      <c r="BE108" s="133"/>
      <c r="BF108" s="137"/>
      <c r="BG108" s="137"/>
      <c r="BH108" s="137"/>
      <c r="BI108" s="137"/>
      <c r="BJ108" s="137"/>
      <c r="BK108" s="137"/>
      <c r="BL108" s="137"/>
      <c r="BM108" s="137"/>
    </row>
    <row r="109" spans="1:65">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95" t="s">
        <v>369</v>
      </c>
      <c r="AE109" s="345"/>
      <c r="AF109" s="142"/>
      <c r="AG109" s="133"/>
      <c r="AH109" s="133"/>
      <c r="AI109" s="133"/>
      <c r="AJ109" s="133"/>
      <c r="AK109" s="133"/>
      <c r="AL109" s="133"/>
      <c r="AM109" s="133"/>
      <c r="AN109" s="137" t="s">
        <v>626</v>
      </c>
      <c r="AO109" s="138"/>
      <c r="AP109" s="137"/>
      <c r="AQ109" s="137"/>
      <c r="AR109" s="137"/>
      <c r="AS109" s="137"/>
      <c r="AT109" s="137"/>
      <c r="AU109" s="137"/>
      <c r="AV109" s="133"/>
      <c r="AW109" s="133"/>
      <c r="AX109" s="49" t="s">
        <v>1055</v>
      </c>
      <c r="AY109" s="345"/>
      <c r="AZ109" s="133"/>
      <c r="BA109" s="133"/>
      <c r="BB109" s="133"/>
      <c r="BC109" s="133"/>
      <c r="BD109" s="133"/>
      <c r="BE109" s="133"/>
      <c r="BF109" s="137"/>
      <c r="BG109" s="137"/>
      <c r="BH109" s="137"/>
      <c r="BI109" s="137"/>
      <c r="BJ109" s="137"/>
      <c r="BK109" s="137"/>
      <c r="BL109" s="137"/>
      <c r="BM109" s="137"/>
    </row>
    <row r="110" spans="1:65">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c r="AD110" s="95" t="s">
        <v>373</v>
      </c>
      <c r="AE110" s="345"/>
      <c r="AF110" s="142"/>
      <c r="AG110" s="133"/>
      <c r="AH110" s="133"/>
      <c r="AI110" s="133"/>
      <c r="AJ110" s="133"/>
      <c r="AK110" s="133"/>
      <c r="AL110" s="133"/>
      <c r="AM110" s="133"/>
      <c r="AN110" s="140"/>
      <c r="AO110" s="143"/>
      <c r="AP110" s="137"/>
      <c r="AQ110" s="137"/>
      <c r="AR110" s="137"/>
      <c r="AS110" s="137"/>
      <c r="AT110" s="137"/>
      <c r="AU110" s="137"/>
      <c r="AV110" s="133"/>
      <c r="AW110" s="133"/>
      <c r="AX110" s="346" t="s">
        <v>1056</v>
      </c>
      <c r="AY110" s="347"/>
      <c r="AZ110" s="133"/>
      <c r="BA110" s="133"/>
      <c r="BB110" s="133"/>
      <c r="BC110" s="133"/>
      <c r="BD110" s="133"/>
      <c r="BE110" s="133"/>
      <c r="BF110" s="137"/>
      <c r="BG110" s="137"/>
      <c r="BH110" s="137"/>
      <c r="BI110" s="137"/>
      <c r="BJ110" s="137"/>
      <c r="BK110" s="137"/>
      <c r="BL110" s="137"/>
      <c r="BM110" s="137"/>
    </row>
    <row r="111" spans="1:65">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c r="X111" s="133"/>
      <c r="Y111" s="133"/>
      <c r="Z111" s="133"/>
      <c r="AA111" s="133"/>
      <c r="AB111" s="133"/>
      <c r="AC111" s="133"/>
      <c r="AD111" s="348" t="s">
        <v>377</v>
      </c>
      <c r="AE111" s="143"/>
      <c r="AF111" s="142"/>
      <c r="AG111" s="133"/>
      <c r="AH111" s="133"/>
      <c r="AI111" s="133"/>
      <c r="AJ111" s="133"/>
      <c r="AK111" s="133"/>
      <c r="AL111" s="133"/>
      <c r="AM111" s="133"/>
      <c r="AN111" s="134" t="s">
        <v>478</v>
      </c>
      <c r="AO111" s="135"/>
      <c r="AP111" s="202"/>
      <c r="AQ111" s="137"/>
      <c r="AR111" s="137"/>
      <c r="AS111" s="137"/>
      <c r="AT111" s="137"/>
      <c r="AU111" s="137"/>
      <c r="AV111" s="133"/>
      <c r="AW111" s="133"/>
      <c r="AX111" s="95" t="s">
        <v>1057</v>
      </c>
      <c r="AY111" s="344"/>
      <c r="AZ111" s="133"/>
      <c r="BA111" s="133"/>
      <c r="BB111" s="133"/>
      <c r="BC111" s="133"/>
      <c r="BD111" s="133"/>
      <c r="BE111" s="133"/>
      <c r="BF111" s="137"/>
      <c r="BG111" s="137"/>
      <c r="BH111" s="137"/>
      <c r="BI111" s="137"/>
      <c r="BJ111" s="137"/>
      <c r="BK111" s="137"/>
      <c r="BL111" s="137"/>
      <c r="BM111" s="137"/>
    </row>
    <row r="112" spans="1:65">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95" t="s">
        <v>527</v>
      </c>
      <c r="AE112" s="345"/>
      <c r="AF112" s="142"/>
      <c r="AG112" s="133"/>
      <c r="AH112" s="133"/>
      <c r="AI112" s="133"/>
      <c r="AJ112" s="133"/>
      <c r="AK112" s="133"/>
      <c r="AL112" s="133"/>
      <c r="AM112" s="133"/>
      <c r="AN112" s="137" t="s">
        <v>1058</v>
      </c>
      <c r="AO112" s="205"/>
      <c r="AP112" s="137" t="s">
        <v>1059</v>
      </c>
      <c r="AQ112" s="137"/>
      <c r="AR112" s="137"/>
      <c r="AS112" s="137"/>
      <c r="AT112" s="137"/>
      <c r="AU112" s="137"/>
      <c r="AV112" s="133"/>
      <c r="AW112" s="133"/>
      <c r="AX112" s="95" t="s">
        <v>481</v>
      </c>
      <c r="AY112" s="345"/>
      <c r="AZ112" s="133"/>
      <c r="BA112" s="133"/>
      <c r="BB112" s="133"/>
      <c r="BC112" s="133"/>
      <c r="BD112" s="133"/>
      <c r="BE112" s="133"/>
      <c r="BF112" s="137"/>
      <c r="BG112" s="137"/>
      <c r="BH112" s="137"/>
      <c r="BI112" s="137"/>
      <c r="BJ112" s="137"/>
      <c r="BK112" s="137"/>
      <c r="BL112" s="137"/>
      <c r="BM112" s="137"/>
    </row>
    <row r="113" spans="1:65">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95" t="s">
        <v>1060</v>
      </c>
      <c r="AE113" s="345"/>
      <c r="AF113" s="133"/>
      <c r="AG113" s="133"/>
      <c r="AH113" s="133"/>
      <c r="AI113" s="133"/>
      <c r="AJ113" s="133"/>
      <c r="AK113" s="133"/>
      <c r="AL113" s="133"/>
      <c r="AM113" s="133"/>
      <c r="AN113" s="95" t="s">
        <v>507</v>
      </c>
      <c r="AO113" s="391"/>
      <c r="AP113" s="137"/>
      <c r="AQ113" s="137"/>
      <c r="AR113" s="137"/>
      <c r="AS113" s="137"/>
      <c r="AT113" s="137"/>
      <c r="AU113" s="137"/>
      <c r="AV113" s="133"/>
      <c r="AW113" s="133"/>
      <c r="AX113" s="95" t="s">
        <v>1061</v>
      </c>
      <c r="AY113" s="345"/>
      <c r="AZ113" s="142" t="s">
        <v>1062</v>
      </c>
      <c r="BA113" s="133"/>
      <c r="BB113" s="133"/>
      <c r="BC113" s="133"/>
      <c r="BD113" s="133"/>
      <c r="BE113" s="133"/>
      <c r="BF113" s="137"/>
      <c r="BG113" s="137"/>
      <c r="BH113" s="137"/>
      <c r="BI113" s="137"/>
      <c r="BJ113" s="137"/>
      <c r="BK113" s="137"/>
      <c r="BL113" s="137"/>
      <c r="BM113" s="137"/>
    </row>
    <row r="114" spans="1:65">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c r="AD114" s="95" t="s">
        <v>1063</v>
      </c>
      <c r="AE114" s="345"/>
      <c r="AF114" s="133"/>
      <c r="AG114" s="133"/>
      <c r="AH114" s="133"/>
      <c r="AI114" s="133"/>
      <c r="AJ114" s="133"/>
      <c r="AK114" s="133"/>
      <c r="AL114" s="133"/>
      <c r="AM114" s="133"/>
      <c r="AN114" s="133"/>
      <c r="AO114" s="133"/>
      <c r="AP114" s="133"/>
      <c r="AQ114" s="133"/>
      <c r="AR114" s="133"/>
      <c r="AS114" s="133"/>
      <c r="AT114" s="133"/>
      <c r="AU114" s="133"/>
      <c r="AV114" s="133"/>
      <c r="AW114" s="133"/>
      <c r="AX114" s="95" t="s">
        <v>1064</v>
      </c>
      <c r="AY114" s="364"/>
      <c r="AZ114" s="142" t="s">
        <v>1065</v>
      </c>
      <c r="BA114" s="133"/>
      <c r="BB114" s="133"/>
      <c r="BC114" s="133"/>
      <c r="BD114" s="133"/>
      <c r="BE114" s="133"/>
      <c r="BF114" s="137"/>
      <c r="BG114" s="137"/>
      <c r="BH114" s="137"/>
      <c r="BI114" s="137"/>
      <c r="BJ114" s="137"/>
      <c r="BK114" s="137"/>
      <c r="BL114" s="137"/>
      <c r="BM114" s="137"/>
    </row>
    <row r="115" spans="1:65">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95" t="s">
        <v>324</v>
      </c>
      <c r="AE115" s="345"/>
      <c r="AF115" s="95" t="s">
        <v>1066</v>
      </c>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7"/>
      <c r="BD115" s="137"/>
      <c r="BE115" s="137"/>
      <c r="BF115" s="137"/>
      <c r="BG115" s="137"/>
      <c r="BH115" s="137"/>
      <c r="BI115" s="137"/>
      <c r="BJ115" s="137"/>
      <c r="BK115" s="137"/>
      <c r="BL115" s="137"/>
      <c r="BM115" s="137"/>
    </row>
    <row r="116" spans="1:65">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7"/>
      <c r="BD116" s="137"/>
      <c r="BE116" s="137"/>
      <c r="BF116" s="137"/>
      <c r="BG116" s="137"/>
      <c r="BH116" s="137"/>
      <c r="BI116" s="137"/>
      <c r="BJ116" s="137"/>
      <c r="BK116" s="137"/>
      <c r="BL116" s="137"/>
      <c r="BM116" s="137"/>
    </row>
    <row r="117" spans="1:65">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7"/>
      <c r="BD117" s="137"/>
      <c r="BE117" s="137"/>
      <c r="BF117" s="137"/>
      <c r="BG117" s="137"/>
      <c r="BH117" s="137"/>
      <c r="BI117" s="137"/>
      <c r="BJ117" s="137"/>
      <c r="BK117" s="137"/>
      <c r="BL117" s="137"/>
      <c r="BM117" s="137"/>
    </row>
    <row r="118" spans="1:65">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c r="X118" s="133"/>
      <c r="Y118" s="133"/>
      <c r="Z118" s="133"/>
      <c r="AA118" s="133"/>
      <c r="AB118" s="133"/>
      <c r="AC118" s="133"/>
      <c r="AD118" s="133"/>
      <c r="AE118" s="133"/>
      <c r="AF118" s="133"/>
      <c r="AG118" s="133"/>
      <c r="AH118" s="133"/>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7"/>
      <c r="BD118" s="137"/>
      <c r="BE118" s="137"/>
      <c r="BF118" s="137"/>
      <c r="BG118" s="137"/>
      <c r="BH118" s="137"/>
      <c r="BI118" s="137"/>
      <c r="BJ118" s="137"/>
      <c r="BK118" s="137"/>
      <c r="BL118" s="137"/>
      <c r="BM118" s="137"/>
    </row>
    <row r="119" spans="1:65">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7" t="s">
        <v>1067</v>
      </c>
      <c r="AE119" s="137"/>
      <c r="AF119" s="137"/>
      <c r="AG119" s="137"/>
      <c r="AH119" s="137"/>
      <c r="AI119" s="137"/>
      <c r="AJ119" s="137"/>
      <c r="AK119" s="133"/>
      <c r="AL119" s="133"/>
      <c r="AM119" s="133"/>
      <c r="AN119" s="133"/>
      <c r="AO119" s="133"/>
      <c r="AP119" s="133"/>
      <c r="AQ119" s="133"/>
      <c r="AR119" s="133"/>
      <c r="AS119" s="133"/>
      <c r="AT119" s="133"/>
      <c r="AU119" s="133"/>
      <c r="AV119" s="133"/>
      <c r="AW119" s="133"/>
      <c r="AX119" s="133"/>
      <c r="AY119" s="133"/>
      <c r="AZ119" s="133"/>
      <c r="BA119" s="133"/>
      <c r="BB119" s="133"/>
      <c r="BC119" s="137"/>
      <c r="BD119" s="137"/>
      <c r="BE119" s="137"/>
      <c r="BF119" s="137"/>
      <c r="BG119" s="137"/>
      <c r="BH119" s="137"/>
      <c r="BI119" s="137"/>
      <c r="BJ119" s="137"/>
      <c r="BK119" s="137"/>
      <c r="BL119" s="137"/>
      <c r="BM119" s="137"/>
    </row>
    <row r="120" spans="1:65">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c r="X120" s="133"/>
      <c r="Y120" s="133"/>
      <c r="Z120" s="133"/>
      <c r="AA120" s="133"/>
      <c r="AB120" s="133"/>
      <c r="AC120" s="133"/>
      <c r="AD120" s="342" t="s">
        <v>1068</v>
      </c>
      <c r="AE120" s="344"/>
      <c r="AF120" s="136" t="s">
        <v>243</v>
      </c>
      <c r="AG120" s="136" t="s">
        <v>244</v>
      </c>
      <c r="AH120" s="136" t="s">
        <v>947</v>
      </c>
      <c r="AI120" s="136" t="s">
        <v>948</v>
      </c>
      <c r="AJ120" s="136" t="s">
        <v>949</v>
      </c>
      <c r="AK120" s="136" t="s">
        <v>354</v>
      </c>
      <c r="AL120" s="133"/>
      <c r="AM120" s="133"/>
      <c r="AN120" s="133"/>
      <c r="AO120" s="133"/>
      <c r="AP120" s="133"/>
      <c r="AQ120" s="133"/>
      <c r="AR120" s="133"/>
      <c r="AS120" s="133"/>
      <c r="AT120" s="133"/>
      <c r="AU120" s="133"/>
      <c r="AV120" s="133"/>
      <c r="AW120" s="133"/>
      <c r="AX120" s="133"/>
      <c r="AY120" s="133"/>
      <c r="AZ120" s="133"/>
      <c r="BA120" s="133"/>
      <c r="BB120" s="133"/>
      <c r="BC120" s="137"/>
      <c r="BD120" s="137"/>
      <c r="BE120" s="137"/>
      <c r="BF120" s="137"/>
      <c r="BG120" s="137"/>
      <c r="BH120" s="137"/>
      <c r="BI120" s="137"/>
      <c r="BJ120" s="137"/>
      <c r="BK120" s="137"/>
      <c r="BL120" s="137"/>
      <c r="BM120" s="137"/>
    </row>
    <row r="121" spans="1:65">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95" t="s">
        <v>438</v>
      </c>
      <c r="AE121" s="345"/>
      <c r="AF121" s="100">
        <v>7</v>
      </c>
      <c r="AG121" s="120">
        <v>2800</v>
      </c>
      <c r="AH121" s="120">
        <v>170</v>
      </c>
      <c r="AI121" s="120">
        <v>340</v>
      </c>
      <c r="AJ121" s="120">
        <v>520</v>
      </c>
      <c r="AK121" s="120">
        <v>1400</v>
      </c>
      <c r="AL121" s="133"/>
      <c r="AM121" s="133"/>
      <c r="AN121" s="133"/>
      <c r="AO121" s="133"/>
      <c r="AP121" s="133"/>
      <c r="AQ121" s="133"/>
      <c r="AR121" s="133"/>
      <c r="AS121" s="133"/>
      <c r="AT121" s="133"/>
      <c r="AU121" s="133"/>
      <c r="AV121" s="133"/>
      <c r="AW121" s="133"/>
      <c r="AX121" s="133"/>
      <c r="AY121" s="133"/>
      <c r="AZ121" s="133"/>
      <c r="BA121" s="133"/>
      <c r="BB121" s="133"/>
      <c r="BC121" s="137"/>
      <c r="BD121" s="137"/>
      <c r="BE121" s="137"/>
      <c r="BF121" s="137"/>
      <c r="BG121" s="137"/>
      <c r="BH121" s="137"/>
      <c r="BI121" s="137"/>
      <c r="BJ121" s="137"/>
      <c r="BK121" s="137"/>
      <c r="BL121" s="137"/>
      <c r="BM121" s="137"/>
    </row>
    <row r="122" spans="1:65">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c r="X122" s="133"/>
      <c r="Y122" s="133"/>
      <c r="Z122" s="133"/>
      <c r="AA122" s="133"/>
      <c r="AB122" s="133"/>
      <c r="AC122" s="133"/>
      <c r="AD122" s="95" t="s">
        <v>1069</v>
      </c>
      <c r="AE122" s="345"/>
      <c r="AF122" s="121">
        <v>8</v>
      </c>
      <c r="AG122" s="120">
        <v>3000</v>
      </c>
      <c r="AH122" s="120">
        <v>185</v>
      </c>
      <c r="AI122" s="120">
        <v>370</v>
      </c>
      <c r="AJ122" s="120">
        <v>560</v>
      </c>
      <c r="AK122" s="120">
        <v>1600</v>
      </c>
      <c r="AL122" s="133"/>
      <c r="AM122" s="133"/>
      <c r="AN122" s="133"/>
      <c r="AO122" s="133"/>
      <c r="AP122" s="133"/>
      <c r="AQ122" s="133"/>
      <c r="AR122" s="133"/>
      <c r="AS122" s="133"/>
      <c r="AT122" s="133"/>
      <c r="AU122" s="133"/>
      <c r="AV122" s="133"/>
      <c r="AW122" s="133"/>
      <c r="AX122" s="133"/>
      <c r="AY122" s="133"/>
      <c r="AZ122" s="133"/>
      <c r="BA122" s="133"/>
      <c r="BB122" s="133"/>
      <c r="BC122" s="137"/>
      <c r="BD122" s="137"/>
      <c r="BE122" s="137"/>
      <c r="BF122" s="137"/>
      <c r="BG122" s="137"/>
      <c r="BH122" s="137"/>
      <c r="BI122" s="137"/>
      <c r="BJ122" s="137"/>
      <c r="BK122" s="137"/>
      <c r="BL122" s="137"/>
      <c r="BM122" s="137"/>
    </row>
    <row r="123" spans="1:65">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3"/>
      <c r="AC123" s="133"/>
      <c r="AD123" s="346" t="s">
        <v>700</v>
      </c>
      <c r="AE123" s="347"/>
      <c r="AF123" s="122">
        <v>9</v>
      </c>
      <c r="AG123" s="120">
        <v>3500</v>
      </c>
      <c r="AH123" s="120">
        <v>200</v>
      </c>
      <c r="AI123" s="120">
        <v>400</v>
      </c>
      <c r="AJ123" s="120">
        <v>600</v>
      </c>
      <c r="AK123" s="120">
        <v>1800</v>
      </c>
      <c r="AL123" s="133"/>
      <c r="AM123" s="133"/>
      <c r="AN123" s="133"/>
      <c r="AO123" s="133"/>
      <c r="AP123" s="133"/>
      <c r="AQ123" s="133"/>
      <c r="AR123" s="133"/>
      <c r="AS123" s="133"/>
      <c r="AT123" s="133"/>
      <c r="AU123" s="133"/>
      <c r="AV123" s="133"/>
      <c r="AW123" s="133"/>
      <c r="AX123" s="133"/>
      <c r="AY123" s="133"/>
      <c r="AZ123" s="133"/>
      <c r="BA123" s="133"/>
      <c r="BB123" s="133"/>
      <c r="BC123" s="137"/>
      <c r="BD123" s="137"/>
      <c r="BE123" s="137"/>
      <c r="BF123" s="137"/>
      <c r="BG123" s="137"/>
      <c r="BH123" s="137"/>
      <c r="BI123" s="137"/>
      <c r="BJ123" s="137"/>
      <c r="BK123" s="137"/>
      <c r="BL123" s="137"/>
      <c r="BM123" s="137"/>
    </row>
    <row r="124" spans="1:6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7" t="s">
        <v>1070</v>
      </c>
      <c r="AE124" s="344"/>
      <c r="AF124" s="122"/>
      <c r="AG124" s="120"/>
      <c r="AH124" s="120"/>
      <c r="AI124" s="120"/>
      <c r="AJ124" s="120"/>
      <c r="AK124" s="133"/>
      <c r="AL124" s="133"/>
      <c r="AM124" s="133"/>
      <c r="AN124" s="133"/>
      <c r="AO124" s="133"/>
      <c r="AP124" s="133"/>
      <c r="AQ124" s="133"/>
      <c r="AR124" s="133"/>
      <c r="AS124" s="133"/>
      <c r="AT124" s="133"/>
      <c r="AU124" s="133"/>
      <c r="AV124" s="133"/>
      <c r="AW124" s="133"/>
      <c r="AX124" s="133"/>
      <c r="AY124" s="133"/>
      <c r="AZ124" s="133"/>
      <c r="BA124" s="133"/>
      <c r="BB124" s="133"/>
      <c r="BC124" s="137"/>
      <c r="BD124" s="137"/>
      <c r="BE124" s="137"/>
      <c r="BF124" s="137"/>
      <c r="BG124" s="137"/>
      <c r="BH124" s="137"/>
      <c r="BI124" s="137"/>
      <c r="BJ124" s="137"/>
      <c r="BK124" s="137"/>
      <c r="BL124" s="137"/>
      <c r="BM124" s="137"/>
    </row>
    <row r="125" spans="1:6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7" t="s">
        <v>957</v>
      </c>
      <c r="AE125" s="345"/>
      <c r="AF125" s="90"/>
      <c r="AG125" s="120"/>
      <c r="AH125" s="120"/>
      <c r="AI125" s="120"/>
      <c r="AJ125" s="120"/>
      <c r="AK125" s="133"/>
      <c r="AL125" s="133"/>
      <c r="AM125" s="133"/>
      <c r="AN125" s="133"/>
      <c r="AO125" s="133"/>
      <c r="AP125" s="133"/>
      <c r="AQ125" s="133"/>
      <c r="AR125" s="133"/>
      <c r="AS125" s="133"/>
      <c r="AT125" s="133"/>
      <c r="AU125" s="133"/>
      <c r="AV125" s="133"/>
      <c r="AW125" s="133"/>
      <c r="AX125" s="133"/>
      <c r="AY125" s="133"/>
      <c r="AZ125" s="133"/>
      <c r="BA125" s="133"/>
      <c r="BB125" s="133"/>
      <c r="BC125" s="137"/>
      <c r="BD125" s="137"/>
      <c r="BE125" s="137"/>
      <c r="BF125" s="137"/>
      <c r="BG125" s="137"/>
      <c r="BH125" s="137"/>
      <c r="BI125" s="137"/>
      <c r="BJ125" s="137"/>
      <c r="BK125" s="137"/>
      <c r="BL125" s="137"/>
      <c r="BM125" s="137"/>
    </row>
    <row r="126" spans="1:65">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346" t="s">
        <v>1071</v>
      </c>
      <c r="AE126" s="347"/>
      <c r="AF126" s="91"/>
      <c r="AG126" s="120"/>
      <c r="AH126" s="120"/>
      <c r="AI126" s="120"/>
      <c r="AJ126" s="120"/>
      <c r="AK126" s="133"/>
      <c r="AL126" s="133"/>
      <c r="AM126" s="133"/>
      <c r="AN126" s="133"/>
      <c r="AO126" s="133"/>
      <c r="AP126" s="133"/>
      <c r="AQ126" s="133"/>
      <c r="AR126" s="133"/>
      <c r="AS126" s="133"/>
      <c r="AT126" s="133"/>
      <c r="AU126" s="133"/>
      <c r="AV126" s="133"/>
      <c r="AW126" s="133"/>
      <c r="AX126" s="133"/>
      <c r="AY126" s="133"/>
      <c r="AZ126" s="133"/>
      <c r="BA126" s="133"/>
      <c r="BB126" s="133"/>
      <c r="BC126" s="137"/>
      <c r="BD126" s="137"/>
      <c r="BE126" s="137"/>
      <c r="BF126" s="137"/>
      <c r="BG126" s="137"/>
      <c r="BH126" s="137"/>
      <c r="BI126" s="137"/>
      <c r="BJ126" s="137"/>
      <c r="BK126" s="137"/>
      <c r="BL126" s="137"/>
      <c r="BM126" s="137"/>
    </row>
    <row r="127" spans="1:65">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3"/>
      <c r="AC127" s="133"/>
      <c r="AD127" s="95" t="s">
        <v>1072</v>
      </c>
      <c r="AE127" s="344"/>
      <c r="AF127" s="92"/>
      <c r="AG127" s="120"/>
      <c r="AH127" s="120"/>
      <c r="AI127" s="120"/>
      <c r="AJ127" s="120"/>
      <c r="AK127" s="133"/>
      <c r="AL127" s="133"/>
      <c r="AM127" s="133"/>
      <c r="AN127" s="133"/>
      <c r="AO127" s="133"/>
      <c r="AP127" s="133"/>
      <c r="AQ127" s="133"/>
      <c r="AR127" s="133"/>
      <c r="AS127" s="133"/>
      <c r="AT127" s="133"/>
      <c r="AU127" s="133"/>
      <c r="AV127" s="133"/>
      <c r="AW127" s="133"/>
      <c r="AX127" s="133"/>
      <c r="AY127" s="133"/>
      <c r="AZ127" s="133"/>
      <c r="BA127" s="133"/>
      <c r="BB127" s="133"/>
      <c r="BC127" s="137"/>
      <c r="BD127" s="137"/>
      <c r="BE127" s="137"/>
      <c r="BF127" s="137"/>
      <c r="BG127" s="137"/>
      <c r="BH127" s="137"/>
      <c r="BI127" s="137"/>
      <c r="BJ127" s="137"/>
      <c r="BK127" s="137"/>
      <c r="BL127" s="137"/>
      <c r="BM127" s="137"/>
    </row>
    <row r="128" spans="1:65">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c r="X128" s="133"/>
      <c r="Y128" s="133"/>
      <c r="Z128" s="133"/>
      <c r="AA128" s="133"/>
      <c r="AB128" s="133"/>
      <c r="AC128" s="133"/>
      <c r="AD128" s="95" t="s">
        <v>431</v>
      </c>
      <c r="AE128" s="345"/>
      <c r="AF128" s="137" t="s">
        <v>1073</v>
      </c>
      <c r="AG128" s="133"/>
      <c r="AH128" s="133"/>
      <c r="AI128" s="133"/>
      <c r="AJ128" s="133"/>
      <c r="AK128" s="133"/>
      <c r="AL128" s="133"/>
      <c r="AM128" s="133"/>
      <c r="AN128" s="133"/>
      <c r="AO128" s="133"/>
      <c r="AP128" s="133"/>
      <c r="AQ128" s="133"/>
      <c r="AR128" s="133"/>
      <c r="AS128" s="133"/>
      <c r="AT128" s="133"/>
      <c r="AU128" s="133"/>
      <c r="AV128" s="133"/>
      <c r="AW128" s="133"/>
      <c r="AX128" s="133"/>
      <c r="AY128" s="133"/>
      <c r="AZ128" s="133"/>
      <c r="BA128" s="133"/>
      <c r="BB128" s="133"/>
      <c r="BC128" s="137"/>
      <c r="BD128" s="137"/>
      <c r="BE128" s="137"/>
      <c r="BF128" s="137"/>
      <c r="BG128" s="137"/>
      <c r="BH128" s="137"/>
      <c r="BI128" s="137"/>
      <c r="BJ128" s="137"/>
      <c r="BK128" s="137"/>
      <c r="BL128" s="137"/>
      <c r="BM128" s="137"/>
    </row>
    <row r="129" spans="1:65">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c r="X129" s="133"/>
      <c r="Y129" s="133"/>
      <c r="Z129" s="133"/>
      <c r="AA129" s="133"/>
      <c r="AB129" s="133"/>
      <c r="AC129" s="133"/>
      <c r="AD129" s="95" t="s">
        <v>1074</v>
      </c>
      <c r="AE129" s="345"/>
      <c r="AF129" s="133"/>
      <c r="AG129" s="133"/>
      <c r="AH129" s="133"/>
      <c r="AI129" s="133"/>
      <c r="AJ129" s="133"/>
      <c r="AK129" s="133"/>
      <c r="AL129" s="133"/>
      <c r="AM129" s="133"/>
      <c r="AN129" s="133"/>
      <c r="AO129" s="133"/>
      <c r="AP129" s="133"/>
      <c r="AQ129" s="133"/>
      <c r="AR129" s="133"/>
      <c r="AS129" s="133"/>
      <c r="AT129" s="133"/>
      <c r="AU129" s="133"/>
      <c r="AV129" s="133"/>
      <c r="AW129" s="133"/>
      <c r="AX129" s="133"/>
      <c r="AY129" s="133"/>
      <c r="AZ129" s="133"/>
      <c r="BA129" s="133"/>
      <c r="BB129" s="133"/>
      <c r="BC129" s="137"/>
      <c r="BD129" s="137"/>
      <c r="BE129" s="137"/>
      <c r="BF129" s="137"/>
      <c r="BG129" s="137"/>
      <c r="BH129" s="137"/>
      <c r="BI129" s="137"/>
      <c r="BJ129" s="137"/>
      <c r="BK129" s="137"/>
      <c r="BL129" s="137"/>
      <c r="BM129" s="137"/>
    </row>
    <row r="130" spans="1:65">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3"/>
      <c r="AC130" s="133"/>
      <c r="AD130" s="95" t="s">
        <v>1075</v>
      </c>
      <c r="AE130" s="133"/>
      <c r="AF130" s="436"/>
      <c r="AG130" s="133"/>
      <c r="AH130" s="133"/>
      <c r="AI130" s="133"/>
      <c r="AJ130" s="133"/>
      <c r="AK130" s="133"/>
      <c r="AL130" s="133"/>
      <c r="AM130" s="133"/>
      <c r="AN130" s="133"/>
      <c r="AO130" s="133"/>
      <c r="AP130" s="133"/>
      <c r="AQ130" s="133"/>
      <c r="AR130" s="133"/>
      <c r="AS130" s="133"/>
      <c r="AT130" s="133"/>
      <c r="AU130" s="133"/>
      <c r="AV130" s="133"/>
      <c r="AW130" s="137"/>
      <c r="AX130" s="133"/>
      <c r="AY130" s="133"/>
      <c r="AZ130" s="133"/>
      <c r="BA130" s="133"/>
      <c r="BB130" s="133"/>
      <c r="BC130" s="137"/>
      <c r="BD130" s="137"/>
      <c r="BE130" s="137"/>
      <c r="BF130" s="137"/>
      <c r="BG130" s="137"/>
      <c r="BH130" s="137"/>
      <c r="BI130" s="137"/>
      <c r="BJ130" s="137"/>
      <c r="BK130" s="137"/>
      <c r="BL130" s="137"/>
      <c r="BM130" s="137"/>
    </row>
    <row r="131" spans="1:65">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c r="X131" s="133"/>
      <c r="Y131" s="133"/>
      <c r="Z131" s="133"/>
      <c r="AA131" s="133"/>
      <c r="AB131" s="133"/>
      <c r="AC131" s="133"/>
      <c r="AD131" s="133"/>
      <c r="AE131" s="133"/>
      <c r="AF131" s="133"/>
      <c r="AG131" s="133"/>
      <c r="AH131" s="133"/>
      <c r="AI131" s="133"/>
      <c r="AJ131" s="133"/>
      <c r="AK131" s="133"/>
      <c r="AL131" s="133"/>
      <c r="AM131" s="133"/>
      <c r="AN131" s="133"/>
      <c r="AO131" s="133"/>
      <c r="AP131" s="133"/>
      <c r="AQ131" s="133"/>
      <c r="AR131" s="133"/>
      <c r="AS131" s="133"/>
      <c r="AT131" s="133"/>
      <c r="AU131" s="133"/>
      <c r="AV131" s="133"/>
      <c r="AW131" s="133"/>
      <c r="AX131" s="133"/>
      <c r="AY131" s="133"/>
      <c r="AZ131" s="133"/>
      <c r="BA131" s="133"/>
      <c r="BB131" s="133"/>
      <c r="BC131" s="137"/>
      <c r="BD131" s="137"/>
      <c r="BE131" s="137"/>
      <c r="BF131" s="137"/>
      <c r="BG131" s="137"/>
      <c r="BH131" s="137"/>
      <c r="BI131" s="137"/>
      <c r="BJ131" s="137"/>
      <c r="BK131" s="137"/>
      <c r="BL131" s="137"/>
      <c r="BM131" s="137"/>
    </row>
    <row r="132" spans="1:65">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7"/>
      <c r="BD132" s="137"/>
      <c r="BE132" s="137"/>
      <c r="BF132" s="137"/>
      <c r="BG132" s="137"/>
      <c r="BH132" s="137"/>
      <c r="BI132" s="137"/>
      <c r="BJ132" s="137"/>
      <c r="BK132" s="137"/>
      <c r="BL132" s="137"/>
      <c r="BM132" s="137"/>
    </row>
    <row r="133" spans="1:65">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c r="X133" s="133"/>
      <c r="Y133" s="133"/>
      <c r="Z133" s="133"/>
      <c r="AA133" s="133"/>
      <c r="AB133" s="133"/>
      <c r="AC133" s="133"/>
      <c r="AD133" s="133"/>
      <c r="AE133" s="133"/>
      <c r="AF133" s="133"/>
      <c r="AG133" s="133"/>
      <c r="AH133" s="133"/>
      <c r="AI133" s="133"/>
      <c r="AJ133" s="133"/>
      <c r="AK133" s="133"/>
      <c r="AL133" s="133"/>
      <c r="AM133" s="133"/>
      <c r="AN133" s="133"/>
      <c r="AO133" s="133"/>
      <c r="AP133" s="133"/>
      <c r="AQ133" s="133"/>
      <c r="AR133" s="133"/>
      <c r="AS133" s="133"/>
      <c r="AT133" s="133"/>
      <c r="AU133" s="133"/>
      <c r="AV133" s="133"/>
      <c r="AW133" s="133"/>
      <c r="AX133" s="133"/>
      <c r="AY133" s="133"/>
      <c r="AZ133" s="133"/>
      <c r="BA133" s="133"/>
      <c r="BB133" s="133"/>
      <c r="BC133" s="137"/>
      <c r="BD133" s="137"/>
      <c r="BE133" s="137"/>
      <c r="BF133" s="137"/>
      <c r="BG133" s="137"/>
      <c r="BH133" s="137"/>
      <c r="BI133" s="137"/>
      <c r="BJ133" s="137"/>
      <c r="BK133" s="137"/>
      <c r="BL133" s="137"/>
      <c r="BM133" s="137"/>
    </row>
    <row r="134" spans="1:65">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c r="X134" s="133"/>
      <c r="Y134" s="133"/>
      <c r="Z134" s="133"/>
      <c r="AA134" s="133"/>
      <c r="AB134" s="133"/>
      <c r="AC134" s="133"/>
      <c r="AD134" s="133"/>
      <c r="AE134" s="133"/>
      <c r="AF134" s="133"/>
      <c r="AG134" s="133"/>
      <c r="AH134" s="133"/>
      <c r="AI134" s="133"/>
      <c r="AJ134" s="133"/>
      <c r="AK134" s="133"/>
      <c r="AL134" s="133"/>
      <c r="AM134" s="133"/>
      <c r="AN134" s="133"/>
      <c r="AO134" s="133"/>
      <c r="AP134" s="133"/>
      <c r="AQ134" s="133"/>
      <c r="AR134" s="133"/>
      <c r="AS134" s="133"/>
      <c r="AT134" s="133"/>
      <c r="AU134" s="133"/>
      <c r="AV134" s="133"/>
      <c r="AW134" s="133"/>
      <c r="AX134" s="133"/>
      <c r="AY134" s="133"/>
      <c r="AZ134" s="133"/>
      <c r="BA134" s="133"/>
      <c r="BB134" s="133"/>
      <c r="BC134" s="137"/>
      <c r="BD134" s="137"/>
      <c r="BE134" s="137"/>
      <c r="BF134" s="137"/>
      <c r="BG134" s="137"/>
      <c r="BH134" s="137"/>
      <c r="BI134" s="137"/>
      <c r="BJ134" s="137"/>
      <c r="BK134" s="137"/>
      <c r="BL134" s="137"/>
      <c r="BM134" s="137"/>
    </row>
    <row r="135" spans="1:65">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c r="X135" s="133"/>
      <c r="Y135" s="133"/>
      <c r="Z135" s="133"/>
      <c r="AA135" s="133"/>
      <c r="AB135" s="133"/>
      <c r="AC135" s="133"/>
      <c r="AD135" s="133"/>
      <c r="AE135" s="133"/>
      <c r="AF135" s="133"/>
      <c r="AG135" s="133"/>
      <c r="AH135" s="133"/>
      <c r="AI135" s="133"/>
      <c r="AJ135" s="133"/>
      <c r="AK135" s="133"/>
      <c r="AL135" s="133"/>
      <c r="AM135" s="133"/>
      <c r="AN135" s="133"/>
      <c r="AO135" s="133"/>
      <c r="AP135" s="133"/>
      <c r="AQ135" s="133"/>
      <c r="AR135" s="133"/>
      <c r="AS135" s="133"/>
      <c r="AT135" s="133"/>
      <c r="AU135" s="133"/>
      <c r="AV135" s="133"/>
      <c r="AW135" s="137"/>
      <c r="AX135" s="133"/>
      <c r="AY135" s="133"/>
      <c r="AZ135" s="133"/>
      <c r="BA135" s="133"/>
      <c r="BB135" s="133"/>
      <c r="BC135" s="137"/>
      <c r="BD135" s="137"/>
      <c r="BE135" s="137"/>
      <c r="BF135" s="137"/>
      <c r="BG135" s="137"/>
      <c r="BH135" s="137"/>
      <c r="BI135" s="137"/>
      <c r="BJ135" s="137"/>
      <c r="BK135" s="137"/>
      <c r="BL135" s="137"/>
      <c r="BM135" s="137"/>
    </row>
    <row r="136" spans="1:65">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c r="X136" s="133"/>
      <c r="Y136" s="133"/>
      <c r="Z136" s="133"/>
      <c r="AA136" s="133"/>
      <c r="AB136" s="133"/>
      <c r="AC136" s="133"/>
      <c r="AD136" s="133"/>
      <c r="AE136" s="133"/>
      <c r="AF136" s="133"/>
      <c r="AG136" s="133"/>
      <c r="AH136" s="133"/>
      <c r="AI136" s="133"/>
      <c r="AJ136" s="133"/>
      <c r="AK136" s="133"/>
      <c r="AL136" s="133"/>
      <c r="AM136" s="133"/>
      <c r="AN136" s="133"/>
      <c r="AO136" s="133"/>
      <c r="AP136" s="133"/>
      <c r="AQ136" s="133"/>
      <c r="AR136" s="133"/>
      <c r="AS136" s="133"/>
      <c r="AT136" s="133"/>
      <c r="AU136" s="133"/>
      <c r="AV136" s="133"/>
      <c r="AW136" s="137"/>
      <c r="AX136" s="133"/>
      <c r="AY136" s="133"/>
      <c r="AZ136" s="133"/>
      <c r="BA136" s="133"/>
      <c r="BB136" s="133"/>
      <c r="BC136" s="137"/>
      <c r="BD136" s="137"/>
      <c r="BE136" s="137"/>
      <c r="BF136" s="137"/>
      <c r="BG136" s="137"/>
      <c r="BH136" s="137"/>
      <c r="BI136" s="137"/>
      <c r="BJ136" s="137"/>
      <c r="BK136" s="137"/>
      <c r="BL136" s="137"/>
      <c r="BM136" s="137"/>
    </row>
    <row r="137" spans="1:65">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33"/>
      <c r="AN137" s="133"/>
      <c r="AO137" s="133"/>
      <c r="AP137" s="133"/>
      <c r="AQ137" s="133"/>
      <c r="AR137" s="133"/>
      <c r="AS137" s="133"/>
      <c r="AT137" s="133"/>
      <c r="AU137" s="133"/>
      <c r="AV137" s="133"/>
      <c r="AW137" s="137"/>
      <c r="AX137" s="133"/>
      <c r="AY137" s="133"/>
      <c r="AZ137" s="133"/>
      <c r="BA137" s="133"/>
      <c r="BB137" s="133"/>
      <c r="BC137" s="137"/>
      <c r="BD137" s="137"/>
      <c r="BE137" s="137"/>
      <c r="BF137" s="137"/>
      <c r="BG137" s="137"/>
      <c r="BH137" s="137"/>
      <c r="BI137" s="137"/>
      <c r="BJ137" s="137"/>
      <c r="BK137" s="137"/>
      <c r="BL137" s="137"/>
      <c r="BM137" s="137"/>
    </row>
    <row r="138" spans="1:65">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c r="X138" s="133"/>
      <c r="Y138" s="133"/>
      <c r="Z138" s="133"/>
      <c r="AA138" s="133"/>
      <c r="AB138" s="133"/>
      <c r="AC138" s="133"/>
      <c r="AD138" s="133"/>
      <c r="AE138" s="133"/>
      <c r="AF138" s="133"/>
      <c r="AG138" s="133"/>
      <c r="AH138" s="133"/>
      <c r="AI138" s="133"/>
      <c r="AJ138" s="133"/>
      <c r="AK138" s="133"/>
      <c r="AL138" s="133"/>
      <c r="AM138" s="133"/>
      <c r="AN138" s="133"/>
      <c r="AO138" s="133"/>
      <c r="AP138" s="133"/>
      <c r="AQ138" s="133"/>
      <c r="AR138" s="133"/>
      <c r="AS138" s="133"/>
      <c r="AT138" s="133"/>
      <c r="AU138" s="133"/>
      <c r="AV138" s="133"/>
      <c r="AW138" s="137"/>
      <c r="AX138" s="133"/>
      <c r="AY138" s="133"/>
      <c r="AZ138" s="133"/>
      <c r="BA138" s="133"/>
      <c r="BB138" s="133"/>
      <c r="BC138" s="137"/>
      <c r="BD138" s="137"/>
      <c r="BE138" s="137"/>
      <c r="BF138" s="137"/>
      <c r="BG138" s="137"/>
      <c r="BH138" s="137"/>
      <c r="BI138" s="137"/>
      <c r="BJ138" s="137"/>
      <c r="BK138" s="137"/>
      <c r="BL138" s="137"/>
      <c r="BM138" s="137"/>
    </row>
    <row r="139" spans="1:65">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c r="X139" s="133"/>
      <c r="Y139" s="133"/>
      <c r="Z139" s="133"/>
      <c r="AA139" s="133"/>
      <c r="AB139" s="133"/>
      <c r="AC139" s="133"/>
      <c r="AD139" s="133"/>
      <c r="AE139" s="133"/>
      <c r="AF139" s="133"/>
      <c r="AG139" s="133"/>
      <c r="AH139" s="133"/>
      <c r="AI139" s="133"/>
      <c r="AJ139" s="133"/>
      <c r="AK139" s="133"/>
      <c r="AL139" s="133"/>
      <c r="AM139" s="133"/>
      <c r="AN139" s="133"/>
      <c r="AO139" s="133"/>
      <c r="AP139" s="133"/>
      <c r="AQ139" s="133"/>
      <c r="AR139" s="133"/>
      <c r="AS139" s="133"/>
      <c r="AT139" s="133"/>
      <c r="AU139" s="133"/>
      <c r="AV139" s="133"/>
      <c r="AW139" s="137"/>
      <c r="AX139" s="133"/>
      <c r="AY139" s="133"/>
      <c r="AZ139" s="133"/>
      <c r="BA139" s="133"/>
      <c r="BB139" s="133"/>
      <c r="BC139" s="137"/>
      <c r="BD139" s="137"/>
      <c r="BE139" s="137"/>
      <c r="BF139" s="137"/>
      <c r="BG139" s="137"/>
      <c r="BH139" s="137"/>
      <c r="BI139" s="137"/>
      <c r="BJ139" s="137"/>
      <c r="BK139" s="137"/>
      <c r="BL139" s="137"/>
      <c r="BM139" s="137"/>
    </row>
    <row r="140" spans="1:65">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c r="X140" s="133"/>
      <c r="Y140" s="133"/>
      <c r="Z140" s="133"/>
      <c r="AA140" s="133"/>
      <c r="AB140" s="133"/>
      <c r="AC140" s="133"/>
      <c r="AD140" s="133"/>
      <c r="AE140" s="133"/>
      <c r="AF140" s="133"/>
      <c r="AG140" s="133"/>
      <c r="AH140" s="133"/>
      <c r="AI140" s="133"/>
      <c r="AJ140" s="133"/>
      <c r="AK140" s="133"/>
      <c r="AL140" s="133"/>
      <c r="AM140" s="133"/>
      <c r="AN140" s="133"/>
      <c r="AO140" s="133"/>
      <c r="AP140" s="133"/>
      <c r="AQ140" s="133"/>
      <c r="AR140" s="133"/>
      <c r="AS140" s="133"/>
      <c r="AT140" s="133"/>
      <c r="AU140" s="133"/>
      <c r="AV140" s="133"/>
      <c r="AW140" s="137"/>
      <c r="AX140" s="133"/>
      <c r="AY140" s="133"/>
      <c r="AZ140" s="133"/>
      <c r="BA140" s="133"/>
      <c r="BB140" s="133"/>
      <c r="BC140" s="137"/>
      <c r="BD140" s="137"/>
      <c r="BE140" s="137"/>
      <c r="BF140" s="137"/>
      <c r="BG140" s="137"/>
      <c r="BH140" s="137"/>
      <c r="BI140" s="137"/>
      <c r="BJ140" s="137"/>
      <c r="BK140" s="137"/>
      <c r="BL140" s="137"/>
      <c r="BM140" s="137"/>
    </row>
    <row r="141" spans="1:65">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c r="X141" s="133"/>
      <c r="Y141" s="133"/>
      <c r="Z141" s="133"/>
      <c r="AA141" s="133"/>
      <c r="AB141" s="133"/>
      <c r="AC141" s="133"/>
      <c r="AD141" s="133"/>
      <c r="AE141" s="133"/>
      <c r="AF141" s="133"/>
      <c r="AG141" s="133"/>
      <c r="AH141" s="133"/>
      <c r="AI141" s="133"/>
      <c r="AJ141" s="133"/>
      <c r="AK141" s="133"/>
      <c r="AL141" s="133"/>
      <c r="AM141" s="133"/>
      <c r="AN141" s="133"/>
      <c r="AO141" s="133"/>
      <c r="AP141" s="133"/>
      <c r="AQ141" s="133"/>
      <c r="AR141" s="133"/>
      <c r="AS141" s="133"/>
      <c r="AT141" s="133"/>
      <c r="AU141" s="133"/>
      <c r="AV141" s="133"/>
      <c r="AW141" s="133"/>
      <c r="AX141" s="133"/>
      <c r="AY141" s="133"/>
      <c r="AZ141" s="133"/>
      <c r="BA141" s="133"/>
      <c r="BB141" s="133"/>
      <c r="BC141" s="137"/>
      <c r="BD141" s="137"/>
      <c r="BE141" s="137"/>
      <c r="BF141" s="137"/>
      <c r="BG141" s="137"/>
      <c r="BH141" s="137"/>
      <c r="BI141" s="137"/>
      <c r="BJ141" s="137"/>
      <c r="BK141" s="137"/>
      <c r="BL141" s="137"/>
      <c r="BM141" s="137"/>
    </row>
    <row r="142" spans="1:65">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3"/>
      <c r="AK142" s="133"/>
      <c r="AL142" s="133"/>
      <c r="AM142" s="133"/>
      <c r="AN142" s="133"/>
      <c r="AO142" s="133"/>
      <c r="AP142" s="133"/>
      <c r="AQ142" s="133"/>
      <c r="AR142" s="133"/>
      <c r="AS142" s="133"/>
      <c r="AT142" s="133"/>
      <c r="AU142" s="133"/>
      <c r="AV142" s="133"/>
      <c r="AW142" s="133"/>
      <c r="AX142" s="133"/>
      <c r="AY142" s="133"/>
      <c r="AZ142" s="133"/>
      <c r="BA142" s="133"/>
      <c r="BB142" s="133"/>
      <c r="BC142" s="137"/>
      <c r="BD142" s="137"/>
      <c r="BE142" s="137"/>
      <c r="BF142" s="137"/>
      <c r="BG142" s="137"/>
      <c r="BH142" s="137"/>
      <c r="BI142" s="137"/>
      <c r="BJ142" s="137"/>
      <c r="BK142" s="137"/>
      <c r="BL142" s="137"/>
      <c r="BM142" s="137"/>
    </row>
    <row r="143" spans="1:65">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c r="X143" s="133"/>
      <c r="Y143" s="133"/>
      <c r="Z143" s="133"/>
      <c r="AA143" s="133"/>
      <c r="AB143" s="133"/>
      <c r="AC143" s="133"/>
      <c r="AD143" s="133"/>
      <c r="AE143" s="133"/>
      <c r="AF143" s="133"/>
      <c r="AG143" s="133"/>
      <c r="AH143" s="133"/>
      <c r="AI143" s="133"/>
      <c r="AJ143" s="133"/>
      <c r="AK143" s="133"/>
      <c r="AL143" s="133"/>
      <c r="AM143" s="133"/>
      <c r="AN143" s="133"/>
      <c r="AO143" s="133"/>
      <c r="AP143" s="133"/>
      <c r="AQ143" s="133"/>
      <c r="AR143" s="133"/>
      <c r="AS143" s="133"/>
      <c r="AT143" s="133"/>
      <c r="AU143" s="133"/>
      <c r="AV143" s="133"/>
      <c r="AW143" s="133"/>
      <c r="AX143" s="133"/>
      <c r="AY143" s="133"/>
      <c r="AZ143" s="133"/>
      <c r="BA143" s="133"/>
      <c r="BB143" s="133"/>
      <c r="BC143" s="137"/>
      <c r="BD143" s="137"/>
      <c r="BE143" s="137"/>
      <c r="BF143" s="137"/>
      <c r="BG143" s="137"/>
      <c r="BH143" s="137"/>
      <c r="BI143" s="137"/>
      <c r="BJ143" s="137"/>
      <c r="BK143" s="137"/>
      <c r="BL143" s="137"/>
      <c r="BM143" s="137"/>
    </row>
    <row r="144" spans="1:65">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c r="X144" s="133"/>
      <c r="Y144" s="133"/>
      <c r="Z144" s="133"/>
      <c r="AA144" s="133"/>
      <c r="AB144" s="133"/>
      <c r="AC144" s="133"/>
      <c r="AD144" s="133"/>
      <c r="AE144" s="133"/>
      <c r="AF144" s="133"/>
      <c r="AG144" s="133"/>
      <c r="AH144" s="133"/>
      <c r="AI144" s="133"/>
      <c r="AJ144" s="133"/>
      <c r="AK144" s="133"/>
      <c r="AL144" s="133"/>
      <c r="AM144" s="133"/>
      <c r="AN144" s="133"/>
      <c r="AO144" s="133"/>
      <c r="AP144" s="133"/>
      <c r="AQ144" s="133"/>
      <c r="AR144" s="133"/>
      <c r="AS144" s="133"/>
      <c r="AT144" s="133"/>
      <c r="AU144" s="133"/>
      <c r="AV144" s="133"/>
      <c r="AW144" s="133"/>
      <c r="AX144" s="133"/>
      <c r="AY144" s="133"/>
      <c r="AZ144" s="133"/>
      <c r="BA144" s="133"/>
      <c r="BB144" s="133"/>
      <c r="BC144" s="137"/>
      <c r="BD144" s="137"/>
      <c r="BE144" s="137"/>
      <c r="BF144" s="137"/>
      <c r="BG144" s="137"/>
      <c r="BH144" s="137"/>
      <c r="BI144" s="137"/>
      <c r="BJ144" s="137"/>
      <c r="BK144" s="137"/>
      <c r="BL144" s="137"/>
      <c r="BM144" s="137"/>
    </row>
    <row r="145" spans="1:65">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c r="X145" s="133"/>
      <c r="Y145" s="133"/>
      <c r="Z145" s="133"/>
      <c r="AA145" s="133"/>
      <c r="AB145" s="133"/>
      <c r="AC145" s="133"/>
      <c r="AD145" s="133"/>
      <c r="AE145" s="133"/>
      <c r="AF145" s="133"/>
      <c r="AG145" s="133"/>
      <c r="AH145" s="133"/>
      <c r="AI145" s="133"/>
      <c r="AJ145" s="133"/>
      <c r="AK145" s="133"/>
      <c r="AL145" s="133"/>
      <c r="AM145" s="133"/>
      <c r="AN145" s="133"/>
      <c r="AO145" s="133"/>
      <c r="AP145" s="133"/>
      <c r="AQ145" s="133"/>
      <c r="AR145" s="133"/>
      <c r="AS145" s="133"/>
      <c r="AT145" s="133"/>
      <c r="AU145" s="133"/>
      <c r="AV145" s="133"/>
      <c r="AW145" s="133"/>
      <c r="AX145" s="133"/>
      <c r="AY145" s="133"/>
      <c r="AZ145" s="133"/>
      <c r="BA145" s="133"/>
      <c r="BB145" s="133"/>
      <c r="BC145" s="137"/>
      <c r="BD145" s="137"/>
      <c r="BE145" s="137"/>
      <c r="BF145" s="137"/>
      <c r="BG145" s="137"/>
      <c r="BH145" s="137"/>
      <c r="BI145" s="137"/>
      <c r="BJ145" s="137"/>
      <c r="BK145" s="137"/>
      <c r="BL145" s="137"/>
      <c r="BM145" s="137"/>
    </row>
    <row r="146" spans="1:65">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c r="X146" s="133"/>
      <c r="Y146" s="133"/>
      <c r="Z146" s="133"/>
      <c r="AA146" s="133"/>
      <c r="AB146" s="133"/>
      <c r="AC146" s="133"/>
      <c r="AD146" s="133"/>
      <c r="AE146" s="133"/>
      <c r="AF146" s="133"/>
      <c r="AG146" s="133"/>
      <c r="AH146" s="133"/>
      <c r="AI146" s="133"/>
      <c r="AJ146" s="133"/>
      <c r="AK146" s="133"/>
      <c r="AL146" s="133"/>
      <c r="AM146" s="133"/>
      <c r="AN146" s="133"/>
      <c r="AO146" s="133"/>
      <c r="AP146" s="133"/>
      <c r="AQ146" s="133"/>
      <c r="AR146" s="133"/>
      <c r="AS146" s="133"/>
      <c r="AT146" s="133"/>
      <c r="AU146" s="133"/>
      <c r="AV146" s="133"/>
      <c r="AW146" s="133"/>
      <c r="AX146" s="133"/>
      <c r="AY146" s="133"/>
      <c r="AZ146" s="133"/>
      <c r="BA146" s="133"/>
      <c r="BB146" s="133"/>
      <c r="BC146" s="137"/>
      <c r="BD146" s="137"/>
      <c r="BE146" s="137"/>
      <c r="BF146" s="137"/>
      <c r="BG146" s="137"/>
      <c r="BH146" s="137"/>
      <c r="BI146" s="137"/>
      <c r="BJ146" s="137"/>
      <c r="BK146" s="137"/>
      <c r="BL146" s="137"/>
      <c r="BM146" s="137"/>
    </row>
  </sheetData>
  <mergeCells count="6">
    <mergeCell ref="D54:E55"/>
    <mergeCell ref="AB44:AC45"/>
    <mergeCell ref="A1:C2"/>
    <mergeCell ref="D1:E2"/>
    <mergeCell ref="AB1:AC2"/>
    <mergeCell ref="A3:C4"/>
  </mergeCells>
  <conditionalFormatting sqref="A1:BM146">
    <cfRule type="expression" dxfId="42" priority="1">
      <formula>颜色主题="魔法"</formula>
    </cfRule>
  </conditionalFormatting>
  <dataValidations count="93">
    <dataValidation allowBlank="1" showInputMessage="1" showErrorMessage="1" promptTitle="===========攻城战车===========" prompt="坚固的撞角配上强有力的护甲，使得攻城战车无坚不摧。唯一的遗憾就是忘记加转向装置了。派出前必须调整好角度才能出击。_x000a_撞角经过专门设计，能与城墙产生共振，也正是推倒城墙的秘密所在了。_x000a_" sqref="AD4" xr:uid="{00000000-0002-0000-0200-000000000000}"/>
    <dataValidation allowBlank="1" showInputMessage="1" showErrorMessage="1" promptTitle="=====================" prompt="野蛮人狂暴模式下的每秒伤害比例" sqref="AD54" xr:uid="{00000000-0002-0000-0200-000001000000}"/>
    <dataValidation allowBlank="1" showInputMessage="1" showErrorMessage="1" promptTitle="======================" prompt="攻城气球的溅射范围虽然很大，但是距离远的伤害较低。_x000a_" sqref="AD18" xr:uid="{00000000-0002-0000-0200-000002000000}"/>
    <dataValidation allowBlank="1" showInputMessage="1" showErrorMessage="1" promptTitle="===========攻城飞艇===========" prompt="研究攻城战车的同一批人再次研究攻城飞艇。_x000a_为了能够让载具飞起来，移除了大量的装甲，还有具有代表性的撞角。取而代之的是便携式炸弹和螺旋桨。而同样忘记加转向了！_x000a_" sqref="AN4" xr:uid="{00000000-0002-0000-0200-000003000000}"/>
    <dataValidation allowBlank="1" showInputMessage="1" showErrorMessage="1" promptTitle="====================" prompt="飞行速度：5格/秒_x000a_可否追踪：不能_x000a_弹道轨迹：直线_x000a_参考时间：0.8秒_x000a_" sqref="AZ61" xr:uid="{00000000-0002-0000-0200-000004000000}"/>
    <dataValidation allowBlank="1" showInputMessage="1" showErrorMessage="1" promptTitle="======================" prompt="雷电的溅射半径，巨大的覆盖范围保证法术的中心点受到全额伤害。" sqref="F6" xr:uid="{00000000-0002-0000-0200-000005000000}"/>
    <dataValidation allowBlank="1" showInputMessage="1" showErrorMessage="1" promptTitle="====================" prompt="飞行速度：4.5格/秒_x000a_可否追踪：不能_x000a_弹道轨迹：直线_x000a_参考时间：0.44秒_x000a_" sqref="AP4" xr:uid="{00000000-0002-0000-0200-000006000000}"/>
    <dataValidation allowBlank="1" showInputMessage="1" showErrorMessage="1" promptTitle="===========雷电法术===========" prompt="雷电法术装满了电击质，这是来自天堂的稀有不稳定物质，一旦挥发就会引起感应雷击。_x000a_那么法师究竟是怎么得到这些危险的材料呢？_x000a_" sqref="F5" xr:uid="{00000000-0002-0000-0200-000007000000}"/>
    <dataValidation allowBlank="1" showInputMessage="1" showErrorMessage="1" promptTitle="======================" prompt="法术所覆盖的半径，作用效果取决于法术类型。" sqref="P6 F20 P20 F33 P33 F45 P45 F59 P59 T59 P71 F72 F84" xr:uid="{00000000-0002-0000-0200-000008000000}"/>
    <dataValidation allowBlank="1" showInputMessage="1" showErrorMessage="1" promptTitle="===========疗伤法术===========" prompt="相比于危险的电击质，疗伤法术的材料更好找。_x000a_唯一比较难找的材料就是天使的愈伤因子。欣喜的是不仅天使愿意奉献，同时还会参与到疗伤法术的产线，以帮助更多天使无法顾及的伤员。_x000a_" sqref="P5" xr:uid="{00000000-0002-0000-0200-000009000000}"/>
    <dataValidation allowBlank="1" showInputMessage="1" showErrorMessage="1" promptTitle="===========弹跳法术===========" prompt="弹跳法术的正确使用方法是内服，然后获得强大的弹跳能力，从而登上山峰。_x000a_但是有一次法师们尝试给弹跳法术增加了一点龙息，使得法术非常难喝。愤怒的法师于是打碎了瓶子，弹跳法术便从此成为了现在的样子。_x000a_" sqref="P19" xr:uid="{00000000-0002-0000-0200-00000A000000}"/>
    <dataValidation allowBlank="1" showInputMessage="1" showErrorMessage="1" promptTitle="===========狂暴法术===========" prompt="狂暴法术的问世与法术滥用现象同时出现。_x000a_如化学实验提高反应速率，加快火焰的燃烧速度，或者快速跳过无聊的会议。_x000a_甚至还可以提高疗伤因子的活性！_x000a_" sqref="F19" xr:uid="{00000000-0002-0000-0200-00000B000000}"/>
    <dataValidation allowBlank="1" showInputMessage="1" showErrorMessage="1" promptTitle="=================" prompt="射程指的是单位可以攻击到目标的最远距离" sqref="AD5 AN5 AD14 AD25 AN25 AD35 AD49 AN49 AX49 AD63 AN63 AX63 AD77 AN77 AX77 S88 P89 AD91 AN91 AX91 F100 AD105 AN105 AX105 AD121" xr:uid="{00000000-0002-0000-0200-00000C000000}"/>
    <dataValidation allowBlank="1" showInputMessage="1" showErrorMessage="1" promptTitle="=========================" prompt="攻速决定了单位开火所需要的时间，_x000a_每次伤害=攻速*每秒伤害。_x000a_" sqref="AD6 AN6 AD15 AD26 AN26 AD36 AD50 AN50 AD64 AN64 AX64 AD78 AN78 AX78 S89 P90 AD92 AN92 AX92 F101 AD106 AN106 AX106 AD122" xr:uid="{00000000-0002-0000-0200-00000D000000}"/>
    <dataValidation allowBlank="1" showInputMessage="1" showErrorMessage="1" promptTitle="===========镜像法术===========" prompt="自从有了镜像法术，不论是找群众演员还是投票选举都不那么困难了。_x000a_而法师们改进了这种法术，使得镜像兵种也能像野蛮人一样战斗，而改进这一法术的方法仅仅是加了半瓶狂暴法术。这使得法术整个容量都大了一半！_x000a_" sqref="P32" xr:uid="{00000000-0002-0000-0200-00000E000000}"/>
    <dataValidation allowBlank="1" showInputMessage="1" showErrorMessage="1" promptTitle="=====================" prompt="女巫一次召唤骷髅的数量，骷髅会在女巫的四周生成。" sqref="AX68" xr:uid="{00000000-0002-0000-0200-00000F000000}"/>
    <dataValidation allowBlank="1" showInputMessage="1" showErrorMessage="1" promptTitle="=======================" prompt="在未受到外界伤害的情况下，训练营所能生存的时间。_x000a_每秒会受到自身生命值上限的1/30_x000a_" sqref="AN14" xr:uid="{00000000-0002-0000-0200-000010000000}"/>
    <dataValidation allowBlank="1" showInputMessage="1" showErrorMessage="1" promptTitle="=====================" prompt="法术两次增益之间所需要的时间，往往比较短，就好像持续下去的。" sqref="P9 P21 F23 P34 F46 F62 P62 F74" xr:uid="{00000000-0002-0000-0200-000011000000}"/>
    <dataValidation allowBlank="1" showInputMessage="1" showErrorMessage="1" promptTitle="=====================" prompt="代表法术可以释放增益效果的次数" sqref="F7 P8 F22 F34 F61 P61" xr:uid="{00000000-0002-0000-0200-000012000000}"/>
    <dataValidation allowBlank="1" showInputMessage="1" showErrorMessage="1" promptTitle="=====================" prompt="法术的作用时长，越长代表持续越久，可以越早下。" sqref="P7 F21 F60 P60" xr:uid="{00000000-0002-0000-0200-000013000000}"/>
    <dataValidation allowBlank="1" showInputMessage="1" showErrorMessage="1" promptTitle="========================" prompt="移速的单位是：秒/格_x000a_与游戏显示的数值n的转换方法是：n/8_x000a__x000a_" sqref="AD7 AN7 AD16 AD27 AN27 AD37 AD51 AN51 AX51 AD65 AN65 AX65 AD79 AN79 AX79 AD93 AN93 AX93 AD107 AN107 AX107 AD123" xr:uid="{00000000-0002-0000-0200-000014000000}"/>
    <dataValidation allowBlank="1" showInputMessage="1" showErrorMessage="1" promptTitle="=========================" prompt="此项目决定了兵种的攻击目标和偏好。_x000a_攻击任何目标，选择最近的攻击！_x000a__x000a_" sqref="AD48 AX62 AD76 AN76 AX76 S86 P87 AD90 AX90 F98 AN104 AX104" xr:uid="{00000000-0002-0000-0200-000015000000}"/>
    <dataValidation allowBlank="1" showInputMessage="1" showErrorMessage="1" promptTitle="===========攻城气球===========" prompt="研究这种载具的团队由骷髅和巨石投手组成。_x000a_一个更大号的攻城气球诞生了，不管是体型还是威力都不输给原版气球。_x000a_只是为了乘客的安全，气球上的炸弹被换成了巨大的石头。_x000a_" sqref="AD13" xr:uid="{00000000-0002-0000-0200-000016000000}"/>
    <dataValidation allowBlank="1" showInputMessage="1" showErrorMessage="1" promptTitle="=========================" prompt="此项的含义是：兵种会对被克制单位有更多倍的伤害。" sqref="AD8 AD28 AN28 AN52 AX52 AD67" xr:uid="{00000000-0002-0000-0200-000017000000}"/>
    <dataValidation allowBlank="1" showInputMessage="1" showErrorMessage="1" promptTitle="=========================" prompt="带有溅射半径的兵种都可以产生溅射伤害，从而可以击中多个单位，但有可能会因为高速移动而被闪避。_x000a_" sqref="AN8 AD9 AD17 AD29 AN29 AX53 AX66 AN80 AD108 AN108 AX108" xr:uid="{00000000-0002-0000-0200-000018000000}"/>
    <dataValidation allowBlank="1" showInputMessage="1" showErrorMessage="1" promptTitle="===========超级野蛮人===========" prompt="没有入选野蛮人之王的他们并没有放弃自己的梦想。借助其他的方法，野蛮人也可以变得很强，让野蛮人之王为之震惊。_x000a_" sqref="AD47" xr:uid="{00000000-0002-0000-0200-000019000000}"/>
    <dataValidation allowBlank="1" showInputMessage="1" showErrorMessage="1" promptTitle="========================" prompt="权重分为两个值，跟随权重和仇恨权重_x000a_“跟随权重”反应了兵种在大守护者眼中的重要性，锁定目标时对目标施加自身的跟随权重_x000a_“仇恨权重”反应了兵种在天鹰火炮范围内的威胁，该值越高则代表越容易被天鹰锁定_x000a_" sqref="AN9 AD10 AN17 AD20 AD31 AN31 AD40 AD58 AN58 AX58 AD72 AN72 AX72 AX85 AD86 AN86 S93 P94 AX98 AD100 AN100 F105 AN113 AX114 AD115 AD130" xr:uid="{00000000-0002-0000-0200-00001A000000}"/>
    <dataValidation allowBlank="1" showInputMessage="1" showErrorMessage="1" promptTitle="======================" prompt="生效延迟指的是从法术落地之后到起作用的时间。" sqref="F11 P11 F25 P25 F37 P38 P48 F49 F64 P64 P76 F77 F89" xr:uid="{00000000-0002-0000-0200-00001B000000}"/>
    <dataValidation allowBlank="1" showInputMessage="1" showErrorMessage="1" promptTitle="====================" prompt="穿透半径不同于溅射半径_x000a_离箭矢穿透半径内的单位都会受伤_x000a_" sqref="AD80" xr:uid="{00000000-0002-0000-0200-00001C000000}"/>
    <dataValidation allowBlank="1" showInputMessage="1" showErrorMessage="1" promptTitle="=========================" prompt="放置时长指的是从你释放法术到法术落在地上的时间" sqref="F10 P10 F24 P24 F36 P37 P47 F48 F63 P63 P75 F76 F88" xr:uid="{00000000-0002-0000-0200-00001D000000}"/>
    <dataValidation allowBlank="1" showInputMessage="1" showErrorMessage="1" promptTitle="==========================" prompt="单体攻击：一次攻击只击中一个目标，并且永远不会击空。_x000a_" sqref="AN53 AD66 AX80 S91 P92 AN94 AX94 F103" xr:uid="{00000000-0002-0000-0200-00001E000000}"/>
    <dataValidation allowBlank="1" showInputMessage="1" showErrorMessage="1" promptTitle="======================" prompt="占用空间指的是法术占用法术工厂总容量的多少。" sqref="F13 P13 F27 P27 F39 P40 P50 F51 F66 P66 P78 F79 F91" xr:uid="{00000000-0002-0000-0200-00001F000000}"/>
    <dataValidation allowBlank="1" showInputMessage="1" showErrorMessage="1" promptTitle="====================" prompt="弹道轨迹：直线下落_x000a_参考时间：几乎瞬间_x000a_" sqref="AF13" xr:uid="{00000000-0002-0000-0200-000020000000}"/>
    <dataValidation allowBlank="1" showInputMessage="1" showErrorMessage="1" promptTitle="===========攻城训练营===========" prompt="为了能够入侵其他星球，工程师们根据好奇号设计了一个特制训练营。_x000a_这座训练营可以通过超级飞艇利维坦投射，而设计良好的降落装置能保证载客的安全。降落后便根据预定好的程序打印这些兵种。_x000a_" sqref="AN13" xr:uid="{00000000-0002-0000-0200-000021000000}"/>
    <dataValidation allowBlank="1" showInputMessage="1" showErrorMessage="1" promptTitle="======================" prompt="配置一瓶法术所需要的时间。_x000a__x000a_不过告诉你一个小秘密：_x000a_如果你的法术工厂在升级，却安排了圣水法术的配置，那么暗黑工厂也可以配置圣水法术！_x000a_" sqref="F14 P14 F28 P28 F40 P41 P51 F52 F67 P67 P79 F80 F92" xr:uid="{00000000-0002-0000-0200-000022000000}"/>
    <dataValidation allowBlank="1" showInputMessage="1" showErrorMessage="1" promptTitle="======================" prompt="动！不！了！了！" sqref="AN15" xr:uid="{00000000-0002-0000-0200-000023000000}"/>
    <dataValidation allowBlank="1" showInputMessage="1" showErrorMessage="1" promptTitle="===========毒药法术===========" prompt="粘稠的剧毒物质对于援兵如同温水煮青蛙。伤害随覆盖量的增加而提高。_x000a_暗黑法师们创造其他法术时产生了很多副产物，将有毒的副产物聚合在一起，便成为了毒药法术。_x000a_" sqref="F58" xr:uid="{00000000-0002-0000-0200-000024000000}"/>
    <dataValidation allowBlank="1" showInputMessage="1" showErrorMessage="1" promptTitle="===========超级炸弹人===========" prompt="超级炸弹人生来就是为了结束炸弹人家族开墙风险巨大的现状，而他们做到了。_x000a__x000a_" sqref="AX47" xr:uid="{00000000-0002-0000-0200-000025000000}"/>
    <dataValidation allowBlank="1" showInputMessage="1" showErrorMessage="1" promptTitle="======================" prompt="训练营从点击到部署皮卡的时间" sqref="AN16" xr:uid="{00000000-0002-0000-0200-000026000000}"/>
    <dataValidation allowBlank="1" showInputMessage="1" showErrorMessage="1" promptTitle="======================" prompt="每一次增益的持续时间_x000a_" sqref="P22 F26 F47 F73" xr:uid="{00000000-0002-0000-0200-000027000000}"/>
    <dataValidation allowBlank="1" showInputMessage="1" showErrorMessage="1" promptTitle="====================" prompt="镜像法术光环所持续的时间，过了这个时间之后不能再复制单位。" sqref="P35" xr:uid="{00000000-0002-0000-0200-000028000000}"/>
    <dataValidation allowBlank="1" showInputMessage="1" showErrorMessage="1" promptTitle="===========滚木战车===========" prompt="以滚木，而非撞角作为武器的战车。缓慢地冲锋，发射犀利的滚木，但尖刺也会划伤自己。_x000a_请勿试图阻挡这个巨兽，否则有你好看！_x000a_" sqref="AD24" xr:uid="{00000000-0002-0000-0200-000029000000}"/>
    <dataValidation allowBlank="1" showInputMessage="1" showErrorMessage="1" promptTitle="====================" prompt="飞行速度：3格/秒_x000a_可否追踪：否_x000a_弹道轨迹：直线_x000a_参考时间：6.33秒_x000a__x000a_" sqref="AF24 AP24" xr:uid="{00000000-0002-0000-0200-00002A000000}"/>
    <dataValidation allowBlank="1" showInputMessage="1" showErrorMessage="1" promptTitle="===========投石战车===========" prompt="超远距离投掷热烈的精灵，这就是投石战车所作的一切了。_x000a_但请不要和烈焰战车搞混哦。_x000a_" sqref="AN24" xr:uid="{00000000-0002-0000-0200-00002B000000}"/>
    <dataValidation allowBlank="1" showInputMessage="1" showErrorMessage="1" promptTitle="===========冰冻法术===========" prompt="在冰箱发明之前，冰冻法术是制冷的唯一手段。它受到了来自化学反应也能吸热的启发。_x000a_当冰箱问世后，为了储存冰冻法术，法师才采用暗黑法术的小试剂瓶最终得以解决。_x000a_" sqref="F32" xr:uid="{00000000-0002-0000-0200-00002C000000}"/>
    <dataValidation allowBlank="1" showInputMessage="1" showErrorMessage="1" promptTitle="===========骷髅法术===========" prompt="如何快速造出一件物品？_x000a_将骨头磨成粉，然后使用黑暗魔法一层一层铸造，最终赋予魔法成为成品。即魔法三维打印。_x000a_骷髅法术装的也只是打印魔法和大量的骷髅粉。_x000a_" sqref="P70" xr:uid="{00000000-0002-0000-0200-00002D000000}"/>
    <dataValidation allowBlank="1" showInputMessage="1" showErrorMessage="1" promptTitle="===========超级女巫===========" prompt="超大的女巫才能配得上超级大的召唤物！_x000a_比起人海战术，超级女巫非常喜欢特种作战。" sqref="AX61" xr:uid="{00000000-0002-0000-0200-00002E000000}"/>
    <dataValidation allowBlank="1" showInputMessage="1" showErrorMessage="1" promptTitle="============攻城钻机============" prompt="掘地矿工的御用载具，但有人硬是拿来干别的事情。_x000a_比如当作入侵村庄使用的攻城器械，矿工反复强调这个载具不是这么用的，但他们就是不听。因此矿工为每个钻机都上了车险，使得保险公司痛苦不已。" sqref="AD34" xr:uid="{00000000-0002-0000-0200-00002F000000}"/>
    <dataValidation allowBlank="1" showInputMessage="1" showErrorMessage="1" promptTitle="====================" prompt="复制镜像所能持续的时间，镜像拥有和本体相同的生命值和输出，除了被设定的寿命（而往往活不到）。_x000a_" sqref="P36" xr:uid="{00000000-0002-0000-0200-000030000000}"/>
    <dataValidation allowBlank="1" showInputMessage="1" showErrorMessage="1" promptTitle="=========================" prompt="攻城钻机从地下出来之后可以对建筑造成眩晕效果" sqref="AD39" xr:uid="{00000000-0002-0000-0200-000031000000}"/>
    <dataValidation allowBlank="1" showInputMessage="1" showErrorMessage="1" promptTitle="===========隐身法术===========" prompt="这是一瓶隐身法术，就连它的介绍都隐身了。_x000a_任何试图触碰到它的人都消失了，不论是队友还是敌人。_x000a_" sqref="F44" xr:uid="{00000000-0002-0000-0200-000032000000}"/>
    <dataValidation allowBlank="1" showInputMessage="1" showErrorMessage="1" promptTitle="=====================" prompt="训练时间：单个训练营训练指定单位所需要的时间。_x000a__x000a_" sqref="AN70 AX83 AN84 AN112 AX112" xr:uid="{00000000-0002-0000-0200-000033000000}"/>
    <dataValidation allowBlank="1" showInputMessage="1" showErrorMessage="1" promptTitle="===========召回法术===========" prompt="袭击进行得不顺利吗？需要从另一个方向进来吗？召回法术将军队、英雄和宠物召回到部署栏。然后，你可以把召回的部队派出去进行第二次打击！_x000a_" sqref="P44" xr:uid="{00000000-0002-0000-0200-000034000000}"/>
    <dataValidation allowBlank="1" showInputMessage="1" showErrorMessage="1" promptTitle="===========隐秘哥布林===========" prompt="一群特别的哥布林博士，能够想出借助挖掘机和矿车偷圣水的馊主意。_x000a_成为超级兵种的他们学会了更多：隐形和使用物理学圣剑。也逼迫陷阱改用生物探测器以攻击隐藏起来的他们。_x000a_" sqref="AN47" xr:uid="{00000000-0002-0000-0200-000035000000}"/>
    <dataValidation allowBlank="1" showInputMessage="1" showErrorMessage="1" promptTitle="======================" prompt="此项目决定了兵种的攻击目标和偏好。_x000a_优先攻击最近偏好目标，否则选择最近的攻击！" sqref="AN48 AX48 AD62 AN62 AN90 AD104 AD120" xr:uid="{00000000-0002-0000-0200-000036000000}"/>
    <dataValidation allowBlank="1" showInputMessage="1" showErrorMessage="1" promptTitle="=======================" prompt="占用空间指的是兵种占用兵营的容量。_x000a_" sqref="AD55 AN55 AX55 AD69 AN69 AX69 AX82 AD83 AN83 S92 P93 AD97 AN97 AX97 F104 AN111 AX111 AD112 AD127" xr:uid="{00000000-0002-0000-0200-000037000000}"/>
    <dataValidation allowBlank="1" showInputMessage="1" showErrorMessage="1" promptTitle="=========================" prompt="出手时间：对于一个新目标的第一次攻击时间。_x000a_" sqref="AD52" xr:uid="{00000000-0002-0000-0200-000038000000}"/>
    <dataValidation allowBlank="1" showInputMessage="1" showErrorMessage="1" promptTitle="=========================" prompt="野蛮人狂暴模式下的移速_x000a_" sqref="AD53" xr:uid="{00000000-0002-0000-0200-000039000000}"/>
    <dataValidation allowBlank="1" showInputMessage="1" showErrorMessage="1" promptTitle="======================" prompt="女巫召唤两波骷髅之间的时间间隔_x000a_" sqref="AX67" xr:uid="{00000000-0002-0000-0200-00003A000000}"/>
    <dataValidation allowBlank="1" showInputMessage="1" showErrorMessage="1" promptTitle="===========地震法术===========" prompt="黑暗法师们剑走偏锋，从地震现象中找到了灵感。这一种法术通过催化地底的能量产生巨大的波动。这便是地震的由来。_x000a_" sqref="P58" xr:uid="{00000000-0002-0000-0200-00003B000000}"/>
    <dataValidation allowBlank="1" showInputMessage="1" showErrorMessage="1" promptTitle="===========超级巨人===========" prompt="成为超级兵种的巨人解决了苦恼已久的脱发问题。_x000a_而逆向壁垒之戒的研发则为巨人如虎添翼，这种戒指可以对城墙造成更多的伤害，而不是升级它。_x000a_" sqref="AD61" xr:uid="{00000000-0002-0000-0200-00003C000000}"/>
    <dataValidation allowBlank="1" showInputMessage="1" showErrorMessage="1" promptTitle="===========地狱飞龙===========" prompt="继承地狱之塔力量的飞龙宝宝，大人物的克星。_x000a__x000a_" sqref="AN61" xr:uid="{00000000-0002-0000-0200-00003D000000}"/>
    <dataValidation allowBlank="1" showInputMessage="1" showErrorMessage="1" promptTitle="======================" prompt="从最初伤害提高到2阶伤害所需要的时间。" sqref="AN66 AD124" xr:uid="{00000000-0002-0000-0200-00003E000000}"/>
    <dataValidation allowBlank="1" showInputMessage="1" showErrorMessage="1" promptTitle="=====================" prompt="从2阶伤害提高到3阶伤害所需要的时间。_x000a_这代表了一个单位的毁灭..._x000a_" sqref="AN67 AD125" xr:uid="{00000000-0002-0000-0200-00003F000000}"/>
    <dataValidation allowBlank="1" showInputMessage="1" showErrorMessage="1" promptTitle="===========急速法术===========" prompt="对于长跑来说，急速法术帮助非常大。_x000a_而携带狂暴法术往往太过笨重，不易饮用。黑暗法师们于是去除无益于加速的成分。改进后他们意外地发现这种法术不仅体积小了，效果也更好更持久了！_x000a_" sqref="F71" xr:uid="{00000000-0002-0000-0200-000040000000}"/>
    <dataValidation allowBlank="1" showInputMessage="1" showErrorMessage="1" promptTitle="======================" prompt="光环半径只是显示效果，实际上用处不大。" sqref="P72 F85" xr:uid="{00000000-0002-0000-0200-000041000000}"/>
    <dataValidation allowBlank="1" showInputMessage="1" showErrorMessage="1" promptTitle="=====================" prompt="两次召唤之间的平均时间间隔，毕竟有上下浮动，对吧？" sqref="P73 F86" xr:uid="{00000000-0002-0000-0200-000042000000}"/>
    <dataValidation allowBlank="1" showInputMessage="1" showErrorMessage="1" promptTitle="======================" prompt="对圣水瓶、储金罐、黑油罐和大本营的伤害为对其他单位的15%。" sqref="P74 F87 S87 P88 F99" xr:uid="{00000000-0002-0000-0200-000043000000}"/>
    <dataValidation allowBlank="1" showInputMessage="1" showErrorMessage="1" promptTitle="===========超级弓箭手===========" prompt="不同于普通的弓箭手，超级弓箭手的箭矢可以穿透目标。这可不是箭斗术，而是使用了重型的弓和箭，使得每一次射击都变得异常致命，命中后还可以继续飞一段距离。" sqref="AD75" xr:uid="{00000000-0002-0000-0200-000044000000}"/>
    <dataValidation allowBlank="1" showInputMessage="1" showErrorMessage="1" promptTitle="====================" prompt="飞行速度：14格/秒_x000a_可否追踪：不可以_x000a_弹道轨迹：直线_x000a_参考时间：0.43+0.29秒_x000a_" sqref="AF75 AZ103" xr:uid="{00000000-0002-0000-0200-000045000000}"/>
    <dataValidation allowBlank="1" showInputMessage="1" showErrorMessage="1" promptTitle="===========超级武神===========" prompt="曾经，武神在和樵夫比赛砍树的时候，一不小心砍翻了樵夫背上的狂暴药水。在狂暴法术的作用下，武神最终战胜了樵夫。然而狂暴法术的效果却没能消除，最终成为了狂暴的超级武神，同样背上了一瓶狂暴药水。_x000a_" sqref="AN75" xr:uid="{00000000-0002-0000-0200-000046000000}"/>
    <dataValidation allowBlank="1" showInputMessage="1" showErrorMessage="1" promptTitle="====狂暴法术====" prompt="持续时间：18秒_x000a_速度增益：3.25格/秒_x000a_伤害提升：160%_x000a_作用半径：4格_x000a_部署延迟：0.8秒" sqref="AQ75" xr:uid="{00000000-0002-0000-0200-000047000000}"/>
    <dataValidation allowBlank="1" showInputMessage="1" showErrorMessage="1" promptTitle="===========超级亡灵===========" prompt="防空火箭一直都是亡灵的克星，于是神秘组织开始了一项“超级亡灵”的计划，代号996。首先是创造一个比普通版本更大的亡灵，然后是将火箭安装在手上。这样的改造体拥有超远的射程，足以有效面对防空火箭的威胁了。_x000a_" sqref="AX75" xr:uid="{00000000-0002-0000-0200-000048000000}"/>
    <dataValidation allowBlank="1" showInputMessage="1" showErrorMessage="1" promptTitle="====================" prompt="飞行速度：3.8格/秒_x000a_可否追踪：可以_x000a_弹道轨迹：抛物线_x000a_参考时间：1.05秒_x000a_" sqref="AZ75" xr:uid="{00000000-0002-0000-0200-000049000000}"/>
    <dataValidation allowBlank="1" showInputMessage="1" showErrorMessage="1" promptTitle="======================" prompt="箭矢能够飞行的最长距离" sqref="AD81" xr:uid="{00000000-0002-0000-0200-00004A000000}"/>
    <dataValidation allowBlank="1" showInputMessage="1" showErrorMessage="1" promptTitle="======================" prompt="攻击新的目标时的实际开火时间，往往比攻速快。" sqref="AN81 AD109 AN109" xr:uid="{00000000-0002-0000-0200-00004B000000}"/>
    <dataValidation allowBlank="1" showInputMessage="1" showErrorMessage="1" promptTitle="===========蝙蝠法术===========" prompt="蝙蝠法术的创造显得更加简单，仅仅只需要蝙蝠的诱饵，敏锐的嗅觉足够吸引成群的蝙蝠从天而降。至于蝙蝠为什么攻击防御？仅仅是因为防御建筑影响到蝙蝠享用美味的圣水甘露了吧。_x000a_" sqref="F83" xr:uid="{00000000-0002-0000-0200-00004C000000}"/>
    <dataValidation allowBlank="1" showInputMessage="1" showErrorMessage="1" promptTitle="===========超级法师===========" prompt="另一种法师，学习了橘猫族的电魔法，而不是山羊族的火魔法。_x000a_这样的雷电在攻击一个目标后会散开，连锁所有可能的单位，但无法二次传导。_x000a_看来这更适合在网吧治疗成群的网瘾少年呢！_x000a_" sqref="AD89" xr:uid="{00000000-0002-0000-0200-00004D000000}"/>
    <dataValidation allowBlank="1" showInputMessage="1" showErrorMessage="1" promptTitle="===========寒冰猎犬===========" prompt="熔岩猎犬的反义词？_x000a_寒冰猎犬准没错了！_x000a_如果将两种猎犬组合在一起会是什么呢？_x000a_注定是灾难！_x000a__x000a_" sqref="AN89" xr:uid="{00000000-0002-0000-0200-00004E000000}"/>
    <dataValidation allowBlank="1" showInputMessage="1" showErrorMessage="1" promptTitle="====================" prompt="飞行速度：2格/秒_x000a_可否追踪：可以_x000a_弹道轨迹：直线_x000a_参考时间：0.375秒_x000a_" sqref="AP89 AF103" xr:uid="{00000000-0002-0000-0200-00004F000000}"/>
    <dataValidation allowBlank="1" showInputMessage="1" showErrorMessage="1" promptTitle="===========小寒冰犬===========" prompt="反义词的儿子也是反义词！_x000a_说的就是小寒冰犬！" sqref="AX89" xr:uid="{00000000-0002-0000-0200-000050000000}"/>
    <dataValidation allowBlank="1" showInputMessage="1" showErrorMessage="1" promptTitle="====================" prompt="飞行速度：3格/秒_x000a_可否追踪：可以_x000a_弹道轨迹：直线_x000a_参考时间：0.92秒_x000a_" sqref="AZ89" xr:uid="{00000000-0002-0000-0200-000051000000}"/>
    <dataValidation allowBlank="1" showInputMessage="1" showErrorMessage="1" promptTitle="=========================" prompt="移速的单位是：秒/格_x000a_与游戏显示的数值n的转换方法是：n/8_x000a__x000a_" sqref="S90 P91 F102" xr:uid="{00000000-0002-0000-0200-000052000000}"/>
    <dataValidation allowBlank="1" showInputMessage="1" showErrorMessage="1" promptTitle="========================" prompt="闪电链从一个目标跳向另一个目标的距离极限。_x000a_一般情况下建筑物占地面积之间超过2格就无法连锁。" sqref="AD94" xr:uid="{00000000-0002-0000-0200-000053000000}"/>
    <dataValidation allowBlank="1" showInputMessage="1" showErrorMessage="1" promptTitle="=======================" prompt="每一次闪电弹射，伤害都会降低60%。" sqref="AD95" xr:uid="{00000000-0002-0000-0200-000054000000}"/>
    <dataValidation allowBlank="1" showInputMessage="1" showErrorMessage="1" promptTitle="===========气球火箭兵===========" prompt="加装了火箭推进器的气球兵，一路向着防御狂奔。_x000a__x000a_" sqref="AD103" xr:uid="{00000000-0002-0000-0200-000055000000}"/>
    <dataValidation allowBlank="1" showInputMessage="1" showErrorMessage="1" promptTitle="===========超级巨石投手===========" prompt="待补充" sqref="AN103" xr:uid="{00000000-0002-0000-0200-000056000000}"/>
    <dataValidation allowBlank="1" showInputMessage="1" showErrorMessage="1" promptTitle="====================" prompt="飞行速度：4.75格/秒_x000a_可否追踪：可以_x000a_弹道轨迹：抛物线_x000a_参考时间：0.63+0.84秒(弹射一次)_x000a_" sqref="AP103" xr:uid="{00000000-0002-0000-0200-000057000000}"/>
    <dataValidation allowBlank="1" showInputMessage="1" showErrorMessage="1" promptTitle="===========超级飞龙===========" prompt="待补充……" sqref="AX103" xr:uid="{00000000-0002-0000-0200-000058000000}"/>
    <dataValidation allowBlank="1" showInputMessage="1" showErrorMessage="1" promptTitle="======================" prompt="连发是特殊的攻击模式，一次攻击射出多发子弹。有利于快速消灭目标，但是可能需要更多的装填时间。_x000a_" sqref="AX109" xr:uid="{00000000-0002-0000-0200-000059000000}"/>
    <dataValidation allowBlank="1" showInputMessage="1" showErrorMessage="1" promptTitle="=========================" prompt="一部分兵种不甘于被消灭，希望能最后一击。自爆半径指的是这种伤害的范围。" sqref="AD110" xr:uid="{00000000-0002-0000-0200-00005A000000}"/>
    <dataValidation allowBlank="1" showInputMessage="1" showErrorMessage="1" promptTitle="=========================" prompt="从被消灭到造成坠落伤害的时间" sqref="AD111" xr:uid="{00000000-0002-0000-0200-00005B000000}"/>
    <dataValidation allowBlank="1" showInputMessage="1" showErrorMessage="1" promptTitle="===========超级矿工===========" prompt="拿着大钻机，留着拉风的胡子，随时准备暗中破坏敌人防御_x000a__x000a_" sqref="AD119" xr:uid="{00000000-0002-0000-0200-00005C000000}"/>
  </dataValidations>
  <hyperlinks>
    <hyperlink ref="D4" location="'2.2家乡支援军'!F5:L17" tooltip="释放闪电直接攻击敌人" display="01.雷电法术" xr:uid="{00000000-0004-0000-0200-000000000000}"/>
    <hyperlink ref="D5" location="'2.2家乡支援军'!P5:W16" tooltip="治疗自己军队的法术" display="02.疗伤法术" xr:uid="{00000000-0004-0000-0200-000001000000}"/>
    <hyperlink ref="D6" location="'2.2家乡支援军'!F19:L28" tooltip="大幅度提高军队移速和伤害的法术" display="03.狂暴法术" xr:uid="{00000000-0004-0000-0200-000002000000}"/>
    <hyperlink ref="D7" location="'2.2家乡支援军'!P19:V28" tooltip="对付城墙的一种有效方法" display="04.弹跳法术" xr:uid="{00000000-0004-0000-0200-000003000000}"/>
    <hyperlink ref="D8" location="'2.2家乡支援军'!F32:L41" tooltip="暂停敌军行动以争取宝贵的时间" display="05.冰冻法术" xr:uid="{00000000-0004-0000-0200-000004000000}"/>
    <hyperlink ref="D9" location="'2.2家乡支援军'!P32:U41" tooltip="使用难度大，但是却可以出其不意" display="06.镜像法术" xr:uid="{00000000-0004-0000-0200-000005000000}"/>
    <hyperlink ref="D57" location="'2.2家乡支援军'!F58:M70" tooltip="削弱并伤害敌军防守援兵" display="01.毒药法术" xr:uid="{00000000-0004-0000-0200-000006000000}"/>
    <hyperlink ref="D58" location="'2.2家乡支援军'!P58:V67" tooltip="直接摧毁城墙并削弱建筑" display="02.地震法术" xr:uid="{00000000-0004-0000-0200-000007000000}"/>
    <hyperlink ref="D59" location="'2.2家乡支援军'!F71:L80" tooltip="专职加快移速的法术" display="03.急速法术" xr:uid="{00000000-0004-0000-0200-000008000000}"/>
    <hyperlink ref="D60" location="'2.2家乡支援军'!P70:V81" tooltip="召唤骷髅支援战局" display="04.骷髅法术" xr:uid="{00000000-0004-0000-0200-000009000000}"/>
    <hyperlink ref="D61" location="'2.2家乡支援军'!F83:M93" tooltip="召唤蝙蝠攻击防御" display="05.蝙蝠法术" xr:uid="{00000000-0004-0000-0200-00000A000000}"/>
    <hyperlink ref="AB4" location="'2.2家乡支援军'!AD4:AL10" tooltip="冲向大本营的攻城载具，擅长撞开城墙" display="01.攻城战车" xr:uid="{00000000-0004-0000-0200-00000B000000}"/>
    <hyperlink ref="AB5" location="'2.2家乡支援军'!AN4:AU11" tooltip="快速运输的飞行载具" display="02.攻城飞艇" xr:uid="{00000000-0004-0000-0200-00000C000000}"/>
    <hyperlink ref="AB6" location="'2.2家乡支援军'!AD13:AL21" tooltip="目标防御的大型气球，攻击大范围溅射" display="03.攻城气球" xr:uid="{00000000-0004-0000-0200-00000D000000}"/>
    <hyperlink ref="AB7" location="'2.2家乡支援军'!AN13:AU20" tooltip="从天而降的训练营，出自己的部队之后才会出援兵" display="04.攻城训练营" xr:uid="{00000000-0004-0000-0200-00000E000000}"/>
    <hyperlink ref="AB47" location="'2.2家乡支援军'!AD47:AJ58" tooltip="鲜血与怒火！" display="01.超级野蛮人" xr:uid="{00000000-0004-0000-0200-00000F000000}"/>
    <hyperlink ref="AB48" location="'2.2家乡支援军'!AN47:AT58" tooltip="贼眉鼠眼、认贼作父、乱臣贼子、天下无贼" display="02.隐秘哥布林" xr:uid="{00000000-0004-0000-0200-000010000000}"/>
    <hyperlink ref="AB49" location="'2.2家乡支援军'!AX47:BD58" tooltip="大爆炸！" display="03.超级炸弹人" xr:uid="{00000000-0004-0000-0200-000011000000}"/>
    <hyperlink ref="AB50" location="'2.2家乡支援军'!AD61:AJ72" tooltip="大表哥的出现令城墙瑟瑟发抖" display="04.超级巨人" xr:uid="{00000000-0004-0000-0200-000012000000}"/>
    <hyperlink ref="D18" location="'2.2家乡支援军'!A1:C13" tooltip="返回主页面" display="○主界面" xr:uid="{00000000-0004-0000-0200-000013000000}"/>
    <hyperlink ref="D66" location="'2.2家乡支援军'!A1:C13" tooltip="返回主页面" display="○主界面" xr:uid="{00000000-0004-0000-0200-000014000000}"/>
    <hyperlink ref="AB66" location="'2.2家乡支援军'!A1:C13" tooltip="返回主页面" display="○主界面" xr:uid="{00000000-0004-0000-0200-000015000000}"/>
    <hyperlink ref="AB15" location="'2.2家乡支援军'!A1:C13" tooltip="返回主页面" display="○主界面" xr:uid="{00000000-0004-0000-0200-000016000000}"/>
    <hyperlink ref="AB12" location="'2.2家乡支援军'!D1:Y43" tooltip="跳至圣水法术" display="&gt;&gt;圣水法术" xr:uid="{00000000-0004-0000-0200-000017000000}"/>
    <hyperlink ref="D13" location="'2.2家乡支援军'!D54:Y93" tooltip="跳至黑油法术" display="&gt;&gt;黑油法术" xr:uid="{00000000-0004-0000-0200-000018000000}"/>
    <hyperlink ref="AB64" location="'2.2家乡支援军'!D54:Y93" tooltip="跳至黑油法术" display="&gt;&gt;黑油法术" xr:uid="{00000000-0004-0000-0200-000019000000}"/>
    <hyperlink ref="AB13" location="'2.2家乡支援军'!D54:Y93" tooltip="跳至黑油法术" display="&gt;&gt;黑油法术" xr:uid="{00000000-0004-0000-0200-00001A000000}"/>
    <hyperlink ref="AB65" location="'2.2家乡支援军'!Ab1:az20" tooltip="跳至攻城载具" display="&gt;&gt;攻城载具" xr:uid="{00000000-0004-0000-0200-00001B000000}"/>
    <hyperlink ref="D14" location="'2.2家乡支援军'!AB1:AW40" tooltip="跳至攻城载具" display="&gt;&gt;攻城载具" xr:uid="{00000000-0004-0000-0200-00001C000000}"/>
    <hyperlink ref="AB14" location="'2.2家乡支援军'!Ab44:az144" tooltip="跳至超级兵种" display="&gt;&gt;超级兵种" xr:uid="{00000000-0004-0000-0200-00001D000000}"/>
    <hyperlink ref="AB63" location="'2.2家乡支援军'!D1:Y43" tooltip="跳至圣水法术" display="&gt;&gt;圣水法术" xr:uid="{00000000-0004-0000-0200-00001E000000}"/>
    <hyperlink ref="D63" location="'2.2家乡支援军'!D1:Y43" tooltip="跳至圣水法术" display="&gt;&gt;圣水法术" xr:uid="{00000000-0004-0000-0200-00001F000000}"/>
    <hyperlink ref="AB51" location="'2.2家乡支援军'!AN61:AT72" tooltip="烧成灰烬！" display="05.地狱飞龙" xr:uid="{00000000-0004-0000-0200-000020000000}"/>
    <hyperlink ref="AB52" location="'2.2家乡支援军'!AX61:BD72" tooltip="特种作战的绝佳表现" display="06.超级女巫" xr:uid="{00000000-0004-0000-0200-000021000000}"/>
    <hyperlink ref="AB53" location="'2.2家乡支援军'!AD75:AI86" tooltip="远且致命的超级射手" display="07.超级弓箭手" xr:uid="{00000000-0004-0000-0200-000022000000}"/>
    <hyperlink ref="AB54" location="'2.2家乡支援军'!AN75:AT86" tooltip="背着狂暴药水的愤怒武神" display="08.超级武神" xr:uid="{00000000-0004-0000-0200-000023000000}"/>
    <hyperlink ref="AB55" location="'2.2家乡支援军'!AX75:BC85" tooltip="坚信距离才是正义的强壮亡灵" display="09.超级亡灵" xr:uid="{00000000-0004-0000-0200-000024000000}"/>
    <hyperlink ref="D15" location="'2.2家乡支援军'!Ab44:az144" tooltip="跳至超级兵种" display="&gt;&gt;超级兵种" xr:uid="{00000000-0004-0000-0200-000025000000}"/>
    <hyperlink ref="D65" location="'2.2家乡支援军'!Ab44:az144" tooltip="跳至超级兵种" display="&gt;&gt;超级兵种" xr:uid="{00000000-0004-0000-0200-000026000000}"/>
    <hyperlink ref="AB56" location="'2.2家乡支援军'!AD89:AK100" tooltip="一个发射远高于24伏的高压电的违章电器" display="10.超级法师" xr:uid="{00000000-0004-0000-0200-000027000000}"/>
    <hyperlink ref="AB57" location="'2.2家乡支援军'!AN89:AU100" tooltip="熔岩猎犬的反义词" display="11.寒冰猎犬" xr:uid="{00000000-0004-0000-0200-000028000000}"/>
    <hyperlink ref="D10" location="'2.2家乡支援军'!F44:M52" tooltip="释放敌我不分的隐形力场" display="07.隐形法术" xr:uid="{00000000-0004-0000-0200-000029000000}"/>
    <hyperlink ref="AB8" location="'2.2家乡支援军'!AD24:AL32" tooltip="发射滚木的狂徒" display="05.滚木战车" xr:uid="{00000000-0004-0000-0200-00002A000000}"/>
    <hyperlink ref="AB58" location="'2.2家乡支援军'!AD103:AJ115" tooltip="快速的突击气球" display="12.气球火箭兵" xr:uid="{00000000-0004-0000-0200-00002B000000}"/>
    <hyperlink ref="AB59" location="'2.2家乡支援军'!AN103:AS113" tooltip="巨石投手的加强版" display="13.超级巨石投手" xr:uid="{00000000-0004-0000-0200-00002C000000}"/>
    <hyperlink ref="AB9" location="'2.2家乡支援军'!AN24:AW31" tooltip="超远程攻城载具" display="06.投石战车" xr:uid="{00000000-0004-0000-0200-00002D000000}"/>
    <hyperlink ref="AB60" location="'2.2家乡支援军'!AX103:BC114" tooltip="持续的怒火中烧" display="14.超级飞龙" xr:uid="{00000000-0004-0000-0200-00002E000000}"/>
    <hyperlink ref="D11" location="'2.2家乡支援军'!P44:U52" tooltip="召回部队重新部署" display="08.召回法术" xr:uid="{00000000-0004-0000-0200-00002F000000}"/>
    <hyperlink ref="AB10" location="'2.2家乡支援军'!AD34:AK40" tooltip="钻地小能手" display="07.攻城钻机" xr:uid="{00000000-0004-0000-0200-000030000000}"/>
    <hyperlink ref="D64" location="'2.2家乡支援军'!AB1:AW40" tooltip="跳至攻城载具" display="&gt;&gt;攻城载具" xr:uid="{00000000-0004-0000-0200-000031000000}"/>
    <hyperlink ref="AB61" location="'2.2家乡支援军'!AD119:AK130" tooltip="随身携带炸弹桶" display="15.超级矿工" xr:uid="{00000000-0004-0000-0200-000032000000}"/>
  </hyperlink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Q134"/>
  <sheetViews>
    <sheetView topLeftCell="A74" workbookViewId="0">
      <selection activeCell="S99" sqref="S99"/>
    </sheetView>
  </sheetViews>
  <sheetFormatPr defaultColWidth="9" defaultRowHeight="14.15"/>
  <cols>
    <col min="8" max="11" width="9.140625" customWidth="1"/>
    <col min="12" max="12" width="9.5" customWidth="1"/>
    <col min="13" max="13" width="9.640625" customWidth="1"/>
    <col min="14" max="15" width="9.5" customWidth="1"/>
    <col min="16" max="17" width="9.35546875"/>
    <col min="22" max="22" width="9.35546875"/>
    <col min="23" max="23" width="9.5" customWidth="1"/>
    <col min="24" max="24" width="9.35546875" customWidth="1"/>
    <col min="25" max="25" width="9.35546875"/>
    <col min="28" max="28" width="9.5" customWidth="1"/>
    <col min="33" max="36" width="9.35546875"/>
    <col min="44" max="44" width="9.35546875"/>
    <col min="45" max="47" width="9.5" customWidth="1"/>
    <col min="53" max="53" width="9.35546875"/>
    <col min="55" max="55" width="9.5" customWidth="1"/>
    <col min="57" max="57" width="9.5" customWidth="1"/>
    <col min="58" max="58" width="9.35546875"/>
    <col min="59" max="59" width="9.5" customWidth="1"/>
    <col min="64" max="65" width="9.35546875"/>
    <col min="66" max="66" width="9.5" customWidth="1"/>
  </cols>
  <sheetData>
    <row r="1" spans="1:69">
      <c r="A1" s="534" t="s">
        <v>1076</v>
      </c>
      <c r="B1" s="534"/>
      <c r="C1" s="534"/>
      <c r="D1" s="530" t="s">
        <v>1035</v>
      </c>
      <c r="E1" s="530"/>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202"/>
      <c r="AK1" s="530" t="s">
        <v>1077</v>
      </c>
      <c r="AL1" s="530"/>
      <c r="AM1" s="393"/>
      <c r="AN1" s="393"/>
      <c r="AO1" s="137"/>
      <c r="AP1" s="137"/>
      <c r="AQ1" s="137"/>
      <c r="AR1" s="137"/>
      <c r="AS1" s="137"/>
      <c r="AT1" s="137"/>
      <c r="AU1" s="137"/>
      <c r="AV1" s="137"/>
      <c r="AW1" s="137"/>
      <c r="AX1" s="137"/>
      <c r="AY1" s="137"/>
      <c r="AZ1" s="137"/>
      <c r="BA1" s="137"/>
      <c r="BB1" s="137"/>
      <c r="BC1" s="137"/>
      <c r="BD1" s="137"/>
      <c r="BE1" s="137"/>
      <c r="BF1" s="137"/>
      <c r="BG1" s="137"/>
      <c r="BH1" s="137"/>
      <c r="BI1" s="137"/>
      <c r="BJ1" s="137"/>
      <c r="BK1" s="137"/>
      <c r="BL1" s="137"/>
      <c r="BM1" s="137"/>
      <c r="BN1" s="137"/>
      <c r="BO1" s="137"/>
      <c r="BP1" s="137"/>
      <c r="BQ1" s="137"/>
    </row>
    <row r="2" spans="1:69">
      <c r="A2" s="534"/>
      <c r="B2" s="534"/>
      <c r="C2" s="534"/>
      <c r="D2" s="533"/>
      <c r="E2" s="533"/>
      <c r="F2" s="383"/>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383"/>
      <c r="AH2" s="383"/>
      <c r="AI2" s="383"/>
      <c r="AJ2" s="137"/>
      <c r="AK2" s="533"/>
      <c r="AL2" s="533"/>
      <c r="AM2" s="383"/>
      <c r="AN2" s="394"/>
      <c r="AO2" s="394"/>
      <c r="AP2" s="394"/>
      <c r="AQ2" s="394"/>
      <c r="AR2" s="394"/>
      <c r="AS2" s="394"/>
      <c r="AT2" s="394"/>
      <c r="AU2" s="394"/>
      <c r="AV2" s="394"/>
      <c r="AW2" s="394"/>
      <c r="AX2" s="394"/>
      <c r="AY2" s="394"/>
      <c r="AZ2" s="394"/>
      <c r="BA2" s="394"/>
      <c r="BB2" s="394"/>
      <c r="BC2" s="394"/>
      <c r="BD2" s="394"/>
      <c r="BE2" s="394"/>
      <c r="BF2" s="394"/>
      <c r="BG2" s="394"/>
      <c r="BH2" s="394"/>
      <c r="BI2" s="394"/>
      <c r="BJ2" s="394"/>
      <c r="BK2" s="394"/>
      <c r="BL2" s="394"/>
      <c r="BM2" s="394"/>
      <c r="BN2" s="394"/>
      <c r="BO2" s="394"/>
      <c r="BP2" s="393"/>
      <c r="BQ2" s="137"/>
    </row>
    <row r="3" spans="1:69">
      <c r="A3" s="535" t="s">
        <v>1078</v>
      </c>
      <c r="B3" s="535"/>
      <c r="C3" s="535"/>
      <c r="D3" s="137" t="s">
        <v>231</v>
      </c>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t="s">
        <v>231</v>
      </c>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row>
    <row r="4" spans="1:69">
      <c r="A4" s="535"/>
      <c r="B4" s="535"/>
      <c r="C4" s="535"/>
      <c r="D4" s="163" t="s">
        <v>1079</v>
      </c>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63" t="s">
        <v>1080</v>
      </c>
      <c r="AL4" s="137"/>
      <c r="AM4" s="137" t="s">
        <v>1081</v>
      </c>
      <c r="AN4" s="202"/>
      <c r="AO4" s="202"/>
      <c r="AP4" s="202"/>
      <c r="AQ4" s="202"/>
      <c r="AR4" s="202"/>
      <c r="AS4" s="202"/>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row>
    <row r="5" spans="1:69">
      <c r="A5" s="120" t="s">
        <v>238</v>
      </c>
      <c r="B5" s="120" t="s">
        <v>239</v>
      </c>
      <c r="C5" s="384" t="s">
        <v>240</v>
      </c>
      <c r="D5" s="163" t="s">
        <v>1082</v>
      </c>
      <c r="E5" s="133"/>
      <c r="F5" s="137" t="s">
        <v>1083</v>
      </c>
      <c r="G5" s="202"/>
      <c r="H5" s="137" t="s">
        <v>1084</v>
      </c>
      <c r="I5" s="202"/>
      <c r="J5" s="202"/>
      <c r="K5" s="202"/>
      <c r="L5" s="202"/>
      <c r="M5" s="202"/>
      <c r="N5" s="137"/>
      <c r="O5" s="137"/>
      <c r="P5" s="137" t="s">
        <v>1085</v>
      </c>
      <c r="Q5" s="137"/>
      <c r="R5" s="137" t="s">
        <v>235</v>
      </c>
      <c r="S5" s="137"/>
      <c r="T5" s="137"/>
      <c r="U5" s="137"/>
      <c r="V5" s="137"/>
      <c r="W5" s="137"/>
      <c r="X5" s="137"/>
      <c r="Y5" s="137"/>
      <c r="Z5" s="137"/>
      <c r="AA5" s="137" t="s">
        <v>1086</v>
      </c>
      <c r="AB5" s="137"/>
      <c r="AC5" s="137"/>
      <c r="AD5" s="137"/>
      <c r="AE5" s="137"/>
      <c r="AF5" s="137"/>
      <c r="AG5" s="137"/>
      <c r="AH5" s="137"/>
      <c r="AI5" s="137"/>
      <c r="AJ5" s="137"/>
      <c r="AK5" s="163" t="s">
        <v>1087</v>
      </c>
      <c r="AL5" s="137"/>
      <c r="AM5" s="134" t="s">
        <v>1088</v>
      </c>
      <c r="AN5" s="203"/>
      <c r="AO5" s="204" t="s">
        <v>243</v>
      </c>
      <c r="AP5" s="136" t="s">
        <v>244</v>
      </c>
      <c r="AQ5" s="136" t="s">
        <v>1089</v>
      </c>
      <c r="AR5" s="136" t="s">
        <v>1090</v>
      </c>
      <c r="AS5" s="136" t="s">
        <v>1091</v>
      </c>
      <c r="AT5" s="136" t="s">
        <v>1092</v>
      </c>
      <c r="AU5" s="395" t="s">
        <v>1093</v>
      </c>
      <c r="AV5" s="395" t="s">
        <v>1094</v>
      </c>
      <c r="AW5" s="137"/>
      <c r="AX5" s="137" t="s">
        <v>1095</v>
      </c>
      <c r="AY5" s="137"/>
      <c r="AZ5" s="137"/>
      <c r="BA5" s="137"/>
      <c r="BB5" s="137"/>
      <c r="BC5" s="137"/>
      <c r="BD5" s="137"/>
      <c r="BE5" s="137"/>
      <c r="BF5" s="137"/>
      <c r="BG5" s="137"/>
      <c r="BH5" s="137"/>
      <c r="BI5" s="137" t="s">
        <v>1096</v>
      </c>
      <c r="BJ5" s="202"/>
      <c r="BK5" s="137" t="s">
        <v>1097</v>
      </c>
      <c r="BL5" s="202"/>
      <c r="BM5" s="202"/>
      <c r="BN5" s="137"/>
      <c r="BO5" s="137"/>
      <c r="BP5" s="137"/>
      <c r="BQ5" s="137"/>
    </row>
    <row r="6" spans="1:69">
      <c r="A6" s="120" t="s">
        <v>255</v>
      </c>
      <c r="B6" s="87">
        <v>6</v>
      </c>
      <c r="C6" s="384" t="s">
        <v>256</v>
      </c>
      <c r="D6" s="163" t="s">
        <v>1098</v>
      </c>
      <c r="E6" s="133"/>
      <c r="F6" s="134" t="s">
        <v>1099</v>
      </c>
      <c r="G6" s="203"/>
      <c r="H6" s="204" t="s">
        <v>243</v>
      </c>
      <c r="I6" s="136" t="s">
        <v>244</v>
      </c>
      <c r="J6" s="136" t="s">
        <v>1100</v>
      </c>
      <c r="K6" s="136" t="s">
        <v>1101</v>
      </c>
      <c r="L6" s="136" t="s">
        <v>250</v>
      </c>
      <c r="M6" s="136" t="s">
        <v>1091</v>
      </c>
      <c r="N6" s="136" t="s">
        <v>1092</v>
      </c>
      <c r="O6" s="137"/>
      <c r="P6" s="134" t="s">
        <v>1102</v>
      </c>
      <c r="Q6" s="203"/>
      <c r="R6" s="204" t="s">
        <v>243</v>
      </c>
      <c r="S6" s="136" t="s">
        <v>244</v>
      </c>
      <c r="T6" s="136" t="s">
        <v>1100</v>
      </c>
      <c r="U6" s="136" t="s">
        <v>1101</v>
      </c>
      <c r="V6" s="136" t="s">
        <v>250</v>
      </c>
      <c r="W6" s="136" t="s">
        <v>1091</v>
      </c>
      <c r="X6" s="136" t="s">
        <v>1092</v>
      </c>
      <c r="Y6" s="137"/>
      <c r="Z6" s="120"/>
      <c r="AA6" s="134" t="s">
        <v>1103</v>
      </c>
      <c r="AB6" s="203"/>
      <c r="AC6" s="204" t="s">
        <v>243</v>
      </c>
      <c r="AD6" s="136" t="s">
        <v>244</v>
      </c>
      <c r="AE6" s="136" t="s">
        <v>1104</v>
      </c>
      <c r="AF6" s="136" t="s">
        <v>1091</v>
      </c>
      <c r="AG6" s="120"/>
      <c r="AH6" s="120"/>
      <c r="AI6" s="137"/>
      <c r="AJ6" s="137"/>
      <c r="AK6" s="163" t="s">
        <v>1105</v>
      </c>
      <c r="AL6" s="137"/>
      <c r="AM6" s="140" t="s">
        <v>1106</v>
      </c>
      <c r="AN6" s="207"/>
      <c r="AO6" s="87">
        <v>1</v>
      </c>
      <c r="AP6" s="120">
        <v>450</v>
      </c>
      <c r="AQ6" s="150">
        <v>1000</v>
      </c>
      <c r="AR6" s="120"/>
      <c r="AS6" s="120"/>
      <c r="AT6" s="149"/>
      <c r="AU6" s="150">
        <v>50000</v>
      </c>
      <c r="AV6" s="150"/>
      <c r="AW6" s="137"/>
      <c r="AX6" s="134" t="s">
        <v>1107</v>
      </c>
      <c r="AY6" s="203"/>
      <c r="AZ6" s="204" t="s">
        <v>243</v>
      </c>
      <c r="BA6" s="136" t="s">
        <v>244</v>
      </c>
      <c r="BB6" s="136" t="s">
        <v>1108</v>
      </c>
      <c r="BC6" s="136" t="s">
        <v>1109</v>
      </c>
      <c r="BD6" s="136" t="s">
        <v>1110</v>
      </c>
      <c r="BE6" s="136" t="s">
        <v>1091</v>
      </c>
      <c r="BF6" s="136" t="s">
        <v>1092</v>
      </c>
      <c r="BG6" s="120"/>
      <c r="BH6" s="137"/>
      <c r="BI6" s="134" t="s">
        <v>1107</v>
      </c>
      <c r="BJ6" s="203"/>
      <c r="BK6" s="136" t="s">
        <v>243</v>
      </c>
      <c r="BL6" s="136" t="s">
        <v>244</v>
      </c>
      <c r="BM6" s="136" t="s">
        <v>1091</v>
      </c>
      <c r="BN6" s="136" t="s">
        <v>1092</v>
      </c>
      <c r="BO6" s="120"/>
      <c r="BP6" s="120"/>
      <c r="BQ6" s="137"/>
    </row>
    <row r="7" spans="1:69">
      <c r="A7" s="120" t="s">
        <v>269</v>
      </c>
      <c r="B7" s="99">
        <v>7</v>
      </c>
      <c r="C7" s="384" t="s">
        <v>270</v>
      </c>
      <c r="D7" s="163" t="s">
        <v>1111</v>
      </c>
      <c r="E7" s="133"/>
      <c r="F7" s="137" t="s">
        <v>1112</v>
      </c>
      <c r="G7" s="205"/>
      <c r="H7" s="87">
        <v>1</v>
      </c>
      <c r="I7" s="120">
        <v>420</v>
      </c>
      <c r="J7" s="120">
        <v>9</v>
      </c>
      <c r="K7" s="206"/>
      <c r="L7" s="151">
        <f t="shared" ref="L7:L27" si="0">J7*0.8</f>
        <v>7.2</v>
      </c>
      <c r="M7" s="120">
        <v>250</v>
      </c>
      <c r="N7" s="387">
        <v>1.15740740740741E-4</v>
      </c>
      <c r="O7" s="137"/>
      <c r="P7" s="137" t="s">
        <v>1113</v>
      </c>
      <c r="Q7" s="205"/>
      <c r="R7" s="87">
        <v>1</v>
      </c>
      <c r="S7" s="120">
        <v>380</v>
      </c>
      <c r="T7" s="120">
        <v>11</v>
      </c>
      <c r="U7" s="206"/>
      <c r="V7" s="151">
        <v>5.5</v>
      </c>
      <c r="W7" s="120">
        <v>1000</v>
      </c>
      <c r="X7" s="149">
        <v>6.9444444444444404E-4</v>
      </c>
      <c r="Y7" s="137"/>
      <c r="Z7" s="120"/>
      <c r="AA7" s="137" t="s">
        <v>1114</v>
      </c>
      <c r="AB7" s="205"/>
      <c r="AC7" s="87">
        <v>1</v>
      </c>
      <c r="AD7" s="120">
        <v>300</v>
      </c>
      <c r="AE7" s="120">
        <v>1</v>
      </c>
      <c r="AF7" s="120">
        <v>50</v>
      </c>
      <c r="AG7" s="120"/>
      <c r="AH7" s="120"/>
      <c r="AI7" s="137"/>
      <c r="AJ7" s="137"/>
      <c r="AK7" s="163" t="s">
        <v>1115</v>
      </c>
      <c r="AL7" s="137"/>
      <c r="AM7" s="134" t="s">
        <v>1116</v>
      </c>
      <c r="AN7" s="203"/>
      <c r="AO7" s="87">
        <v>2</v>
      </c>
      <c r="AP7" s="120">
        <v>1600</v>
      </c>
      <c r="AQ7" s="150">
        <v>1000</v>
      </c>
      <c r="AR7" s="120"/>
      <c r="AS7" s="120">
        <v>1000</v>
      </c>
      <c r="AT7" s="149">
        <v>1.15740740740741E-4</v>
      </c>
      <c r="AU7" s="150">
        <v>200000</v>
      </c>
      <c r="AV7" s="150"/>
      <c r="AW7" s="137"/>
      <c r="AX7" s="140" t="s">
        <v>1117</v>
      </c>
      <c r="AY7" s="207"/>
      <c r="AZ7" s="87">
        <v>1</v>
      </c>
      <c r="BA7" s="120">
        <v>1000</v>
      </c>
      <c r="BB7" s="120">
        <v>10</v>
      </c>
      <c r="BC7" s="120"/>
      <c r="BD7" s="206"/>
      <c r="BE7" s="150">
        <v>10000</v>
      </c>
      <c r="BF7" s="149">
        <v>0</v>
      </c>
      <c r="BG7" s="120"/>
      <c r="BH7" s="137"/>
      <c r="BI7" s="140" t="s">
        <v>1117</v>
      </c>
      <c r="BJ7" s="207"/>
      <c r="BK7" s="87">
        <v>1</v>
      </c>
      <c r="BL7" s="120">
        <v>500</v>
      </c>
      <c r="BM7" s="150">
        <v>5000</v>
      </c>
      <c r="BN7" s="149">
        <v>6.9444444444444404E-4</v>
      </c>
      <c r="BO7" s="120"/>
      <c r="BP7" s="120"/>
      <c r="BQ7" s="137"/>
    </row>
    <row r="8" spans="1:69">
      <c r="A8" s="120" t="s">
        <v>276</v>
      </c>
      <c r="B8" s="90">
        <v>8</v>
      </c>
      <c r="C8" s="384" t="s">
        <v>277</v>
      </c>
      <c r="D8" s="163" t="s">
        <v>1118</v>
      </c>
      <c r="E8" s="133"/>
      <c r="F8" s="140" t="s">
        <v>895</v>
      </c>
      <c r="G8" s="207"/>
      <c r="H8" s="87">
        <v>2</v>
      </c>
      <c r="I8" s="120">
        <v>470</v>
      </c>
      <c r="J8" s="120">
        <v>11</v>
      </c>
      <c r="K8" s="206"/>
      <c r="L8" s="151">
        <f t="shared" si="0"/>
        <v>8.8000000000000007</v>
      </c>
      <c r="M8" s="120">
        <v>1000</v>
      </c>
      <c r="N8" s="149">
        <v>1.38888888888889E-3</v>
      </c>
      <c r="O8" s="137"/>
      <c r="P8" s="140" t="s">
        <v>1119</v>
      </c>
      <c r="Q8" s="207"/>
      <c r="R8" s="87">
        <v>2</v>
      </c>
      <c r="S8" s="120">
        <v>420</v>
      </c>
      <c r="T8" s="120">
        <v>15</v>
      </c>
      <c r="U8" s="206"/>
      <c r="V8" s="151">
        <v>7.5</v>
      </c>
      <c r="W8" s="120">
        <v>2000</v>
      </c>
      <c r="X8" s="149">
        <v>1.0416666666666701E-2</v>
      </c>
      <c r="Y8" s="137"/>
      <c r="Z8" s="120"/>
      <c r="AA8" s="137" t="s">
        <v>1120</v>
      </c>
      <c r="AB8" s="205"/>
      <c r="AC8" s="87">
        <v>2</v>
      </c>
      <c r="AD8" s="120">
        <v>500</v>
      </c>
      <c r="AE8" s="120">
        <v>1</v>
      </c>
      <c r="AF8" s="120">
        <v>1000</v>
      </c>
      <c r="AG8" s="120"/>
      <c r="AH8" s="120"/>
      <c r="AI8" s="137"/>
      <c r="AJ8" s="137"/>
      <c r="AK8" s="385" t="s">
        <v>1121</v>
      </c>
      <c r="AL8" s="137"/>
      <c r="AM8" s="137" t="s">
        <v>1122</v>
      </c>
      <c r="AN8" s="205"/>
      <c r="AO8" s="87">
        <v>3</v>
      </c>
      <c r="AP8" s="120">
        <v>1850</v>
      </c>
      <c r="AQ8" s="150">
        <v>10000</v>
      </c>
      <c r="AR8" s="120"/>
      <c r="AS8" s="120">
        <v>4000</v>
      </c>
      <c r="AT8" s="149">
        <v>4.1666666666666699E-2</v>
      </c>
      <c r="AU8" s="150">
        <v>400000</v>
      </c>
      <c r="AV8" s="150"/>
      <c r="AW8" s="137"/>
      <c r="AX8" s="134" t="s">
        <v>1123</v>
      </c>
      <c r="AY8" s="203"/>
      <c r="AZ8" s="87">
        <v>2</v>
      </c>
      <c r="BA8" s="120">
        <v>1400</v>
      </c>
      <c r="BB8" s="120">
        <v>15</v>
      </c>
      <c r="BC8" s="120"/>
      <c r="BD8" s="206"/>
      <c r="BE8" s="150">
        <v>100000</v>
      </c>
      <c r="BF8" s="149">
        <v>0.33333333333333298</v>
      </c>
      <c r="BG8" s="120"/>
      <c r="BH8" s="137"/>
      <c r="BI8" s="134" t="s">
        <v>1124</v>
      </c>
      <c r="BJ8" s="203"/>
      <c r="BK8" s="87">
        <v>2</v>
      </c>
      <c r="BL8" s="120">
        <v>550</v>
      </c>
      <c r="BM8" s="150">
        <v>25000</v>
      </c>
      <c r="BN8" s="149">
        <v>4.1666666666666699E-2</v>
      </c>
      <c r="BO8" s="120"/>
      <c r="BP8" s="120"/>
      <c r="BQ8" s="137"/>
    </row>
    <row r="9" spans="1:69">
      <c r="A9" s="120" t="s">
        <v>284</v>
      </c>
      <c r="B9" s="91">
        <v>9</v>
      </c>
      <c r="C9" s="384" t="s">
        <v>285</v>
      </c>
      <c r="D9" s="163" t="s">
        <v>1125</v>
      </c>
      <c r="E9" s="133"/>
      <c r="F9" s="134" t="s">
        <v>1126</v>
      </c>
      <c r="G9" s="203"/>
      <c r="H9" s="87">
        <v>3</v>
      </c>
      <c r="I9" s="120">
        <v>520</v>
      </c>
      <c r="J9" s="120">
        <v>15</v>
      </c>
      <c r="K9" s="206"/>
      <c r="L9" s="151">
        <f t="shared" si="0"/>
        <v>12</v>
      </c>
      <c r="M9" s="120">
        <v>4000</v>
      </c>
      <c r="N9" s="149">
        <v>6.9444444444444397E-3</v>
      </c>
      <c r="O9" s="137"/>
      <c r="P9" s="134" t="s">
        <v>1126</v>
      </c>
      <c r="Q9" s="203"/>
      <c r="R9" s="87">
        <v>3</v>
      </c>
      <c r="S9" s="120">
        <v>460</v>
      </c>
      <c r="T9" s="120">
        <v>19</v>
      </c>
      <c r="U9" s="206"/>
      <c r="V9" s="151">
        <v>9.5</v>
      </c>
      <c r="W9" s="120">
        <v>5000</v>
      </c>
      <c r="X9" s="149">
        <v>3.125E-2</v>
      </c>
      <c r="Y9" s="137"/>
      <c r="Z9" s="120"/>
      <c r="AA9" s="386"/>
      <c r="AB9" s="205"/>
      <c r="AC9" s="87">
        <v>3</v>
      </c>
      <c r="AD9" s="120">
        <v>700</v>
      </c>
      <c r="AE9" s="120">
        <v>1</v>
      </c>
      <c r="AF9" s="120">
        <v>5000</v>
      </c>
      <c r="AG9" s="120"/>
      <c r="AH9" s="120"/>
      <c r="AI9" s="137"/>
      <c r="AJ9" s="137"/>
      <c r="AK9" s="163" t="s">
        <v>1127</v>
      </c>
      <c r="AL9" s="137"/>
      <c r="AM9" s="137"/>
      <c r="AN9" s="205"/>
      <c r="AO9" s="87">
        <v>4</v>
      </c>
      <c r="AP9" s="120">
        <v>2100</v>
      </c>
      <c r="AQ9" s="150">
        <v>50000</v>
      </c>
      <c r="AR9" s="120"/>
      <c r="AS9" s="150">
        <v>25000</v>
      </c>
      <c r="AT9" s="149">
        <v>0.125</v>
      </c>
      <c r="AU9" s="150">
        <v>600000</v>
      </c>
      <c r="AV9" s="150"/>
      <c r="AW9" s="137"/>
      <c r="AX9" s="137" t="s">
        <v>1128</v>
      </c>
      <c r="AY9" s="205"/>
      <c r="AZ9" s="87">
        <v>3</v>
      </c>
      <c r="BA9" s="120">
        <v>2000</v>
      </c>
      <c r="BB9" s="120">
        <v>20</v>
      </c>
      <c r="BC9" s="120"/>
      <c r="BD9" s="206"/>
      <c r="BE9" s="150">
        <v>800000</v>
      </c>
      <c r="BF9" s="149">
        <v>0.5</v>
      </c>
      <c r="BG9" s="120"/>
      <c r="BH9" s="137"/>
      <c r="BI9" s="137" t="s">
        <v>1129</v>
      </c>
      <c r="BJ9" s="205"/>
      <c r="BK9" s="87">
        <v>3</v>
      </c>
      <c r="BL9" s="120">
        <v>600</v>
      </c>
      <c r="BM9" s="150">
        <v>50000</v>
      </c>
      <c r="BN9" s="149">
        <v>8.3333333333333301E-2</v>
      </c>
      <c r="BO9" s="120"/>
      <c r="BP9" s="120"/>
      <c r="BQ9" s="137"/>
    </row>
    <row r="10" spans="1:69">
      <c r="A10" s="120" t="s">
        <v>289</v>
      </c>
      <c r="B10" s="92">
        <v>10</v>
      </c>
      <c r="C10" s="384" t="s">
        <v>290</v>
      </c>
      <c r="D10" s="163" t="s">
        <v>1130</v>
      </c>
      <c r="E10" s="133"/>
      <c r="F10" s="137" t="s">
        <v>1107</v>
      </c>
      <c r="G10" s="205"/>
      <c r="H10" s="87">
        <v>4</v>
      </c>
      <c r="I10" s="120">
        <v>570</v>
      </c>
      <c r="J10" s="120">
        <v>19</v>
      </c>
      <c r="K10" s="206"/>
      <c r="L10" s="151">
        <f t="shared" si="0"/>
        <v>15.200000000000001</v>
      </c>
      <c r="M10" s="150">
        <v>16000</v>
      </c>
      <c r="N10" s="149">
        <v>3.125E-2</v>
      </c>
      <c r="O10" s="137"/>
      <c r="P10" s="137" t="s">
        <v>1107</v>
      </c>
      <c r="Q10" s="205"/>
      <c r="R10" s="87">
        <v>4</v>
      </c>
      <c r="S10" s="120">
        <v>500</v>
      </c>
      <c r="T10" s="120">
        <v>25</v>
      </c>
      <c r="U10" s="206"/>
      <c r="V10" s="151">
        <v>12.5</v>
      </c>
      <c r="W10" s="150">
        <v>20000</v>
      </c>
      <c r="X10" s="149">
        <v>0.125</v>
      </c>
      <c r="Y10" s="137"/>
      <c r="Z10" s="120"/>
      <c r="AA10" s="137" t="s">
        <v>1131</v>
      </c>
      <c r="AB10" s="205"/>
      <c r="AC10" s="87">
        <v>4</v>
      </c>
      <c r="AD10" s="120">
        <v>900</v>
      </c>
      <c r="AE10" s="120">
        <v>1</v>
      </c>
      <c r="AF10" s="150">
        <v>10000</v>
      </c>
      <c r="AG10" s="120"/>
      <c r="AH10" s="120"/>
      <c r="AI10" s="137"/>
      <c r="AJ10" s="137"/>
      <c r="AK10" s="163" t="s">
        <v>1132</v>
      </c>
      <c r="AL10" s="137"/>
      <c r="AM10" s="137"/>
      <c r="AN10" s="205"/>
      <c r="AO10" s="87">
        <v>5</v>
      </c>
      <c r="AP10" s="120">
        <v>2400</v>
      </c>
      <c r="AQ10" s="150">
        <v>100000</v>
      </c>
      <c r="AR10" s="120"/>
      <c r="AS10" s="150">
        <v>150000</v>
      </c>
      <c r="AT10" s="149">
        <v>0.25</v>
      </c>
      <c r="AU10" s="150">
        <v>800000</v>
      </c>
      <c r="AV10" s="150"/>
      <c r="AW10" s="137"/>
      <c r="AX10" s="137" t="s">
        <v>1129</v>
      </c>
      <c r="AY10" s="205"/>
      <c r="AZ10" s="90">
        <v>4</v>
      </c>
      <c r="BA10" s="120">
        <v>2600</v>
      </c>
      <c r="BB10" s="120">
        <v>25</v>
      </c>
      <c r="BC10" s="120">
        <v>1</v>
      </c>
      <c r="BD10" s="206"/>
      <c r="BE10" s="150">
        <v>1200000</v>
      </c>
      <c r="BF10" s="149">
        <v>1</v>
      </c>
      <c r="BG10" s="120"/>
      <c r="BH10" s="137"/>
      <c r="BI10" s="202"/>
      <c r="BJ10" s="205"/>
      <c r="BK10" s="87">
        <v>4</v>
      </c>
      <c r="BL10" s="120">
        <v>650</v>
      </c>
      <c r="BM10" s="150">
        <v>100000</v>
      </c>
      <c r="BN10" s="149">
        <v>0.16666666666666699</v>
      </c>
      <c r="BO10" s="120"/>
      <c r="BP10" s="120"/>
      <c r="BQ10" s="137"/>
    </row>
    <row r="11" spans="1:69">
      <c r="A11" s="120" t="s">
        <v>295</v>
      </c>
      <c r="B11" s="93">
        <v>11</v>
      </c>
      <c r="C11" s="384" t="s">
        <v>296</v>
      </c>
      <c r="D11" s="385" t="s">
        <v>1133</v>
      </c>
      <c r="E11" s="133"/>
      <c r="F11" s="137" t="s">
        <v>1117</v>
      </c>
      <c r="G11" s="205"/>
      <c r="H11" s="87">
        <v>5</v>
      </c>
      <c r="I11" s="120">
        <v>620</v>
      </c>
      <c r="J11" s="120">
        <v>25</v>
      </c>
      <c r="K11" s="206"/>
      <c r="L11" s="151">
        <f t="shared" si="0"/>
        <v>20</v>
      </c>
      <c r="M11" s="150">
        <v>50000</v>
      </c>
      <c r="N11" s="149">
        <v>8.3333333333333301E-2</v>
      </c>
      <c r="O11" s="137"/>
      <c r="P11" s="137" t="s">
        <v>1117</v>
      </c>
      <c r="Q11" s="205"/>
      <c r="R11" s="87">
        <v>5</v>
      </c>
      <c r="S11" s="120">
        <v>540</v>
      </c>
      <c r="T11" s="120">
        <v>30</v>
      </c>
      <c r="U11" s="206"/>
      <c r="V11" s="151">
        <v>15</v>
      </c>
      <c r="W11" s="150">
        <v>80000</v>
      </c>
      <c r="X11" s="149">
        <v>0.20833333333333301</v>
      </c>
      <c r="Y11" s="137"/>
      <c r="Z11" s="120"/>
      <c r="AA11" s="202"/>
      <c r="AB11" s="205"/>
      <c r="AC11" s="87">
        <v>5</v>
      </c>
      <c r="AD11" s="120">
        <v>1400</v>
      </c>
      <c r="AE11" s="120">
        <v>1</v>
      </c>
      <c r="AF11" s="150">
        <v>20000</v>
      </c>
      <c r="AG11" s="120"/>
      <c r="AH11" s="120"/>
      <c r="AI11" s="137"/>
      <c r="AJ11" s="137"/>
      <c r="AK11" s="385" t="s">
        <v>1134</v>
      </c>
      <c r="AL11" s="137"/>
      <c r="AM11" s="137"/>
      <c r="AN11" s="205"/>
      <c r="AO11" s="87">
        <v>6</v>
      </c>
      <c r="AP11" s="120">
        <v>2800</v>
      </c>
      <c r="AQ11" s="150">
        <v>300000</v>
      </c>
      <c r="AR11" s="120"/>
      <c r="AS11" s="150">
        <v>750000</v>
      </c>
      <c r="AT11" s="149">
        <v>0.5</v>
      </c>
      <c r="AU11" s="150">
        <v>1200000</v>
      </c>
      <c r="AV11" s="150"/>
      <c r="AW11" s="137"/>
      <c r="AX11" s="202"/>
      <c r="AY11" s="399"/>
      <c r="AZ11" s="91">
        <v>5</v>
      </c>
      <c r="BA11" s="120">
        <v>3000</v>
      </c>
      <c r="BB11" s="120">
        <v>30</v>
      </c>
      <c r="BC11" s="120">
        <v>1</v>
      </c>
      <c r="BD11" s="206"/>
      <c r="BE11" s="150">
        <v>2500000</v>
      </c>
      <c r="BF11" s="149">
        <v>2</v>
      </c>
      <c r="BG11" s="120"/>
      <c r="BH11" s="137"/>
      <c r="BI11" s="137"/>
      <c r="BJ11" s="205"/>
      <c r="BK11" s="99">
        <v>5</v>
      </c>
      <c r="BL11" s="120">
        <v>700</v>
      </c>
      <c r="BM11" s="150">
        <v>200000</v>
      </c>
      <c r="BN11" s="149">
        <v>0.33333333333333298</v>
      </c>
      <c r="BO11" s="120"/>
      <c r="BP11" s="120"/>
      <c r="BQ11" s="137"/>
    </row>
    <row r="12" spans="1:69">
      <c r="A12" s="120" t="s">
        <v>302</v>
      </c>
      <c r="B12" s="94">
        <v>12</v>
      </c>
      <c r="C12" s="384" t="s">
        <v>303</v>
      </c>
      <c r="D12" s="163" t="s">
        <v>1135</v>
      </c>
      <c r="E12" s="133"/>
      <c r="F12" s="140"/>
      <c r="G12" s="207"/>
      <c r="H12" s="87">
        <v>6</v>
      </c>
      <c r="I12" s="120">
        <v>670</v>
      </c>
      <c r="J12" s="120">
        <v>31</v>
      </c>
      <c r="K12" s="206"/>
      <c r="L12" s="151">
        <f t="shared" si="0"/>
        <v>24.8</v>
      </c>
      <c r="M12" s="150">
        <v>100000</v>
      </c>
      <c r="N12" s="149">
        <v>0.16666666666666699</v>
      </c>
      <c r="O12" s="137"/>
      <c r="P12" s="140"/>
      <c r="Q12" s="207"/>
      <c r="R12" s="87">
        <v>6</v>
      </c>
      <c r="S12" s="120">
        <v>580</v>
      </c>
      <c r="T12" s="120">
        <v>35</v>
      </c>
      <c r="U12" s="206"/>
      <c r="V12" s="151">
        <v>17.5</v>
      </c>
      <c r="W12" s="150">
        <v>180000</v>
      </c>
      <c r="X12" s="149">
        <v>0.33333333333333298</v>
      </c>
      <c r="Y12" s="137"/>
      <c r="Z12" s="120"/>
      <c r="AA12" s="202"/>
      <c r="AB12" s="205"/>
      <c r="AC12" s="87">
        <v>6</v>
      </c>
      <c r="AD12" s="120">
        <v>2000</v>
      </c>
      <c r="AE12" s="120">
        <v>1</v>
      </c>
      <c r="AF12" s="150">
        <v>30000</v>
      </c>
      <c r="AG12" s="120"/>
      <c r="AH12" s="120"/>
      <c r="AI12" s="137"/>
      <c r="AJ12" s="137"/>
      <c r="AK12" s="163" t="s">
        <v>1136</v>
      </c>
      <c r="AL12" s="137"/>
      <c r="AM12" s="137"/>
      <c r="AN12" s="205"/>
      <c r="AO12" s="99">
        <v>7</v>
      </c>
      <c r="AP12" s="120">
        <v>3300</v>
      </c>
      <c r="AQ12" s="150">
        <v>500000</v>
      </c>
      <c r="AR12" s="120">
        <v>2500</v>
      </c>
      <c r="AS12" s="150">
        <v>1000000</v>
      </c>
      <c r="AT12" s="149">
        <v>0.75</v>
      </c>
      <c r="AU12" s="150">
        <v>1600000</v>
      </c>
      <c r="AV12" s="150">
        <v>8000</v>
      </c>
      <c r="AW12" s="137"/>
      <c r="AX12" s="366" t="s">
        <v>1137</v>
      </c>
      <c r="AY12" s="400">
        <v>0.03</v>
      </c>
      <c r="AZ12" s="92">
        <v>6</v>
      </c>
      <c r="BA12" s="120">
        <v>3400</v>
      </c>
      <c r="BB12" s="120">
        <v>35</v>
      </c>
      <c r="BC12" s="120">
        <v>1</v>
      </c>
      <c r="BD12" s="120">
        <v>1</v>
      </c>
      <c r="BE12" s="150">
        <v>4200000</v>
      </c>
      <c r="BF12" s="149">
        <v>5</v>
      </c>
      <c r="BG12" s="120"/>
      <c r="BH12" s="137"/>
      <c r="BI12" s="137"/>
      <c r="BJ12" s="205"/>
      <c r="BK12" s="90">
        <v>6</v>
      </c>
      <c r="BL12" s="120">
        <v>750</v>
      </c>
      <c r="BM12" s="150">
        <v>400000</v>
      </c>
      <c r="BN12" s="149">
        <v>0.66666666666666696</v>
      </c>
      <c r="BO12" s="120"/>
      <c r="BP12" s="120"/>
      <c r="BQ12" s="137"/>
    </row>
    <row r="13" spans="1:69">
      <c r="A13" s="120" t="s">
        <v>797</v>
      </c>
      <c r="B13" s="100">
        <v>13</v>
      </c>
      <c r="C13" s="384" t="s">
        <v>312</v>
      </c>
      <c r="D13" s="385" t="s">
        <v>1138</v>
      </c>
      <c r="E13" s="133"/>
      <c r="F13" s="134" t="s">
        <v>1139</v>
      </c>
      <c r="G13" s="203"/>
      <c r="H13" s="87">
        <v>7</v>
      </c>
      <c r="I13" s="120">
        <v>730</v>
      </c>
      <c r="J13" s="120">
        <v>40</v>
      </c>
      <c r="K13" s="151">
        <f>L13*4/(1.6+0.192*4)</f>
        <v>54.054054054054049</v>
      </c>
      <c r="L13" s="151">
        <f t="shared" si="0"/>
        <v>32</v>
      </c>
      <c r="M13" s="150">
        <v>200000</v>
      </c>
      <c r="N13" s="149">
        <v>0.33333333333333298</v>
      </c>
      <c r="O13" s="137"/>
      <c r="P13" s="134" t="s">
        <v>1139</v>
      </c>
      <c r="Q13" s="203"/>
      <c r="R13" s="87">
        <v>7</v>
      </c>
      <c r="S13" s="120">
        <v>630</v>
      </c>
      <c r="T13" s="120">
        <v>42</v>
      </c>
      <c r="U13" s="120"/>
      <c r="V13" s="151">
        <v>21</v>
      </c>
      <c r="W13" s="150">
        <v>360000</v>
      </c>
      <c r="X13" s="149">
        <v>0.41666666666666702</v>
      </c>
      <c r="Y13" s="137"/>
      <c r="Z13" s="120"/>
      <c r="AA13" s="137"/>
      <c r="AB13" s="205"/>
      <c r="AC13" s="99">
        <v>7</v>
      </c>
      <c r="AD13" s="120">
        <v>2500</v>
      </c>
      <c r="AE13" s="120">
        <v>1</v>
      </c>
      <c r="AF13" s="150">
        <v>50000</v>
      </c>
      <c r="AG13" s="120"/>
      <c r="AH13" s="120"/>
      <c r="AI13" s="137"/>
      <c r="AJ13" s="137"/>
      <c r="AK13" s="163" t="s">
        <v>1140</v>
      </c>
      <c r="AL13" s="137"/>
      <c r="AM13" s="137"/>
      <c r="AN13" s="205"/>
      <c r="AO13" s="90">
        <v>8</v>
      </c>
      <c r="AP13" s="120">
        <v>3900</v>
      </c>
      <c r="AQ13" s="150">
        <v>750000</v>
      </c>
      <c r="AR13" s="120">
        <v>5000</v>
      </c>
      <c r="AS13" s="150">
        <v>2000000</v>
      </c>
      <c r="AT13" s="149">
        <v>1</v>
      </c>
      <c r="AU13" s="150">
        <v>2000000</v>
      </c>
      <c r="AV13" s="150">
        <v>10000</v>
      </c>
      <c r="AW13" s="137"/>
      <c r="AX13" s="137" t="s">
        <v>1141</v>
      </c>
      <c r="AY13" s="205"/>
      <c r="AZ13" s="93">
        <v>7</v>
      </c>
      <c r="BA13" s="120">
        <v>4000</v>
      </c>
      <c r="BB13" s="120">
        <v>35</v>
      </c>
      <c r="BC13" s="120">
        <v>2</v>
      </c>
      <c r="BD13" s="120">
        <v>1</v>
      </c>
      <c r="BE13" s="150">
        <v>5500000</v>
      </c>
      <c r="BF13" s="149">
        <v>6.25</v>
      </c>
      <c r="BG13" s="120"/>
      <c r="BH13" s="137"/>
      <c r="BI13" s="137"/>
      <c r="BJ13" s="205"/>
      <c r="BK13" s="91">
        <v>7</v>
      </c>
      <c r="BL13" s="120">
        <v>830</v>
      </c>
      <c r="BM13" s="150">
        <v>800000</v>
      </c>
      <c r="BN13" s="149">
        <v>1</v>
      </c>
      <c r="BO13" s="120"/>
      <c r="BP13" s="120"/>
      <c r="BQ13" s="137"/>
    </row>
    <row r="14" spans="1:69">
      <c r="A14" s="123" t="s">
        <v>320</v>
      </c>
      <c r="B14" s="121">
        <v>14</v>
      </c>
      <c r="C14" s="384" t="s">
        <v>321</v>
      </c>
      <c r="D14" s="163" t="s">
        <v>1142</v>
      </c>
      <c r="E14" s="133"/>
      <c r="F14" s="137" t="s">
        <v>1143</v>
      </c>
      <c r="G14" s="205"/>
      <c r="H14" s="99">
        <v>8</v>
      </c>
      <c r="I14" s="120">
        <v>800</v>
      </c>
      <c r="J14" s="120">
        <v>48</v>
      </c>
      <c r="K14" s="151">
        <f t="shared" ref="K14:K27" si="1">L14*4/(1.6+0.192*4)</f>
        <v>64.86486486486487</v>
      </c>
      <c r="L14" s="151">
        <f t="shared" si="0"/>
        <v>38.400000000000006</v>
      </c>
      <c r="M14" s="150">
        <v>300000</v>
      </c>
      <c r="N14" s="149">
        <v>0.41666666666666702</v>
      </c>
      <c r="O14" s="137"/>
      <c r="P14" s="137" t="s">
        <v>1144</v>
      </c>
      <c r="Q14" s="205"/>
      <c r="R14" s="99">
        <v>8</v>
      </c>
      <c r="S14" s="120">
        <v>690</v>
      </c>
      <c r="T14" s="120">
        <v>48</v>
      </c>
      <c r="U14" s="120"/>
      <c r="V14" s="151">
        <v>24</v>
      </c>
      <c r="W14" s="150">
        <v>600000</v>
      </c>
      <c r="X14" s="149">
        <v>0.5</v>
      </c>
      <c r="Y14" s="137"/>
      <c r="Z14" s="120"/>
      <c r="AA14" s="137"/>
      <c r="AB14" s="205"/>
      <c r="AC14" s="90">
        <v>8</v>
      </c>
      <c r="AD14" s="120">
        <v>3000</v>
      </c>
      <c r="AE14" s="120">
        <v>1</v>
      </c>
      <c r="AF14" s="150">
        <v>75000</v>
      </c>
      <c r="AG14" s="120"/>
      <c r="AH14" s="120"/>
      <c r="AI14" s="137"/>
      <c r="AJ14" s="137"/>
      <c r="AK14" s="163" t="s">
        <v>1145</v>
      </c>
      <c r="AL14" s="137"/>
      <c r="AM14" s="137"/>
      <c r="AN14" s="205"/>
      <c r="AO14" s="91">
        <v>9</v>
      </c>
      <c r="AP14" s="120">
        <v>4600</v>
      </c>
      <c r="AQ14" s="150">
        <v>1000000</v>
      </c>
      <c r="AR14" s="150">
        <v>10000</v>
      </c>
      <c r="AS14" s="150">
        <v>3000000</v>
      </c>
      <c r="AT14" s="149">
        <v>2</v>
      </c>
      <c r="AU14" s="150">
        <v>2400000</v>
      </c>
      <c r="AV14" s="150">
        <v>12000</v>
      </c>
      <c r="AW14" s="137"/>
      <c r="AX14" s="137" t="s">
        <v>1146</v>
      </c>
      <c r="AY14" s="205"/>
      <c r="AZ14" s="94">
        <v>8</v>
      </c>
      <c r="BA14" s="120">
        <v>4400</v>
      </c>
      <c r="BB14" s="120">
        <v>40</v>
      </c>
      <c r="BC14" s="120">
        <v>2</v>
      </c>
      <c r="BD14" s="120">
        <v>1</v>
      </c>
      <c r="BE14" s="150">
        <v>8500000</v>
      </c>
      <c r="BF14" s="149">
        <v>9.75</v>
      </c>
      <c r="BG14" s="120"/>
      <c r="BH14" s="137"/>
      <c r="BI14" s="137"/>
      <c r="BJ14" s="205"/>
      <c r="BK14" s="92">
        <v>8</v>
      </c>
      <c r="BL14" s="120">
        <v>950</v>
      </c>
      <c r="BM14" s="150">
        <v>1300000</v>
      </c>
      <c r="BN14" s="149">
        <v>1.75</v>
      </c>
      <c r="BO14" s="120"/>
      <c r="BP14" s="120"/>
      <c r="BQ14" s="137"/>
    </row>
    <row r="15" spans="1:69">
      <c r="A15" s="123" t="s">
        <v>328</v>
      </c>
      <c r="B15" s="122">
        <v>15</v>
      </c>
      <c r="C15" s="384" t="s">
        <v>329</v>
      </c>
      <c r="D15" s="385" t="s">
        <v>1147</v>
      </c>
      <c r="E15" s="133"/>
      <c r="F15" s="137" t="s">
        <v>1148</v>
      </c>
      <c r="G15" s="205"/>
      <c r="H15" s="90">
        <v>9</v>
      </c>
      <c r="I15" s="120">
        <v>880</v>
      </c>
      <c r="J15" s="120">
        <v>56</v>
      </c>
      <c r="K15" s="151">
        <f t="shared" si="1"/>
        <v>75.675675675675677</v>
      </c>
      <c r="L15" s="151">
        <f t="shared" si="0"/>
        <v>44.800000000000004</v>
      </c>
      <c r="M15" s="150">
        <v>500000</v>
      </c>
      <c r="N15" s="149">
        <v>0.5</v>
      </c>
      <c r="O15" s="137"/>
      <c r="P15" s="137" t="s">
        <v>1149</v>
      </c>
      <c r="Q15" s="205"/>
      <c r="R15" s="90">
        <v>9</v>
      </c>
      <c r="S15" s="120">
        <v>750</v>
      </c>
      <c r="T15" s="120">
        <v>56</v>
      </c>
      <c r="U15" s="120"/>
      <c r="V15" s="151">
        <v>28</v>
      </c>
      <c r="W15" s="150">
        <v>800000</v>
      </c>
      <c r="X15" s="149">
        <v>0.58333333333333304</v>
      </c>
      <c r="Y15" s="137"/>
      <c r="Z15" s="120"/>
      <c r="AA15" s="137"/>
      <c r="AB15" s="205"/>
      <c r="AC15" s="91">
        <v>9</v>
      </c>
      <c r="AD15" s="120">
        <v>3500</v>
      </c>
      <c r="AE15" s="120">
        <v>1</v>
      </c>
      <c r="AF15" s="150">
        <v>100000</v>
      </c>
      <c r="AG15" s="120"/>
      <c r="AH15" s="120"/>
      <c r="AI15" s="137"/>
      <c r="AJ15" s="137"/>
      <c r="AK15" s="163" t="s">
        <v>1150</v>
      </c>
      <c r="AL15" s="137"/>
      <c r="AM15" s="137"/>
      <c r="AN15" s="202"/>
      <c r="AO15" s="104">
        <v>10</v>
      </c>
      <c r="AP15" s="120">
        <v>5500</v>
      </c>
      <c r="AQ15" s="150">
        <v>1500000</v>
      </c>
      <c r="AR15" s="150">
        <v>20000</v>
      </c>
      <c r="AS15" s="150">
        <v>3500000</v>
      </c>
      <c r="AT15" s="149">
        <v>2.5</v>
      </c>
      <c r="AU15" s="150">
        <v>2800000</v>
      </c>
      <c r="AV15" s="150">
        <v>14000</v>
      </c>
      <c r="AW15" s="137"/>
      <c r="AX15" s="137"/>
      <c r="AY15" s="137"/>
      <c r="AZ15" s="106">
        <v>9</v>
      </c>
      <c r="BA15" s="120">
        <v>4800</v>
      </c>
      <c r="BB15" s="120">
        <v>45</v>
      </c>
      <c r="BC15" s="120">
        <v>2</v>
      </c>
      <c r="BD15" s="120">
        <v>1</v>
      </c>
      <c r="BE15" s="150">
        <v>12000000</v>
      </c>
      <c r="BF15" s="149">
        <v>13.5</v>
      </c>
      <c r="BG15" s="120"/>
      <c r="BH15" s="137"/>
      <c r="BI15" s="137"/>
      <c r="BJ15" s="205"/>
      <c r="BK15" s="93">
        <v>9</v>
      </c>
      <c r="BL15" s="120">
        <v>1070</v>
      </c>
      <c r="BM15" s="150">
        <v>2100000</v>
      </c>
      <c r="BN15" s="149">
        <v>2.75</v>
      </c>
      <c r="BO15" s="120"/>
      <c r="BP15" s="120"/>
      <c r="BQ15" s="137"/>
    </row>
    <row r="16" spans="1:69">
      <c r="A16" s="137"/>
      <c r="B16" s="137"/>
      <c r="C16" s="137"/>
      <c r="D16" s="385" t="s">
        <v>1151</v>
      </c>
      <c r="E16" s="137"/>
      <c r="F16" s="140" t="s">
        <v>1152</v>
      </c>
      <c r="G16" s="207"/>
      <c r="H16" s="90">
        <v>10</v>
      </c>
      <c r="I16" s="120">
        <v>960</v>
      </c>
      <c r="J16" s="120">
        <v>64</v>
      </c>
      <c r="K16" s="151">
        <f t="shared" si="1"/>
        <v>86.486486486486484</v>
      </c>
      <c r="L16" s="151">
        <f t="shared" si="0"/>
        <v>51.2</v>
      </c>
      <c r="M16" s="150">
        <v>700000</v>
      </c>
      <c r="N16" s="149">
        <v>0.75</v>
      </c>
      <c r="O16" s="137"/>
      <c r="P16" s="140" t="s">
        <v>1153</v>
      </c>
      <c r="Q16" s="207"/>
      <c r="R16" s="90">
        <v>10</v>
      </c>
      <c r="S16" s="120">
        <v>810</v>
      </c>
      <c r="T16" s="120">
        <v>63</v>
      </c>
      <c r="U16" s="120">
        <f>T16*2</f>
        <v>126</v>
      </c>
      <c r="V16" s="151">
        <v>31.5</v>
      </c>
      <c r="W16" s="150">
        <v>1000000</v>
      </c>
      <c r="X16" s="149">
        <v>0.75</v>
      </c>
      <c r="Y16" s="137"/>
      <c r="Z16" s="120"/>
      <c r="AA16" s="137"/>
      <c r="AB16" s="205"/>
      <c r="AC16" s="91">
        <v>10</v>
      </c>
      <c r="AD16" s="120">
        <v>4000</v>
      </c>
      <c r="AE16" s="120">
        <v>1</v>
      </c>
      <c r="AF16" s="150">
        <v>200000</v>
      </c>
      <c r="AG16" s="120"/>
      <c r="AH16" s="120"/>
      <c r="AI16" s="137"/>
      <c r="AJ16" s="137"/>
      <c r="AK16" s="163" t="s">
        <v>1154</v>
      </c>
      <c r="AL16" s="137"/>
      <c r="AM16" s="137"/>
      <c r="AN16" s="202"/>
      <c r="AO16" s="396">
        <v>11</v>
      </c>
      <c r="AP16" s="120">
        <v>6800</v>
      </c>
      <c r="AQ16" s="150">
        <v>2000000</v>
      </c>
      <c r="AR16" s="150">
        <v>20000</v>
      </c>
      <c r="AS16" s="150">
        <v>4000000</v>
      </c>
      <c r="AT16" s="149">
        <v>2.75</v>
      </c>
      <c r="AU16" s="150">
        <v>3200000</v>
      </c>
      <c r="AV16" s="150">
        <v>16000</v>
      </c>
      <c r="AW16" s="137"/>
      <c r="AX16" s="137"/>
      <c r="AY16" s="137"/>
      <c r="AZ16" s="112">
        <v>10</v>
      </c>
      <c r="BA16" s="120">
        <v>5200</v>
      </c>
      <c r="BB16" s="120">
        <v>45</v>
      </c>
      <c r="BC16" s="120">
        <v>3</v>
      </c>
      <c r="BD16" s="120">
        <v>1</v>
      </c>
      <c r="BE16" s="150">
        <v>18000000</v>
      </c>
      <c r="BF16" s="149">
        <v>19</v>
      </c>
      <c r="BG16" s="120"/>
      <c r="BH16" s="137"/>
      <c r="BI16" s="137"/>
      <c r="BJ16" s="205"/>
      <c r="BK16" s="94">
        <v>10</v>
      </c>
      <c r="BL16" s="120">
        <v>1140</v>
      </c>
      <c r="BM16" s="150">
        <v>4200000</v>
      </c>
      <c r="BN16" s="149">
        <v>4.25</v>
      </c>
      <c r="BO16" s="120"/>
      <c r="BP16" s="120"/>
      <c r="BQ16" s="137"/>
    </row>
    <row r="17" spans="1:69">
      <c r="A17" s="137"/>
      <c r="B17" s="137"/>
      <c r="C17" s="385"/>
      <c r="D17" s="385" t="s">
        <v>1155</v>
      </c>
      <c r="E17" s="137"/>
      <c r="F17" s="134" t="s">
        <v>1156</v>
      </c>
      <c r="G17" s="203"/>
      <c r="H17" s="91">
        <v>11</v>
      </c>
      <c r="I17" s="120">
        <v>1060</v>
      </c>
      <c r="J17" s="120">
        <v>74</v>
      </c>
      <c r="K17" s="151">
        <f t="shared" si="1"/>
        <v>99.999999999999986</v>
      </c>
      <c r="L17" s="151">
        <f t="shared" si="0"/>
        <v>59.2</v>
      </c>
      <c r="M17" s="150">
        <v>1000000</v>
      </c>
      <c r="N17" s="149">
        <v>1</v>
      </c>
      <c r="O17" s="137"/>
      <c r="P17" s="134" t="s">
        <v>1156</v>
      </c>
      <c r="Q17" s="203"/>
      <c r="R17" s="91">
        <v>11</v>
      </c>
      <c r="S17" s="120">
        <v>890</v>
      </c>
      <c r="T17" s="120">
        <v>70</v>
      </c>
      <c r="U17" s="120">
        <f t="shared" ref="U17:U27" si="2">T17*2</f>
        <v>140</v>
      </c>
      <c r="V17" s="151">
        <v>35</v>
      </c>
      <c r="W17" s="150">
        <v>1200000</v>
      </c>
      <c r="X17" s="149">
        <v>1</v>
      </c>
      <c r="Y17" s="137"/>
      <c r="Z17" s="120"/>
      <c r="AA17" s="137"/>
      <c r="AB17" s="205"/>
      <c r="AC17" s="92">
        <v>11</v>
      </c>
      <c r="AD17" s="120">
        <v>5000</v>
      </c>
      <c r="AE17" s="120">
        <v>1</v>
      </c>
      <c r="AF17" s="150">
        <v>500000</v>
      </c>
      <c r="AG17" s="120"/>
      <c r="AH17" s="120"/>
      <c r="AI17" s="137"/>
      <c r="AJ17" s="137"/>
      <c r="AK17" s="163" t="s">
        <v>1157</v>
      </c>
      <c r="AL17" s="137"/>
      <c r="AM17" s="137"/>
      <c r="AN17" s="137"/>
      <c r="AO17" s="105">
        <v>12</v>
      </c>
      <c r="AP17" s="120">
        <v>7500</v>
      </c>
      <c r="AQ17" s="150">
        <v>2000000</v>
      </c>
      <c r="AR17" s="150">
        <v>20000</v>
      </c>
      <c r="AS17" s="150">
        <v>6000000</v>
      </c>
      <c r="AT17" s="149">
        <v>4.25</v>
      </c>
      <c r="AU17" s="150">
        <v>3600000</v>
      </c>
      <c r="AV17" s="150">
        <v>18000</v>
      </c>
      <c r="AW17" s="137"/>
      <c r="AX17" s="137"/>
      <c r="AY17" s="137"/>
      <c r="AZ17" s="113">
        <v>11</v>
      </c>
      <c r="BA17" s="120">
        <v>5600</v>
      </c>
      <c r="BB17" s="120">
        <v>50</v>
      </c>
      <c r="BC17" s="120">
        <v>3</v>
      </c>
      <c r="BD17" s="120">
        <v>1</v>
      </c>
      <c r="BE17" s="150">
        <v>20000000</v>
      </c>
      <c r="BF17" s="149">
        <v>20</v>
      </c>
      <c r="BG17" s="120"/>
      <c r="BH17" s="137"/>
      <c r="BI17" s="137"/>
      <c r="BJ17" s="205"/>
      <c r="BK17" s="100">
        <v>11</v>
      </c>
      <c r="BL17" s="120">
        <v>1210</v>
      </c>
      <c r="BM17" s="150">
        <v>6800000</v>
      </c>
      <c r="BN17" s="149">
        <v>6.75</v>
      </c>
      <c r="BO17" s="120"/>
      <c r="BP17" s="137"/>
      <c r="BQ17" s="137"/>
    </row>
    <row r="18" spans="1:69">
      <c r="A18" s="137"/>
      <c r="B18" s="137"/>
      <c r="C18" s="385"/>
      <c r="D18" s="385" t="s">
        <v>1158</v>
      </c>
      <c r="E18" s="137"/>
      <c r="F18" s="137" t="s">
        <v>1159</v>
      </c>
      <c r="G18" s="205"/>
      <c r="H18" s="92">
        <v>12</v>
      </c>
      <c r="I18" s="120">
        <v>1160</v>
      </c>
      <c r="J18" s="120">
        <v>87</v>
      </c>
      <c r="K18" s="151">
        <f t="shared" si="1"/>
        <v>117.56756756756756</v>
      </c>
      <c r="L18" s="151">
        <f t="shared" si="0"/>
        <v>69.600000000000009</v>
      </c>
      <c r="M18" s="150">
        <v>1200000</v>
      </c>
      <c r="N18" s="149">
        <v>1.25</v>
      </c>
      <c r="O18" s="137"/>
      <c r="P18" s="137" t="s">
        <v>1069</v>
      </c>
      <c r="Q18" s="205"/>
      <c r="R18" s="92">
        <v>12</v>
      </c>
      <c r="S18" s="120">
        <v>970</v>
      </c>
      <c r="T18" s="120">
        <v>75</v>
      </c>
      <c r="U18" s="120">
        <f t="shared" si="2"/>
        <v>150</v>
      </c>
      <c r="V18" s="151">
        <v>37.5</v>
      </c>
      <c r="W18" s="150">
        <v>1500000</v>
      </c>
      <c r="X18" s="149">
        <v>1.25</v>
      </c>
      <c r="Y18" s="137"/>
      <c r="Z18" s="120"/>
      <c r="AA18" s="137"/>
      <c r="AB18" s="205"/>
      <c r="AC18" s="93">
        <v>12</v>
      </c>
      <c r="AD18" s="120">
        <v>7000</v>
      </c>
      <c r="AE18" s="120">
        <v>1</v>
      </c>
      <c r="AF18" s="150">
        <v>1000000</v>
      </c>
      <c r="AG18" s="120"/>
      <c r="AH18" s="120"/>
      <c r="AI18" s="137"/>
      <c r="AJ18" s="137"/>
      <c r="AK18" s="163" t="s">
        <v>1160</v>
      </c>
      <c r="AL18" s="137"/>
      <c r="AM18" s="137"/>
      <c r="AN18" s="137"/>
      <c r="AO18" s="106">
        <v>13</v>
      </c>
      <c r="AP18" s="120">
        <v>8200</v>
      </c>
      <c r="AQ18" s="150">
        <v>2000000</v>
      </c>
      <c r="AR18" s="150">
        <v>20000</v>
      </c>
      <c r="AS18" s="150">
        <v>9000000</v>
      </c>
      <c r="AT18" s="149">
        <v>7.5</v>
      </c>
      <c r="AU18" s="150">
        <v>4000000</v>
      </c>
      <c r="AV18" s="150">
        <v>20000</v>
      </c>
      <c r="AW18" s="137"/>
      <c r="AX18" s="137"/>
      <c r="AY18" s="137"/>
      <c r="AZ18" s="365" t="s">
        <v>1161</v>
      </c>
      <c r="BA18" s="137"/>
      <c r="BB18" s="137"/>
      <c r="BC18" s="137"/>
      <c r="BD18" s="137"/>
      <c r="BE18" s="137"/>
      <c r="BF18" s="137"/>
      <c r="BG18" s="137"/>
      <c r="BH18" s="137"/>
      <c r="BI18" s="137"/>
      <c r="BJ18" s="205"/>
      <c r="BK18" s="121">
        <v>12</v>
      </c>
      <c r="BL18" s="120">
        <v>1280</v>
      </c>
      <c r="BM18" s="150">
        <v>11500000</v>
      </c>
      <c r="BN18" s="149">
        <v>11.5</v>
      </c>
      <c r="BO18" s="120"/>
      <c r="BP18" s="137"/>
      <c r="BQ18" s="137"/>
    </row>
    <row r="19" spans="1:69">
      <c r="A19" s="137"/>
      <c r="B19" s="137"/>
      <c r="C19" s="142"/>
      <c r="D19" s="163" t="s">
        <v>1162</v>
      </c>
      <c r="E19" s="137"/>
      <c r="F19" s="137" t="s">
        <v>1163</v>
      </c>
      <c r="G19" s="205"/>
      <c r="H19" s="92">
        <v>13</v>
      </c>
      <c r="I19" s="120">
        <v>1260</v>
      </c>
      <c r="J19" s="120">
        <v>100</v>
      </c>
      <c r="K19" s="151">
        <f t="shared" si="1"/>
        <v>135.13513513513513</v>
      </c>
      <c r="L19" s="151">
        <f t="shared" si="0"/>
        <v>80</v>
      </c>
      <c r="M19" s="150">
        <v>1700000</v>
      </c>
      <c r="N19" s="149">
        <v>2.25</v>
      </c>
      <c r="O19" s="137"/>
      <c r="P19" s="137" t="s">
        <v>1164</v>
      </c>
      <c r="Q19" s="205"/>
      <c r="R19" s="92">
        <v>13</v>
      </c>
      <c r="S19" s="120">
        <v>1050</v>
      </c>
      <c r="T19" s="120">
        <v>80</v>
      </c>
      <c r="U19" s="120">
        <f t="shared" si="2"/>
        <v>160</v>
      </c>
      <c r="V19" s="151">
        <v>40</v>
      </c>
      <c r="W19" s="150">
        <v>2000000</v>
      </c>
      <c r="X19" s="149">
        <v>2.25</v>
      </c>
      <c r="Y19" s="137"/>
      <c r="Z19" s="120"/>
      <c r="AA19" s="137"/>
      <c r="AB19" s="205"/>
      <c r="AC19" s="94">
        <v>13</v>
      </c>
      <c r="AD19" s="120">
        <v>9000</v>
      </c>
      <c r="AE19" s="120">
        <v>2</v>
      </c>
      <c r="AF19" s="150">
        <v>2000000</v>
      </c>
      <c r="AG19" s="120"/>
      <c r="AH19" s="120"/>
      <c r="AI19" s="137"/>
      <c r="AJ19" s="202"/>
      <c r="AK19" s="163" t="s">
        <v>1165</v>
      </c>
      <c r="AL19" s="137"/>
      <c r="AM19" s="137"/>
      <c r="AN19" s="391"/>
      <c r="AO19" s="121">
        <v>14</v>
      </c>
      <c r="AP19" s="120">
        <v>8900</v>
      </c>
      <c r="AQ19" s="150">
        <v>2000000</v>
      </c>
      <c r="AR19" s="150">
        <v>20000</v>
      </c>
      <c r="AS19" s="150">
        <v>15000000</v>
      </c>
      <c r="AT19" s="149">
        <v>13.25</v>
      </c>
      <c r="AU19" s="150">
        <v>4400000</v>
      </c>
      <c r="AV19" s="150">
        <v>22000</v>
      </c>
      <c r="AW19" s="137"/>
      <c r="AX19" s="137"/>
      <c r="AY19" s="137"/>
      <c r="AZ19" s="365" t="s">
        <v>1166</v>
      </c>
      <c r="BA19" s="137"/>
      <c r="BB19" s="137"/>
      <c r="BC19" s="137"/>
      <c r="BD19" s="137"/>
      <c r="BE19" s="137"/>
      <c r="BF19" s="137"/>
      <c r="BG19" s="137"/>
      <c r="BH19" s="137"/>
      <c r="BI19" s="137"/>
      <c r="BJ19" s="137"/>
      <c r="BK19" s="113">
        <v>13</v>
      </c>
      <c r="BL19" s="120">
        <v>1350</v>
      </c>
      <c r="BM19" s="150">
        <v>12500000</v>
      </c>
      <c r="BN19" s="149">
        <v>12</v>
      </c>
      <c r="BO19" s="120"/>
      <c r="BP19" s="137"/>
      <c r="BQ19" s="137"/>
    </row>
    <row r="20" spans="1:69">
      <c r="A20" s="137"/>
      <c r="B20" s="137"/>
      <c r="C20" s="137"/>
      <c r="D20" s="163" t="s">
        <v>1167</v>
      </c>
      <c r="E20" s="137"/>
      <c r="F20" s="137" t="s">
        <v>1164</v>
      </c>
      <c r="G20" s="205"/>
      <c r="H20" s="93">
        <v>14</v>
      </c>
      <c r="I20" s="120">
        <v>1380</v>
      </c>
      <c r="J20" s="120">
        <v>110</v>
      </c>
      <c r="K20" s="151">
        <f t="shared" si="1"/>
        <v>148.64864864864862</v>
      </c>
      <c r="L20" s="151">
        <f t="shared" si="0"/>
        <v>88</v>
      </c>
      <c r="M20" s="150">
        <v>2100000</v>
      </c>
      <c r="N20" s="149">
        <v>3</v>
      </c>
      <c r="O20" s="137"/>
      <c r="P20" s="137"/>
      <c r="Q20" s="205"/>
      <c r="R20" s="93">
        <v>14</v>
      </c>
      <c r="S20" s="120">
        <v>1130</v>
      </c>
      <c r="T20" s="120">
        <v>92</v>
      </c>
      <c r="U20" s="120">
        <f t="shared" si="2"/>
        <v>184</v>
      </c>
      <c r="V20" s="151">
        <v>46</v>
      </c>
      <c r="W20" s="150">
        <v>2500000</v>
      </c>
      <c r="X20" s="149">
        <v>3.5</v>
      </c>
      <c r="Y20" s="137"/>
      <c r="Z20" s="120"/>
      <c r="AA20" s="137"/>
      <c r="AB20" s="137"/>
      <c r="AC20" s="106">
        <v>14</v>
      </c>
      <c r="AD20" s="120">
        <v>11000</v>
      </c>
      <c r="AE20" s="120">
        <v>4</v>
      </c>
      <c r="AF20" s="150">
        <v>4000000</v>
      </c>
      <c r="AG20" s="120"/>
      <c r="AH20" s="120"/>
      <c r="AI20" s="137"/>
      <c r="AJ20" s="202"/>
      <c r="AK20" s="202"/>
      <c r="AL20" s="137"/>
      <c r="AM20" s="137"/>
      <c r="AN20" s="137"/>
      <c r="AO20" s="113">
        <v>15</v>
      </c>
      <c r="AP20" s="120">
        <v>9600</v>
      </c>
      <c r="AQ20" s="150">
        <v>2000000</v>
      </c>
      <c r="AR20" s="150">
        <v>20000</v>
      </c>
      <c r="AS20" s="150">
        <v>18000000</v>
      </c>
      <c r="AT20" s="149">
        <v>15</v>
      </c>
      <c r="AU20" s="150">
        <v>4800000</v>
      </c>
      <c r="AV20" s="150">
        <v>24000</v>
      </c>
      <c r="AW20" s="137"/>
      <c r="AX20" s="137"/>
      <c r="AY20" s="137"/>
      <c r="AZ20" s="365" t="s">
        <v>1168</v>
      </c>
      <c r="BA20" s="137"/>
      <c r="BB20" s="137"/>
      <c r="BC20" s="137"/>
      <c r="BD20" s="137"/>
      <c r="BE20" s="137"/>
      <c r="BF20" s="137"/>
      <c r="BG20" s="137"/>
      <c r="BH20" s="137"/>
      <c r="BI20" s="137"/>
      <c r="BJ20" s="137"/>
      <c r="BK20" s="137"/>
      <c r="BL20" s="137"/>
      <c r="BM20" s="137"/>
      <c r="BN20" s="137"/>
      <c r="BO20" s="137"/>
      <c r="BP20" s="137"/>
      <c r="BQ20" s="137"/>
    </row>
    <row r="21" spans="1:69">
      <c r="A21" s="137"/>
      <c r="B21" s="137"/>
      <c r="C21" s="137"/>
      <c r="D21" s="163" t="s">
        <v>1169</v>
      </c>
      <c r="E21" s="137"/>
      <c r="F21" s="137"/>
      <c r="G21" s="205"/>
      <c r="H21" s="93">
        <v>15</v>
      </c>
      <c r="I21" s="120">
        <v>1500</v>
      </c>
      <c r="J21" s="120">
        <v>118</v>
      </c>
      <c r="K21" s="151">
        <f t="shared" si="1"/>
        <v>159.45945945945945</v>
      </c>
      <c r="L21" s="151">
        <f t="shared" si="0"/>
        <v>94.4</v>
      </c>
      <c r="M21" s="150">
        <v>3200000</v>
      </c>
      <c r="N21" s="149">
        <v>4.25</v>
      </c>
      <c r="O21" s="137"/>
      <c r="P21" s="137"/>
      <c r="Q21" s="205"/>
      <c r="R21" s="93">
        <v>15</v>
      </c>
      <c r="S21" s="120">
        <v>1230</v>
      </c>
      <c r="T21" s="120">
        <v>104</v>
      </c>
      <c r="U21" s="120">
        <f t="shared" si="2"/>
        <v>208</v>
      </c>
      <c r="V21" s="151">
        <v>52</v>
      </c>
      <c r="W21" s="150">
        <v>3500000</v>
      </c>
      <c r="X21" s="149">
        <v>5</v>
      </c>
      <c r="Y21" s="137"/>
      <c r="Z21" s="120"/>
      <c r="AA21" s="137"/>
      <c r="AB21" s="137"/>
      <c r="AC21" s="112">
        <v>15</v>
      </c>
      <c r="AD21" s="120">
        <v>12500</v>
      </c>
      <c r="AE21" s="120">
        <v>7</v>
      </c>
      <c r="AF21" s="150">
        <v>7000000</v>
      </c>
      <c r="AG21" s="120"/>
      <c r="AH21" s="120"/>
      <c r="AI21" s="137"/>
      <c r="AJ21" s="202"/>
      <c r="AK21" s="163" t="s">
        <v>1170</v>
      </c>
      <c r="AL21" s="137"/>
      <c r="AM21" s="137"/>
      <c r="AN21" s="137"/>
      <c r="AO21" s="365" t="s">
        <v>1171</v>
      </c>
      <c r="AP21" s="137"/>
      <c r="AQ21" s="137"/>
      <c r="AR21" s="137"/>
      <c r="AS21" s="137"/>
      <c r="AT21" s="137"/>
      <c r="AU21" s="137"/>
      <c r="AV21" s="137"/>
      <c r="AW21" s="137"/>
      <c r="AX21" s="137"/>
      <c r="AY21" s="137"/>
      <c r="AZ21" s="137"/>
      <c r="BA21" s="137"/>
      <c r="BB21" s="137"/>
      <c r="BC21" s="137"/>
      <c r="BD21" s="137"/>
      <c r="BE21" s="137"/>
      <c r="BF21" s="137"/>
      <c r="BG21" s="137"/>
      <c r="BH21" s="137"/>
      <c r="BI21" s="137"/>
      <c r="BJ21" s="137"/>
      <c r="BK21" s="137"/>
      <c r="BL21" s="137"/>
      <c r="BM21" s="137"/>
      <c r="BN21" s="137"/>
      <c r="BO21" s="137"/>
      <c r="BP21" s="137"/>
      <c r="BQ21" s="137"/>
    </row>
    <row r="22" spans="1:69">
      <c r="A22" s="137"/>
      <c r="B22" s="137"/>
      <c r="C22" s="137"/>
      <c r="D22" s="163" t="s">
        <v>1172</v>
      </c>
      <c r="E22" s="137"/>
      <c r="F22" s="137"/>
      <c r="G22" s="205"/>
      <c r="H22" s="94">
        <v>16</v>
      </c>
      <c r="I22" s="120">
        <v>1620</v>
      </c>
      <c r="J22" s="120">
        <v>124</v>
      </c>
      <c r="K22" s="151">
        <f t="shared" si="1"/>
        <v>167.56756756756755</v>
      </c>
      <c r="L22" s="151">
        <f t="shared" si="0"/>
        <v>99.2</v>
      </c>
      <c r="M22" s="150">
        <v>4900000</v>
      </c>
      <c r="N22" s="149">
        <v>6.25</v>
      </c>
      <c r="O22" s="137"/>
      <c r="P22" s="137"/>
      <c r="Q22" s="205"/>
      <c r="R22" s="94">
        <v>16</v>
      </c>
      <c r="S22" s="120">
        <v>1330</v>
      </c>
      <c r="T22" s="120">
        <v>112</v>
      </c>
      <c r="U22" s="120">
        <f t="shared" si="2"/>
        <v>224</v>
      </c>
      <c r="V22" s="151">
        <v>58</v>
      </c>
      <c r="W22" s="150">
        <v>5300000</v>
      </c>
      <c r="X22" s="149">
        <v>6.25</v>
      </c>
      <c r="Y22" s="137"/>
      <c r="Z22" s="120"/>
      <c r="AA22" s="137"/>
      <c r="AB22" s="137"/>
      <c r="AC22" s="113">
        <v>16</v>
      </c>
      <c r="AD22" s="120">
        <v>13500</v>
      </c>
      <c r="AE22" s="120">
        <v>8</v>
      </c>
      <c r="AF22" s="150">
        <v>8000000</v>
      </c>
      <c r="AG22" s="120"/>
      <c r="AH22" s="120"/>
      <c r="AI22" s="137"/>
      <c r="AJ22" s="202"/>
      <c r="AK22" s="142" t="s">
        <v>1173</v>
      </c>
      <c r="AL22" s="137"/>
      <c r="AM22" s="137" t="s">
        <v>1174</v>
      </c>
      <c r="AN22" s="137"/>
      <c r="AO22" s="137"/>
      <c r="AP22" s="137"/>
      <c r="AQ22" s="137"/>
      <c r="AR22" s="137"/>
      <c r="AS22" s="137"/>
      <c r="AT22" s="137"/>
      <c r="AU22" s="137"/>
      <c r="AV22" s="137"/>
      <c r="AW22" s="137" t="s">
        <v>1175</v>
      </c>
      <c r="AX22" s="137"/>
      <c r="AY22" s="137"/>
      <c r="AZ22" s="137"/>
      <c r="BA22" s="137"/>
      <c r="BB22" s="137"/>
      <c r="BC22" s="137"/>
      <c r="BD22" s="137"/>
      <c r="BE22" s="137"/>
      <c r="BF22" s="202"/>
      <c r="BG22" s="137" t="s">
        <v>1176</v>
      </c>
      <c r="BH22" s="137"/>
      <c r="BI22" s="137"/>
      <c r="BJ22" s="137"/>
      <c r="BK22" s="137"/>
      <c r="BL22" s="137"/>
      <c r="BM22" s="137"/>
      <c r="BN22" s="137"/>
      <c r="BO22" s="137"/>
      <c r="BP22" s="137"/>
      <c r="BQ22" s="137"/>
    </row>
    <row r="23" spans="1:69">
      <c r="A23" s="137"/>
      <c r="B23" s="137"/>
      <c r="C23" s="137"/>
      <c r="D23" s="163" t="s">
        <v>1177</v>
      </c>
      <c r="E23" s="137"/>
      <c r="F23" s="137"/>
      <c r="G23" s="205"/>
      <c r="H23" s="94">
        <v>17</v>
      </c>
      <c r="I23" s="120">
        <v>1740</v>
      </c>
      <c r="J23" s="120">
        <v>130</v>
      </c>
      <c r="K23" s="151">
        <f t="shared" si="1"/>
        <v>175.67567567567565</v>
      </c>
      <c r="L23" s="151">
        <f t="shared" si="0"/>
        <v>104</v>
      </c>
      <c r="M23" s="150">
        <v>6300000</v>
      </c>
      <c r="N23" s="149">
        <v>8.5</v>
      </c>
      <c r="O23" s="137"/>
      <c r="P23" s="137"/>
      <c r="Q23" s="205"/>
      <c r="R23" s="94">
        <v>17</v>
      </c>
      <c r="S23" s="120">
        <v>1410</v>
      </c>
      <c r="T23" s="120">
        <v>120</v>
      </c>
      <c r="U23" s="120">
        <f t="shared" si="2"/>
        <v>240</v>
      </c>
      <c r="V23" s="151">
        <v>61</v>
      </c>
      <c r="W23" s="150">
        <v>6800000</v>
      </c>
      <c r="X23" s="149">
        <v>8.5</v>
      </c>
      <c r="Y23" s="137"/>
      <c r="Z23" s="120"/>
      <c r="AA23" s="137"/>
      <c r="AB23" s="137"/>
      <c r="AC23" s="137"/>
      <c r="AD23" s="137"/>
      <c r="AE23" s="137"/>
      <c r="AF23" s="137"/>
      <c r="AG23" s="137"/>
      <c r="AH23" s="137"/>
      <c r="AI23" s="137"/>
      <c r="AJ23" s="202"/>
      <c r="AK23" s="142" t="s">
        <v>307</v>
      </c>
      <c r="AL23" s="137"/>
      <c r="AM23" s="134" t="s">
        <v>1107</v>
      </c>
      <c r="AN23" s="203"/>
      <c r="AO23" s="204" t="s">
        <v>243</v>
      </c>
      <c r="AP23" s="136" t="s">
        <v>244</v>
      </c>
      <c r="AQ23" s="136" t="s">
        <v>1178</v>
      </c>
      <c r="AR23" s="136" t="s">
        <v>1091</v>
      </c>
      <c r="AS23" s="136" t="s">
        <v>1092</v>
      </c>
      <c r="AT23" s="397"/>
      <c r="AU23" s="137"/>
      <c r="AV23" s="137"/>
      <c r="AW23" s="134" t="s">
        <v>1107</v>
      </c>
      <c r="AX23" s="203"/>
      <c r="AY23" s="204" t="s">
        <v>243</v>
      </c>
      <c r="AZ23" s="136" t="s">
        <v>244</v>
      </c>
      <c r="BA23" s="136" t="s">
        <v>1178</v>
      </c>
      <c r="BB23" s="136" t="s">
        <v>1091</v>
      </c>
      <c r="BC23" s="136" t="s">
        <v>1092</v>
      </c>
      <c r="BD23" s="120"/>
      <c r="BE23" s="137"/>
      <c r="BF23" s="202"/>
      <c r="BG23" s="134" t="s">
        <v>1088</v>
      </c>
      <c r="BH23" s="203"/>
      <c r="BI23" s="204" t="s">
        <v>243</v>
      </c>
      <c r="BJ23" s="136" t="s">
        <v>244</v>
      </c>
      <c r="BK23" s="136" t="s">
        <v>1179</v>
      </c>
      <c r="BL23" s="136" t="s">
        <v>1091</v>
      </c>
      <c r="BM23" s="136" t="s">
        <v>1092</v>
      </c>
      <c r="BN23" s="202"/>
      <c r="BO23" s="137"/>
      <c r="BP23" s="137"/>
      <c r="BQ23" s="137"/>
    </row>
    <row r="24" spans="1:69">
      <c r="A24" s="137"/>
      <c r="B24" s="137"/>
      <c r="C24" s="137"/>
      <c r="D24" s="142"/>
      <c r="E24" s="137"/>
      <c r="F24" s="137"/>
      <c r="G24" s="205"/>
      <c r="H24" s="100">
        <v>18</v>
      </c>
      <c r="I24" s="120">
        <v>1870</v>
      </c>
      <c r="J24" s="120">
        <v>139</v>
      </c>
      <c r="K24" s="151">
        <f t="shared" si="1"/>
        <v>187.83783783783781</v>
      </c>
      <c r="L24" s="151">
        <f t="shared" si="0"/>
        <v>111.2</v>
      </c>
      <c r="M24" s="150">
        <v>8200000</v>
      </c>
      <c r="N24" s="149">
        <v>11.25</v>
      </c>
      <c r="O24" s="137"/>
      <c r="P24" s="137"/>
      <c r="Q24" s="205"/>
      <c r="R24" s="100">
        <v>18</v>
      </c>
      <c r="S24" s="120">
        <v>1510</v>
      </c>
      <c r="T24" s="120">
        <v>128</v>
      </c>
      <c r="U24" s="120">
        <f t="shared" si="2"/>
        <v>256</v>
      </c>
      <c r="V24" s="151">
        <f>T24/2</f>
        <v>64</v>
      </c>
      <c r="W24" s="150">
        <v>8500000</v>
      </c>
      <c r="X24" s="149">
        <v>11.25</v>
      </c>
      <c r="Y24" s="137"/>
      <c r="Z24" s="120"/>
      <c r="AA24" s="137"/>
      <c r="AB24" s="137"/>
      <c r="AC24" s="137"/>
      <c r="AD24" s="137"/>
      <c r="AE24" s="137"/>
      <c r="AF24" s="137"/>
      <c r="AG24" s="137"/>
      <c r="AH24" s="137"/>
      <c r="AI24" s="137"/>
      <c r="AJ24" s="202"/>
      <c r="AK24" s="202"/>
      <c r="AL24" s="137"/>
      <c r="AM24" s="140" t="s">
        <v>1117</v>
      </c>
      <c r="AN24" s="207"/>
      <c r="AO24" s="87">
        <v>1</v>
      </c>
      <c r="AP24" s="120">
        <v>250</v>
      </c>
      <c r="AQ24" s="120" t="s">
        <v>4</v>
      </c>
      <c r="AR24" s="120">
        <v>100</v>
      </c>
      <c r="AS24" s="387">
        <v>1.15740740740741E-4</v>
      </c>
      <c r="AT24" s="397"/>
      <c r="AU24" s="137"/>
      <c r="AV24" s="137"/>
      <c r="AW24" s="140" t="s">
        <v>1117</v>
      </c>
      <c r="AX24" s="207"/>
      <c r="AY24" s="99">
        <v>1</v>
      </c>
      <c r="AZ24" s="120">
        <v>500</v>
      </c>
      <c r="BA24" s="120" t="s">
        <v>87</v>
      </c>
      <c r="BB24" s="150">
        <v>200000</v>
      </c>
      <c r="BC24" s="149">
        <v>0.33333332999999998</v>
      </c>
      <c r="BD24" s="120"/>
      <c r="BE24" s="137"/>
      <c r="BF24" s="202"/>
      <c r="BG24" s="140" t="s">
        <v>1117</v>
      </c>
      <c r="BH24" s="319"/>
      <c r="BI24" s="87">
        <v>1</v>
      </c>
      <c r="BJ24" s="120">
        <v>250</v>
      </c>
      <c r="BK24" s="120">
        <v>20</v>
      </c>
      <c r="BL24" s="120">
        <v>200</v>
      </c>
      <c r="BM24" s="149">
        <v>3.4722222222222199E-3</v>
      </c>
      <c r="BN24" s="202"/>
      <c r="BO24" s="137"/>
      <c r="BP24" s="137"/>
      <c r="BQ24" s="137"/>
    </row>
    <row r="25" spans="1:69">
      <c r="A25" s="137"/>
      <c r="B25" s="137"/>
      <c r="C25" s="137"/>
      <c r="D25" s="163" t="s">
        <v>1170</v>
      </c>
      <c r="E25" s="137"/>
      <c r="F25" s="137"/>
      <c r="G25" s="205"/>
      <c r="H25" s="100">
        <v>19</v>
      </c>
      <c r="I25" s="120">
        <v>2000</v>
      </c>
      <c r="J25" s="120">
        <v>146</v>
      </c>
      <c r="K25" s="151">
        <f t="shared" si="1"/>
        <v>197.29729729729729</v>
      </c>
      <c r="L25" s="151">
        <f t="shared" si="0"/>
        <v>116.80000000000001</v>
      </c>
      <c r="M25" s="150">
        <v>9800000</v>
      </c>
      <c r="N25" s="149">
        <v>12</v>
      </c>
      <c r="O25" s="137"/>
      <c r="P25" s="137"/>
      <c r="Q25" s="205"/>
      <c r="R25" s="100">
        <v>19</v>
      </c>
      <c r="S25" s="120">
        <v>1600</v>
      </c>
      <c r="T25" s="120">
        <v>134</v>
      </c>
      <c r="U25" s="120">
        <f t="shared" si="2"/>
        <v>268</v>
      </c>
      <c r="V25" s="151">
        <f>T25/2</f>
        <v>67</v>
      </c>
      <c r="W25" s="150">
        <v>9800000</v>
      </c>
      <c r="X25" s="149">
        <v>12</v>
      </c>
      <c r="Y25" s="137"/>
      <c r="Z25" s="120"/>
      <c r="AA25" s="137"/>
      <c r="AB25" s="137"/>
      <c r="AC25" s="137"/>
      <c r="AD25" s="137"/>
      <c r="AE25" s="137"/>
      <c r="AF25" s="137"/>
      <c r="AG25" s="137"/>
      <c r="AH25" s="137"/>
      <c r="AI25" s="137"/>
      <c r="AJ25" s="202"/>
      <c r="AK25" s="202"/>
      <c r="AL25" s="137"/>
      <c r="AM25" s="134" t="s">
        <v>1180</v>
      </c>
      <c r="AN25" s="203"/>
      <c r="AO25" s="87">
        <v>2</v>
      </c>
      <c r="AP25" s="120">
        <v>290</v>
      </c>
      <c r="AQ25" s="120" t="s">
        <v>11</v>
      </c>
      <c r="AR25" s="120">
        <v>500</v>
      </c>
      <c r="AS25" s="387">
        <v>6.9444444444444404E-4</v>
      </c>
      <c r="AT25" s="397"/>
      <c r="AU25" s="137"/>
      <c r="AV25" s="137"/>
      <c r="AW25" s="134" t="s">
        <v>1181</v>
      </c>
      <c r="AX25" s="203"/>
      <c r="AY25" s="99">
        <v>2</v>
      </c>
      <c r="AZ25" s="120">
        <v>550</v>
      </c>
      <c r="BA25" s="120" t="s">
        <v>90</v>
      </c>
      <c r="BB25" s="150">
        <v>600000</v>
      </c>
      <c r="BC25" s="149">
        <v>1</v>
      </c>
      <c r="BD25" s="120"/>
      <c r="BE25" s="137"/>
      <c r="BF25" s="202"/>
      <c r="BG25" s="134" t="s">
        <v>1182</v>
      </c>
      <c r="BH25" s="320"/>
      <c r="BI25" s="87">
        <v>2</v>
      </c>
      <c r="BJ25" s="120">
        <v>270</v>
      </c>
      <c r="BK25" s="120">
        <v>30</v>
      </c>
      <c r="BL25" s="120">
        <v>2000</v>
      </c>
      <c r="BM25" s="149">
        <v>1.0416666666666701E-2</v>
      </c>
      <c r="BN25" s="202"/>
      <c r="BO25" s="137"/>
      <c r="BP25" s="137"/>
      <c r="BQ25" s="137"/>
    </row>
    <row r="26" spans="1:69">
      <c r="A26" s="137"/>
      <c r="B26" s="137"/>
      <c r="C26" s="137"/>
      <c r="D26" s="142" t="s">
        <v>1183</v>
      </c>
      <c r="E26" s="137"/>
      <c r="F26" s="137"/>
      <c r="G26" s="205"/>
      <c r="H26" s="121">
        <v>20</v>
      </c>
      <c r="I26" s="120">
        <v>2150</v>
      </c>
      <c r="J26" s="120">
        <v>154</v>
      </c>
      <c r="K26" s="151">
        <f t="shared" si="1"/>
        <v>208.1081081081081</v>
      </c>
      <c r="L26" s="151">
        <f t="shared" si="0"/>
        <v>123.2</v>
      </c>
      <c r="M26" s="150">
        <v>16500000</v>
      </c>
      <c r="N26" s="149">
        <v>16.25</v>
      </c>
      <c r="O26" s="137"/>
      <c r="P26" s="137"/>
      <c r="Q26" s="205"/>
      <c r="R26" s="121">
        <v>20</v>
      </c>
      <c r="S26" s="120">
        <v>1700</v>
      </c>
      <c r="T26" s="120">
        <v>140</v>
      </c>
      <c r="U26" s="120">
        <f t="shared" si="2"/>
        <v>280</v>
      </c>
      <c r="V26" s="151">
        <f>T26/2</f>
        <v>70</v>
      </c>
      <c r="W26" s="150">
        <v>16500000</v>
      </c>
      <c r="X26" s="149">
        <v>16.25</v>
      </c>
      <c r="Y26" s="137"/>
      <c r="Z26" s="120"/>
      <c r="AA26" s="137"/>
      <c r="AB26" s="137"/>
      <c r="AC26" s="137"/>
      <c r="AD26" s="137"/>
      <c r="AE26" s="137"/>
      <c r="AF26" s="137"/>
      <c r="AG26" s="137"/>
      <c r="AH26" s="137"/>
      <c r="AI26" s="137"/>
      <c r="AJ26" s="202"/>
      <c r="AK26" s="202"/>
      <c r="AL26" s="137"/>
      <c r="AM26" s="137" t="s">
        <v>1129</v>
      </c>
      <c r="AN26" s="318"/>
      <c r="AO26" s="87">
        <v>3</v>
      </c>
      <c r="AP26" s="120">
        <v>330</v>
      </c>
      <c r="AQ26" s="120" t="s">
        <v>16</v>
      </c>
      <c r="AR26" s="120">
        <v>2500</v>
      </c>
      <c r="AS26" s="387">
        <v>6.9444444444444397E-3</v>
      </c>
      <c r="AT26" s="397"/>
      <c r="AU26" s="137"/>
      <c r="AV26" s="137"/>
      <c r="AW26" s="137" t="s">
        <v>1129</v>
      </c>
      <c r="AX26" s="205"/>
      <c r="AY26" s="90">
        <v>3</v>
      </c>
      <c r="AZ26" s="120">
        <v>600</v>
      </c>
      <c r="BA26" s="120" t="s">
        <v>93</v>
      </c>
      <c r="BB26" s="150">
        <v>1000000</v>
      </c>
      <c r="BC26" s="149">
        <v>1.5</v>
      </c>
      <c r="BD26" s="120"/>
      <c r="BE26" s="137"/>
      <c r="BF26" s="202"/>
      <c r="BG26" s="137" t="s">
        <v>1129</v>
      </c>
      <c r="BH26" s="318"/>
      <c r="BI26" s="87">
        <v>3</v>
      </c>
      <c r="BJ26" s="120">
        <v>290</v>
      </c>
      <c r="BK26" s="120">
        <v>35</v>
      </c>
      <c r="BL26" s="150">
        <v>10000</v>
      </c>
      <c r="BM26" s="149">
        <v>8.3333333333333301E-2</v>
      </c>
      <c r="BN26" s="202"/>
      <c r="BO26" s="137"/>
      <c r="BP26" s="137"/>
      <c r="BQ26" s="137"/>
    </row>
    <row r="27" spans="1:69">
      <c r="A27" s="137"/>
      <c r="B27" s="137"/>
      <c r="C27" s="137"/>
      <c r="D27" s="142" t="s">
        <v>307</v>
      </c>
      <c r="E27" s="137"/>
      <c r="F27" s="137"/>
      <c r="G27" s="137"/>
      <c r="H27" s="113">
        <v>21</v>
      </c>
      <c r="I27" s="120">
        <v>2250</v>
      </c>
      <c r="J27" s="120">
        <v>160</v>
      </c>
      <c r="K27" s="151">
        <f t="shared" si="1"/>
        <v>216.2162162162162</v>
      </c>
      <c r="L27" s="120">
        <f t="shared" si="0"/>
        <v>128</v>
      </c>
      <c r="M27" s="150">
        <v>18000000</v>
      </c>
      <c r="N27" s="149">
        <v>17</v>
      </c>
      <c r="O27" s="137"/>
      <c r="P27" s="137"/>
      <c r="Q27" s="137"/>
      <c r="R27" s="113">
        <v>21</v>
      </c>
      <c r="S27" s="120">
        <v>1800</v>
      </c>
      <c r="T27" s="120">
        <v>145</v>
      </c>
      <c r="U27" s="120">
        <f t="shared" si="2"/>
        <v>290</v>
      </c>
      <c r="V27" s="151">
        <f>T27/2</f>
        <v>72.5</v>
      </c>
      <c r="W27" s="150">
        <v>18500000</v>
      </c>
      <c r="X27" s="149">
        <v>17</v>
      </c>
      <c r="Y27" s="137"/>
      <c r="Z27" s="120"/>
      <c r="AA27" s="137"/>
      <c r="AB27" s="137"/>
      <c r="AC27" s="137"/>
      <c r="AD27" s="137"/>
      <c r="AE27" s="137"/>
      <c r="AF27" s="137"/>
      <c r="AG27" s="137"/>
      <c r="AH27" s="137"/>
      <c r="AI27" s="137"/>
      <c r="AJ27" s="202"/>
      <c r="AK27" s="202"/>
      <c r="AL27" s="137"/>
      <c r="AM27" s="202"/>
      <c r="AN27" s="318"/>
      <c r="AO27" s="87">
        <v>4</v>
      </c>
      <c r="AP27" s="120">
        <v>370</v>
      </c>
      <c r="AQ27" s="120" t="s">
        <v>22</v>
      </c>
      <c r="AR27" s="120">
        <v>5000</v>
      </c>
      <c r="AS27" s="149">
        <f>0.04166666</f>
        <v>4.1666660000000001E-2</v>
      </c>
      <c r="AT27" s="397"/>
      <c r="AU27" s="137"/>
      <c r="AV27" s="137"/>
      <c r="AW27" s="202"/>
      <c r="AX27" s="205"/>
      <c r="AY27" s="90">
        <v>4</v>
      </c>
      <c r="AZ27" s="120">
        <v>650</v>
      </c>
      <c r="BA27" s="120" t="s">
        <v>1184</v>
      </c>
      <c r="BB27" s="150">
        <v>1600000</v>
      </c>
      <c r="BC27" s="149">
        <v>2</v>
      </c>
      <c r="BD27" s="120"/>
      <c r="BE27" s="137"/>
      <c r="BF27" s="202"/>
      <c r="BG27" s="202"/>
      <c r="BH27" s="318"/>
      <c r="BI27" s="87">
        <v>4</v>
      </c>
      <c r="BJ27" s="120">
        <v>310</v>
      </c>
      <c r="BK27" s="120">
        <v>40</v>
      </c>
      <c r="BL27" s="150">
        <v>100000</v>
      </c>
      <c r="BM27" s="149">
        <v>0.20833333333333301</v>
      </c>
      <c r="BN27" s="202"/>
      <c r="BO27" s="137"/>
      <c r="BP27" s="137"/>
      <c r="BQ27" s="137"/>
    </row>
    <row r="28" spans="1:69">
      <c r="A28" s="137"/>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t="s">
        <v>1185</v>
      </c>
      <c r="AB28" s="137"/>
      <c r="AC28" s="137" t="s">
        <v>394</v>
      </c>
      <c r="AD28" s="137"/>
      <c r="AE28" s="137"/>
      <c r="AF28" s="137"/>
      <c r="AG28" s="137"/>
      <c r="AH28" s="137"/>
      <c r="AI28" s="137"/>
      <c r="AJ28" s="202"/>
      <c r="AK28" s="202"/>
      <c r="AL28" s="137"/>
      <c r="AM28" s="137"/>
      <c r="AN28" s="318"/>
      <c r="AO28" s="87">
        <v>5</v>
      </c>
      <c r="AP28" s="120">
        <v>420</v>
      </c>
      <c r="AQ28" s="120" t="s">
        <v>28</v>
      </c>
      <c r="AR28" s="150">
        <v>20000</v>
      </c>
      <c r="AS28" s="149">
        <v>0.33333332999999998</v>
      </c>
      <c r="AT28" s="397"/>
      <c r="AU28" s="137"/>
      <c r="AV28" s="137"/>
      <c r="AW28" s="137" t="s">
        <v>1186</v>
      </c>
      <c r="AX28" s="205"/>
      <c r="AY28" s="91">
        <v>5</v>
      </c>
      <c r="AZ28" s="120">
        <v>700</v>
      </c>
      <c r="BA28" s="120" t="s">
        <v>101</v>
      </c>
      <c r="BB28" s="150">
        <v>2200000</v>
      </c>
      <c r="BC28" s="149">
        <v>3.5</v>
      </c>
      <c r="BD28" s="120"/>
      <c r="BE28" s="137"/>
      <c r="BF28" s="202"/>
      <c r="BG28" s="137"/>
      <c r="BH28" s="318"/>
      <c r="BI28" s="87">
        <v>5</v>
      </c>
      <c r="BJ28" s="120">
        <v>330</v>
      </c>
      <c r="BK28" s="120">
        <v>45</v>
      </c>
      <c r="BL28" s="150">
        <v>250000</v>
      </c>
      <c r="BM28" s="149">
        <v>0.33333333333333298</v>
      </c>
      <c r="BN28" s="202"/>
      <c r="BO28" s="137"/>
      <c r="BP28" s="137"/>
      <c r="BQ28" s="137"/>
    </row>
    <row r="29" spans="1:69">
      <c r="A29" s="137"/>
      <c r="B29" s="137"/>
      <c r="C29" s="137"/>
      <c r="D29" s="137"/>
      <c r="E29" s="137"/>
      <c r="F29" s="137"/>
      <c r="G29" s="137"/>
      <c r="H29" s="137"/>
      <c r="I29" s="137"/>
      <c r="J29" s="137"/>
      <c r="K29" s="137"/>
      <c r="L29" s="137"/>
      <c r="M29" s="137"/>
      <c r="N29" s="137"/>
      <c r="O29" s="120"/>
      <c r="P29" s="137" t="s">
        <v>1187</v>
      </c>
      <c r="Q29" s="137"/>
      <c r="R29" s="137" t="s">
        <v>1188</v>
      </c>
      <c r="S29" s="137"/>
      <c r="T29" s="137"/>
      <c r="U29" s="137"/>
      <c r="V29" s="137"/>
      <c r="W29" s="137"/>
      <c r="X29" s="120"/>
      <c r="Y29" s="137"/>
      <c r="Z29" s="137"/>
      <c r="AA29" s="134" t="s">
        <v>1102</v>
      </c>
      <c r="AB29" s="203"/>
      <c r="AC29" s="204" t="s">
        <v>243</v>
      </c>
      <c r="AD29" s="136" t="s">
        <v>244</v>
      </c>
      <c r="AE29" s="136" t="s">
        <v>245</v>
      </c>
      <c r="AF29" s="136" t="s">
        <v>250</v>
      </c>
      <c r="AG29" s="136" t="s">
        <v>1091</v>
      </c>
      <c r="AH29" s="136" t="s">
        <v>1092</v>
      </c>
      <c r="AI29" s="120"/>
      <c r="AJ29" s="202"/>
      <c r="AK29" s="202"/>
      <c r="AL29" s="137"/>
      <c r="AM29" s="137"/>
      <c r="AN29" s="318"/>
      <c r="AO29" s="87">
        <v>6</v>
      </c>
      <c r="AP29" s="120">
        <v>470</v>
      </c>
      <c r="AQ29" s="120" t="s">
        <v>34</v>
      </c>
      <c r="AR29" s="150">
        <v>120000</v>
      </c>
      <c r="AS29" s="149">
        <v>0.5</v>
      </c>
      <c r="AT29" s="397"/>
      <c r="AU29" s="137"/>
      <c r="AV29" s="137"/>
      <c r="AW29" s="137"/>
      <c r="AX29" s="205"/>
      <c r="AY29" s="91">
        <v>6</v>
      </c>
      <c r="AZ29" s="120">
        <v>750</v>
      </c>
      <c r="BA29" s="120" t="s">
        <v>105</v>
      </c>
      <c r="BB29" s="150">
        <v>2900000</v>
      </c>
      <c r="BC29" s="149">
        <v>4.5</v>
      </c>
      <c r="BD29" s="120"/>
      <c r="BE29" s="137"/>
      <c r="BF29" s="202"/>
      <c r="BG29" s="137"/>
      <c r="BH29" s="318"/>
      <c r="BI29" s="87">
        <v>6</v>
      </c>
      <c r="BJ29" s="120">
        <v>350</v>
      </c>
      <c r="BK29" s="120">
        <v>50</v>
      </c>
      <c r="BL29" s="150">
        <v>750000</v>
      </c>
      <c r="BM29" s="149">
        <v>0.5</v>
      </c>
      <c r="BN29" s="202"/>
      <c r="BO29" s="137"/>
      <c r="BP29" s="137"/>
      <c r="BQ29" s="137"/>
    </row>
    <row r="30" spans="1:69">
      <c r="A30" s="137"/>
      <c r="B30" s="137"/>
      <c r="C30" s="137"/>
      <c r="D30" s="137"/>
      <c r="E30" s="137"/>
      <c r="F30" s="137" t="s">
        <v>1189</v>
      </c>
      <c r="G30" s="202"/>
      <c r="H30" s="137" t="s">
        <v>1190</v>
      </c>
      <c r="I30" s="202"/>
      <c r="J30" s="202"/>
      <c r="K30" s="202"/>
      <c r="L30" s="202"/>
      <c r="M30" s="137"/>
      <c r="N30" s="137"/>
      <c r="O30" s="120"/>
      <c r="P30" s="134" t="s">
        <v>1191</v>
      </c>
      <c r="Q30" s="203"/>
      <c r="R30" s="204" t="s">
        <v>243</v>
      </c>
      <c r="S30" s="136" t="s">
        <v>244</v>
      </c>
      <c r="T30" s="136" t="s">
        <v>245</v>
      </c>
      <c r="U30" s="136" t="s">
        <v>250</v>
      </c>
      <c r="V30" s="136" t="s">
        <v>1091</v>
      </c>
      <c r="W30" s="136" t="s">
        <v>1092</v>
      </c>
      <c r="X30" s="120"/>
      <c r="Y30" s="137"/>
      <c r="Z30" s="137"/>
      <c r="AA30" s="137" t="s">
        <v>1164</v>
      </c>
      <c r="AB30" s="318"/>
      <c r="AC30" s="87">
        <v>1</v>
      </c>
      <c r="AD30" s="120">
        <v>620</v>
      </c>
      <c r="AE30" s="120">
        <v>11</v>
      </c>
      <c r="AF30" s="151">
        <f>AE30*1.3</f>
        <v>14.3</v>
      </c>
      <c r="AG30" s="150">
        <v>120000</v>
      </c>
      <c r="AH30" s="149">
        <v>0.125</v>
      </c>
      <c r="AI30" s="120"/>
      <c r="AJ30" s="202"/>
      <c r="AK30" s="202"/>
      <c r="AL30" s="137"/>
      <c r="AM30" s="137"/>
      <c r="AN30" s="318"/>
      <c r="AO30" s="87">
        <v>7</v>
      </c>
      <c r="AP30" s="120">
        <v>520</v>
      </c>
      <c r="AQ30" s="120" t="s">
        <v>40</v>
      </c>
      <c r="AR30" s="150">
        <v>270000</v>
      </c>
      <c r="AS30" s="149">
        <v>0.75</v>
      </c>
      <c r="AT30" s="397"/>
      <c r="AU30" s="137"/>
      <c r="AV30" s="137"/>
      <c r="AW30" s="137"/>
      <c r="AX30" s="205"/>
      <c r="AY30" s="92">
        <v>7</v>
      </c>
      <c r="AZ30" s="120">
        <v>800</v>
      </c>
      <c r="BA30" s="120" t="s">
        <v>109</v>
      </c>
      <c r="BB30" s="150">
        <v>4000000</v>
      </c>
      <c r="BC30" s="149">
        <v>6.5</v>
      </c>
      <c r="BD30" s="120"/>
      <c r="BE30" s="137"/>
      <c r="BF30" s="202"/>
      <c r="BG30" s="137"/>
      <c r="BH30" s="318"/>
      <c r="BI30" s="91">
        <v>7</v>
      </c>
      <c r="BJ30" s="120">
        <v>400</v>
      </c>
      <c r="BK30" s="120">
        <v>55</v>
      </c>
      <c r="BL30" s="150">
        <v>1500000</v>
      </c>
      <c r="BM30" s="149">
        <v>2</v>
      </c>
      <c r="BN30" s="202"/>
      <c r="BO30" s="137"/>
      <c r="BP30" s="137"/>
      <c r="BQ30" s="137"/>
    </row>
    <row r="31" spans="1:69">
      <c r="A31" s="137"/>
      <c r="B31" s="137"/>
      <c r="C31" s="137"/>
      <c r="D31" s="137"/>
      <c r="E31" s="137"/>
      <c r="F31" s="134" t="s">
        <v>1099</v>
      </c>
      <c r="G31" s="203"/>
      <c r="H31" s="204" t="s">
        <v>243</v>
      </c>
      <c r="I31" s="136" t="s">
        <v>244</v>
      </c>
      <c r="J31" s="136" t="s">
        <v>1100</v>
      </c>
      <c r="K31" s="136" t="s">
        <v>1192</v>
      </c>
      <c r="L31" s="136" t="s">
        <v>1193</v>
      </c>
      <c r="M31" s="136" t="s">
        <v>1091</v>
      </c>
      <c r="N31" s="136" t="s">
        <v>1092</v>
      </c>
      <c r="O31" s="120"/>
      <c r="P31" s="137" t="s">
        <v>1113</v>
      </c>
      <c r="Q31" s="205"/>
      <c r="R31" s="87">
        <v>1</v>
      </c>
      <c r="S31" s="120">
        <v>800</v>
      </c>
      <c r="T31" s="120">
        <v>80</v>
      </c>
      <c r="U31" s="120">
        <v>80</v>
      </c>
      <c r="V31" s="120">
        <v>22000</v>
      </c>
      <c r="W31" s="149">
        <v>0.125</v>
      </c>
      <c r="X31" s="120"/>
      <c r="Y31" s="137"/>
      <c r="Z31" s="137"/>
      <c r="AA31" s="140" t="s">
        <v>770</v>
      </c>
      <c r="AB31" s="319"/>
      <c r="AC31" s="87">
        <v>2</v>
      </c>
      <c r="AD31" s="120">
        <v>650</v>
      </c>
      <c r="AE31" s="120">
        <v>13</v>
      </c>
      <c r="AF31" s="151">
        <f t="shared" ref="AF31:AF44" si="3">AE31*1.3</f>
        <v>16.900000000000002</v>
      </c>
      <c r="AG31" s="150">
        <v>220000</v>
      </c>
      <c r="AH31" s="149">
        <v>0.33333333333333298</v>
      </c>
      <c r="AI31" s="120"/>
      <c r="AJ31" s="202"/>
      <c r="AK31" s="202"/>
      <c r="AL31" s="137"/>
      <c r="AM31" s="137"/>
      <c r="AN31" s="318"/>
      <c r="AO31" s="87">
        <v>8</v>
      </c>
      <c r="AP31" s="120">
        <v>580</v>
      </c>
      <c r="AQ31" s="120" t="s">
        <v>45</v>
      </c>
      <c r="AR31" s="150">
        <v>800000</v>
      </c>
      <c r="AS31" s="149">
        <v>1</v>
      </c>
      <c r="AT31" s="397"/>
      <c r="AU31" s="137"/>
      <c r="AV31" s="137"/>
      <c r="AW31" s="137"/>
      <c r="AX31" s="205"/>
      <c r="AY31" s="93">
        <v>8</v>
      </c>
      <c r="AZ31" s="120">
        <v>850</v>
      </c>
      <c r="BA31" s="120" t="s">
        <v>114</v>
      </c>
      <c r="BB31" s="150">
        <v>7500000</v>
      </c>
      <c r="BC31" s="149">
        <v>9</v>
      </c>
      <c r="BD31" s="120"/>
      <c r="BE31" s="137"/>
      <c r="BF31" s="202"/>
      <c r="BG31" s="137"/>
      <c r="BH31" s="318"/>
      <c r="BI31" s="92">
        <v>8</v>
      </c>
      <c r="BJ31" s="120">
        <v>500</v>
      </c>
      <c r="BK31" s="120">
        <v>60</v>
      </c>
      <c r="BL31" s="150">
        <v>2500000</v>
      </c>
      <c r="BM31" s="149">
        <v>3</v>
      </c>
      <c r="BN31" s="202"/>
      <c r="BO31" s="137"/>
      <c r="BP31" s="137"/>
      <c r="BQ31" s="137"/>
    </row>
    <row r="32" spans="1:69">
      <c r="A32" s="137"/>
      <c r="B32" s="137"/>
      <c r="C32" s="137"/>
      <c r="D32" s="137"/>
      <c r="E32" s="137"/>
      <c r="F32" s="137" t="s">
        <v>1194</v>
      </c>
      <c r="G32" s="205"/>
      <c r="H32" s="87">
        <v>1</v>
      </c>
      <c r="I32" s="120">
        <v>400</v>
      </c>
      <c r="J32" s="120">
        <v>4</v>
      </c>
      <c r="K32" s="120">
        <v>20</v>
      </c>
      <c r="L32" s="388"/>
      <c r="M32" s="120">
        <v>5000</v>
      </c>
      <c r="N32" s="149">
        <v>0.125</v>
      </c>
      <c r="O32" s="120"/>
      <c r="P32" s="140" t="s">
        <v>272</v>
      </c>
      <c r="Q32" s="207"/>
      <c r="R32" s="87">
        <v>2</v>
      </c>
      <c r="S32" s="120">
        <v>850</v>
      </c>
      <c r="T32" s="120">
        <v>110</v>
      </c>
      <c r="U32" s="120">
        <v>110</v>
      </c>
      <c r="V32" s="150">
        <v>90000</v>
      </c>
      <c r="W32" s="149">
        <v>0.5</v>
      </c>
      <c r="X32" s="120"/>
      <c r="Y32" s="137"/>
      <c r="Z32" s="137"/>
      <c r="AA32" s="134" t="s">
        <v>523</v>
      </c>
      <c r="AB32" s="320"/>
      <c r="AC32" s="87">
        <v>3</v>
      </c>
      <c r="AD32" s="120">
        <v>680</v>
      </c>
      <c r="AE32" s="120">
        <v>16</v>
      </c>
      <c r="AF32" s="151">
        <f t="shared" si="3"/>
        <v>20.8</v>
      </c>
      <c r="AG32" s="150">
        <v>420000</v>
      </c>
      <c r="AH32" s="149">
        <v>0.5</v>
      </c>
      <c r="AI32" s="120"/>
      <c r="AJ32" s="202"/>
      <c r="AK32" s="202"/>
      <c r="AL32" s="137"/>
      <c r="AM32" s="137"/>
      <c r="AN32" s="318"/>
      <c r="AO32" s="99">
        <v>9</v>
      </c>
      <c r="AP32" s="120">
        <v>650</v>
      </c>
      <c r="AQ32" s="120" t="s">
        <v>51</v>
      </c>
      <c r="AR32" s="150">
        <v>1200000</v>
      </c>
      <c r="AS32" s="149">
        <v>1.5</v>
      </c>
      <c r="AT32" s="397"/>
      <c r="AU32" s="137"/>
      <c r="AV32" s="137"/>
      <c r="AW32" s="137"/>
      <c r="AX32" s="202"/>
      <c r="AY32" s="105">
        <v>9</v>
      </c>
      <c r="AZ32" s="120">
        <v>900</v>
      </c>
      <c r="BA32" s="120" t="s">
        <v>118</v>
      </c>
      <c r="BB32" s="150">
        <v>10000000</v>
      </c>
      <c r="BC32" s="149">
        <v>10.5</v>
      </c>
      <c r="BD32" s="120"/>
      <c r="BE32" s="137"/>
      <c r="BF32" s="202"/>
      <c r="BG32" s="137"/>
      <c r="BH32" s="318"/>
      <c r="BI32" s="93">
        <v>9</v>
      </c>
      <c r="BJ32" s="120">
        <v>600</v>
      </c>
      <c r="BK32" s="120">
        <v>65</v>
      </c>
      <c r="BL32" s="150">
        <v>4200000</v>
      </c>
      <c r="BM32" s="149">
        <v>6.25</v>
      </c>
      <c r="BN32" s="202"/>
      <c r="BO32" s="137"/>
      <c r="BP32" s="137"/>
      <c r="BQ32" s="137"/>
    </row>
    <row r="33" spans="1:69">
      <c r="A33" s="137"/>
      <c r="B33" s="137"/>
      <c r="C33" s="137"/>
      <c r="D33" s="137"/>
      <c r="E33" s="137"/>
      <c r="F33" s="140" t="s">
        <v>1195</v>
      </c>
      <c r="G33" s="207"/>
      <c r="H33" s="87">
        <v>2</v>
      </c>
      <c r="I33" s="120">
        <v>450</v>
      </c>
      <c r="J33" s="120">
        <v>5</v>
      </c>
      <c r="K33" s="120">
        <v>25</v>
      </c>
      <c r="L33" s="388"/>
      <c r="M33" s="150">
        <v>25000</v>
      </c>
      <c r="N33" s="149">
        <v>0.25</v>
      </c>
      <c r="O33" s="120"/>
      <c r="P33" s="134" t="s">
        <v>1126</v>
      </c>
      <c r="Q33" s="203"/>
      <c r="R33" s="87">
        <v>3</v>
      </c>
      <c r="S33" s="120">
        <v>900</v>
      </c>
      <c r="T33" s="120">
        <v>140</v>
      </c>
      <c r="U33" s="120">
        <v>140</v>
      </c>
      <c r="V33" s="150">
        <v>270000</v>
      </c>
      <c r="W33" s="149">
        <v>0.66666666666666696</v>
      </c>
      <c r="X33" s="120"/>
      <c r="Y33" s="137"/>
      <c r="Z33" s="137"/>
      <c r="AA33" s="137" t="s">
        <v>1107</v>
      </c>
      <c r="AB33" s="318"/>
      <c r="AC33" s="99">
        <v>4</v>
      </c>
      <c r="AD33" s="120">
        <v>730</v>
      </c>
      <c r="AE33" s="120">
        <v>20</v>
      </c>
      <c r="AF33" s="151">
        <f t="shared" si="3"/>
        <v>26</v>
      </c>
      <c r="AG33" s="150">
        <v>720000</v>
      </c>
      <c r="AH33" s="149">
        <v>0.75</v>
      </c>
      <c r="AI33" s="120"/>
      <c r="AJ33" s="202"/>
      <c r="AK33" s="202"/>
      <c r="AL33" s="137"/>
      <c r="AM33" s="137"/>
      <c r="AN33" s="318"/>
      <c r="AO33" s="90">
        <v>10</v>
      </c>
      <c r="AP33" s="120">
        <v>730</v>
      </c>
      <c r="AQ33" s="120" t="s">
        <v>56</v>
      </c>
      <c r="AR33" s="150">
        <v>1700000</v>
      </c>
      <c r="AS33" s="149">
        <v>2.5</v>
      </c>
      <c r="AT33" s="397"/>
      <c r="AU33" s="137"/>
      <c r="AV33" s="137"/>
      <c r="AW33" s="137"/>
      <c r="AX33" s="202"/>
      <c r="AY33" s="401"/>
      <c r="AZ33" s="120"/>
      <c r="BA33" s="120"/>
      <c r="BB33" s="120"/>
      <c r="BC33" s="120"/>
      <c r="BD33" s="137"/>
      <c r="BE33" s="137"/>
      <c r="BF33" s="202"/>
      <c r="BG33" s="137"/>
      <c r="BH33" s="318"/>
      <c r="BI33" s="94">
        <v>10</v>
      </c>
      <c r="BJ33" s="120">
        <v>700</v>
      </c>
      <c r="BK33" s="120">
        <v>70</v>
      </c>
      <c r="BL33" s="150">
        <v>6300000</v>
      </c>
      <c r="BM33" s="149">
        <v>9.75</v>
      </c>
      <c r="BN33" s="202"/>
      <c r="BO33" s="137"/>
      <c r="BP33" s="137"/>
      <c r="BQ33" s="137"/>
    </row>
    <row r="34" spans="1:69">
      <c r="A34" s="137"/>
      <c r="B34" s="137"/>
      <c r="C34" s="137"/>
      <c r="D34" s="137"/>
      <c r="E34" s="137"/>
      <c r="F34" s="134" t="s">
        <v>785</v>
      </c>
      <c r="G34" s="203"/>
      <c r="H34" s="87">
        <v>3</v>
      </c>
      <c r="I34" s="120">
        <v>500</v>
      </c>
      <c r="J34" s="120">
        <v>6</v>
      </c>
      <c r="K34" s="120">
        <v>30</v>
      </c>
      <c r="L34" s="388"/>
      <c r="M34" s="150">
        <v>100000</v>
      </c>
      <c r="N34" s="149">
        <v>0.5</v>
      </c>
      <c r="O34" s="120"/>
      <c r="P34" s="137" t="s">
        <v>1107</v>
      </c>
      <c r="Q34" s="205"/>
      <c r="R34" s="87">
        <v>4</v>
      </c>
      <c r="S34" s="120">
        <v>950</v>
      </c>
      <c r="T34" s="120">
        <v>160</v>
      </c>
      <c r="U34" s="120">
        <v>160</v>
      </c>
      <c r="V34" s="150">
        <v>500000</v>
      </c>
      <c r="W34" s="149">
        <v>1</v>
      </c>
      <c r="X34" s="120"/>
      <c r="Y34" s="137"/>
      <c r="Z34" s="137"/>
      <c r="AA34" s="137" t="s">
        <v>1117</v>
      </c>
      <c r="AB34" s="318"/>
      <c r="AC34" s="90">
        <v>5</v>
      </c>
      <c r="AD34" s="120">
        <v>840</v>
      </c>
      <c r="AE34" s="120">
        <v>24</v>
      </c>
      <c r="AF34" s="151">
        <f t="shared" si="3"/>
        <v>31.200000000000003</v>
      </c>
      <c r="AG34" s="150">
        <v>920000</v>
      </c>
      <c r="AH34" s="149">
        <v>1</v>
      </c>
      <c r="AI34" s="120"/>
      <c r="AJ34" s="202"/>
      <c r="AK34" s="202"/>
      <c r="AL34" s="137"/>
      <c r="AM34" s="137"/>
      <c r="AN34" s="318"/>
      <c r="AO34" s="91">
        <v>11</v>
      </c>
      <c r="AP34" s="120">
        <v>810</v>
      </c>
      <c r="AQ34" s="120" t="s">
        <v>61</v>
      </c>
      <c r="AR34" s="150">
        <v>2600000</v>
      </c>
      <c r="AS34" s="149">
        <v>4</v>
      </c>
      <c r="AT34" s="397"/>
      <c r="AU34" s="137"/>
      <c r="AV34" s="137"/>
      <c r="AW34" s="137"/>
      <c r="AX34" s="202"/>
      <c r="AY34" s="401"/>
      <c r="AZ34" s="120"/>
      <c r="BA34" s="120"/>
      <c r="BB34" s="120"/>
      <c r="BC34" s="120"/>
      <c r="BD34" s="137"/>
      <c r="BE34" s="137"/>
      <c r="BF34" s="202"/>
      <c r="BG34" s="137"/>
      <c r="BH34" s="318"/>
      <c r="BI34" s="100">
        <v>11</v>
      </c>
      <c r="BJ34" s="120">
        <v>800</v>
      </c>
      <c r="BK34" s="120">
        <v>75</v>
      </c>
      <c r="BL34" s="150">
        <v>12000000</v>
      </c>
      <c r="BM34" s="149">
        <v>12</v>
      </c>
      <c r="BN34" s="137"/>
      <c r="BO34" s="137"/>
      <c r="BP34" s="137"/>
      <c r="BQ34" s="137"/>
    </row>
    <row r="35" spans="1:69">
      <c r="A35" s="137"/>
      <c r="B35" s="137"/>
      <c r="C35" s="137"/>
      <c r="D35" s="137"/>
      <c r="E35" s="137"/>
      <c r="F35" s="137" t="s">
        <v>1107</v>
      </c>
      <c r="G35" s="205"/>
      <c r="H35" s="87">
        <v>4</v>
      </c>
      <c r="I35" s="120">
        <v>550</v>
      </c>
      <c r="J35" s="120">
        <v>7</v>
      </c>
      <c r="K35" s="120">
        <v>35</v>
      </c>
      <c r="L35" s="388"/>
      <c r="M35" s="150">
        <v>200000</v>
      </c>
      <c r="N35" s="149">
        <v>1</v>
      </c>
      <c r="O35" s="120"/>
      <c r="P35" s="137" t="s">
        <v>1117</v>
      </c>
      <c r="Q35" s="205"/>
      <c r="R35" s="99">
        <v>5</v>
      </c>
      <c r="S35" s="120">
        <v>1000</v>
      </c>
      <c r="T35" s="120">
        <v>190</v>
      </c>
      <c r="U35" s="120">
        <v>190</v>
      </c>
      <c r="V35" s="150">
        <v>1000000</v>
      </c>
      <c r="W35" s="149">
        <v>1.5</v>
      </c>
      <c r="X35" s="120"/>
      <c r="Y35" s="137"/>
      <c r="Z35" s="137"/>
      <c r="AA35" s="202"/>
      <c r="AB35" s="318"/>
      <c r="AC35" s="90">
        <v>6</v>
      </c>
      <c r="AD35" s="120">
        <v>960</v>
      </c>
      <c r="AE35" s="120">
        <v>32</v>
      </c>
      <c r="AF35" s="151">
        <f t="shared" si="3"/>
        <v>41.6</v>
      </c>
      <c r="AG35" s="150">
        <v>1200000</v>
      </c>
      <c r="AH35" s="149">
        <v>1.5</v>
      </c>
      <c r="AI35" s="120"/>
      <c r="AJ35" s="202"/>
      <c r="AK35" s="202"/>
      <c r="AL35" s="137"/>
      <c r="AM35" s="137"/>
      <c r="AN35" s="318"/>
      <c r="AO35" s="92">
        <v>12</v>
      </c>
      <c r="AP35" s="120">
        <v>900</v>
      </c>
      <c r="AQ35" s="120" t="s">
        <v>65</v>
      </c>
      <c r="AR35" s="150">
        <v>3700000</v>
      </c>
      <c r="AS35" s="149">
        <v>5.5</v>
      </c>
      <c r="AT35" s="397"/>
      <c r="AU35" s="137"/>
      <c r="AV35" s="137"/>
      <c r="AW35" s="137"/>
      <c r="AX35" s="202"/>
      <c r="AY35" s="401"/>
      <c r="AZ35" s="120"/>
      <c r="BA35" s="120"/>
      <c r="BB35" s="120"/>
      <c r="BC35" s="120"/>
      <c r="BD35" s="137"/>
      <c r="BE35" s="137"/>
      <c r="BF35" s="202"/>
      <c r="BG35" s="137"/>
      <c r="BH35" s="318"/>
      <c r="BI35" s="122">
        <v>12</v>
      </c>
      <c r="BJ35" s="120">
        <v>850</v>
      </c>
      <c r="BK35" s="120">
        <v>80</v>
      </c>
      <c r="BL35" s="150">
        <v>19000000</v>
      </c>
      <c r="BM35" s="149">
        <v>16</v>
      </c>
      <c r="BN35" s="137"/>
      <c r="BO35" s="137"/>
      <c r="BP35" s="137"/>
      <c r="BQ35" s="137"/>
    </row>
    <row r="36" spans="1:69">
      <c r="A36" s="137"/>
      <c r="B36" s="137"/>
      <c r="C36" s="137"/>
      <c r="D36" s="137"/>
      <c r="E36" s="137"/>
      <c r="F36" s="137" t="s">
        <v>1117</v>
      </c>
      <c r="G36" s="205"/>
      <c r="H36" s="99">
        <v>5</v>
      </c>
      <c r="I36" s="120">
        <v>600</v>
      </c>
      <c r="J36" s="120">
        <v>9</v>
      </c>
      <c r="K36" s="120">
        <v>45</v>
      </c>
      <c r="L36" s="388"/>
      <c r="M36" s="150">
        <v>400000</v>
      </c>
      <c r="N36" s="149">
        <v>2</v>
      </c>
      <c r="O36" s="120"/>
      <c r="P36" s="137"/>
      <c r="Q36" s="205"/>
      <c r="R36" s="90">
        <v>6</v>
      </c>
      <c r="S36" s="120">
        <v>1050</v>
      </c>
      <c r="T36" s="120">
        <v>230</v>
      </c>
      <c r="U36" s="120">
        <v>230</v>
      </c>
      <c r="V36" s="150">
        <v>1350000</v>
      </c>
      <c r="W36" s="149">
        <v>2</v>
      </c>
      <c r="X36" s="120"/>
      <c r="Y36" s="137"/>
      <c r="Z36" s="137"/>
      <c r="AA36" s="137"/>
      <c r="AB36" s="318"/>
      <c r="AC36" s="91">
        <v>7</v>
      </c>
      <c r="AD36" s="120">
        <v>1200</v>
      </c>
      <c r="AE36" s="120">
        <v>40</v>
      </c>
      <c r="AF36" s="151">
        <f t="shared" si="3"/>
        <v>52</v>
      </c>
      <c r="AG36" s="150">
        <v>2200000</v>
      </c>
      <c r="AH36" s="149">
        <v>2</v>
      </c>
      <c r="AI36" s="120"/>
      <c r="AJ36" s="202"/>
      <c r="AK36" s="202"/>
      <c r="AL36" s="137"/>
      <c r="AM36" s="137"/>
      <c r="AN36" s="202"/>
      <c r="AO36" s="396">
        <v>13</v>
      </c>
      <c r="AP36" s="120">
        <v>980</v>
      </c>
      <c r="AQ36" s="120" t="s">
        <v>69</v>
      </c>
      <c r="AR36" s="150">
        <v>6500000</v>
      </c>
      <c r="AS36" s="149">
        <v>7.5</v>
      </c>
      <c r="AT36" s="397"/>
      <c r="AU36" s="137"/>
      <c r="AV36" s="137"/>
      <c r="AW36" s="137"/>
      <c r="AX36" s="202"/>
      <c r="AY36" s="401"/>
      <c r="AZ36" s="120"/>
      <c r="BA36" s="120"/>
      <c r="BB36" s="120"/>
      <c r="BC36" s="120"/>
      <c r="BD36" s="137"/>
      <c r="BE36" s="137"/>
      <c r="BF36" s="202"/>
      <c r="BG36" s="137"/>
      <c r="BH36" s="137"/>
      <c r="BI36" s="137"/>
      <c r="BJ36" s="137"/>
      <c r="BK36" s="137"/>
      <c r="BL36" s="137"/>
      <c r="BM36" s="137"/>
      <c r="BN36" s="137"/>
      <c r="BO36" s="137"/>
      <c r="BP36" s="137"/>
      <c r="BQ36" s="137"/>
    </row>
    <row r="37" spans="1:69">
      <c r="A37" s="137"/>
      <c r="B37" s="137"/>
      <c r="C37" s="137"/>
      <c r="D37" s="137"/>
      <c r="E37" s="137"/>
      <c r="F37" s="140" t="s">
        <v>1196</v>
      </c>
      <c r="G37" s="207"/>
      <c r="H37" s="90">
        <v>6</v>
      </c>
      <c r="I37" s="120">
        <v>650</v>
      </c>
      <c r="J37" s="120">
        <v>11</v>
      </c>
      <c r="K37" s="120">
        <v>55</v>
      </c>
      <c r="L37" s="388"/>
      <c r="M37" s="150">
        <v>750000</v>
      </c>
      <c r="N37" s="149">
        <v>2.5</v>
      </c>
      <c r="O37" s="120"/>
      <c r="P37" s="202"/>
      <c r="Q37" s="205"/>
      <c r="R37" s="91">
        <v>7</v>
      </c>
      <c r="S37" s="120">
        <v>1100</v>
      </c>
      <c r="T37" s="120">
        <v>280</v>
      </c>
      <c r="U37" s="120">
        <v>280</v>
      </c>
      <c r="V37" s="150">
        <v>1750000</v>
      </c>
      <c r="W37" s="149">
        <v>3</v>
      </c>
      <c r="X37" s="120"/>
      <c r="Y37" s="137"/>
      <c r="Z37" s="137"/>
      <c r="AA37" s="137"/>
      <c r="AB37" s="318"/>
      <c r="AC37" s="92">
        <v>8</v>
      </c>
      <c r="AD37" s="120">
        <v>1440</v>
      </c>
      <c r="AE37" s="120">
        <v>45</v>
      </c>
      <c r="AF37" s="151">
        <f t="shared" si="3"/>
        <v>58.5</v>
      </c>
      <c r="AG37" s="150">
        <v>2700000</v>
      </c>
      <c r="AH37" s="149">
        <v>3</v>
      </c>
      <c r="AI37" s="120"/>
      <c r="AJ37" s="202"/>
      <c r="AK37" s="202"/>
      <c r="AL37" s="137"/>
      <c r="AM37" s="137"/>
      <c r="AN37" s="202"/>
      <c r="AO37" s="105">
        <v>14</v>
      </c>
      <c r="AP37" s="120">
        <v>1050</v>
      </c>
      <c r="AQ37" s="120" t="s">
        <v>75</v>
      </c>
      <c r="AR37" s="150">
        <v>9000000</v>
      </c>
      <c r="AS37" s="149">
        <v>10</v>
      </c>
      <c r="AT37" s="123"/>
      <c r="AU37" s="137"/>
      <c r="AV37" s="137"/>
      <c r="AW37" s="137"/>
      <c r="AX37" s="137"/>
      <c r="AY37" s="137"/>
      <c r="AZ37" s="137"/>
      <c r="BA37" s="137"/>
      <c r="BB37" s="137"/>
      <c r="BC37" s="137"/>
      <c r="BD37" s="137"/>
      <c r="BE37" s="137"/>
      <c r="BF37" s="202"/>
      <c r="BG37" s="137"/>
      <c r="BH37" s="137"/>
      <c r="BI37" s="137"/>
      <c r="BJ37" s="137"/>
      <c r="BK37" s="137"/>
      <c r="BL37" s="137"/>
      <c r="BM37" s="137"/>
      <c r="BN37" s="137"/>
      <c r="BO37" s="137"/>
      <c r="BP37" s="137"/>
      <c r="BQ37" s="137"/>
    </row>
    <row r="38" spans="1:69">
      <c r="A38" s="137"/>
      <c r="B38" s="137"/>
      <c r="C38" s="137"/>
      <c r="D38" s="137"/>
      <c r="E38" s="137"/>
      <c r="F38" s="134" t="s">
        <v>1139</v>
      </c>
      <c r="G38" s="203"/>
      <c r="H38" s="91">
        <v>7</v>
      </c>
      <c r="I38" s="120">
        <v>700</v>
      </c>
      <c r="J38" s="120">
        <v>15</v>
      </c>
      <c r="K38" s="120">
        <v>75</v>
      </c>
      <c r="L38" s="388"/>
      <c r="M38" s="150">
        <v>1500000</v>
      </c>
      <c r="N38" s="149">
        <v>3</v>
      </c>
      <c r="O38" s="120"/>
      <c r="P38" s="137"/>
      <c r="Q38" s="205"/>
      <c r="R38" s="92">
        <v>8</v>
      </c>
      <c r="S38" s="120">
        <v>1210</v>
      </c>
      <c r="T38" s="120">
        <v>320</v>
      </c>
      <c r="U38" s="120">
        <v>320</v>
      </c>
      <c r="V38" s="150">
        <v>3000000</v>
      </c>
      <c r="W38" s="149">
        <v>4.25</v>
      </c>
      <c r="X38" s="120"/>
      <c r="Y38" s="137"/>
      <c r="Z38" s="137"/>
      <c r="AA38" s="137"/>
      <c r="AB38" s="318"/>
      <c r="AC38" s="92">
        <v>9</v>
      </c>
      <c r="AD38" s="120">
        <v>1680</v>
      </c>
      <c r="AE38" s="120">
        <v>50</v>
      </c>
      <c r="AF38" s="151">
        <f t="shared" si="3"/>
        <v>65</v>
      </c>
      <c r="AG38" s="150">
        <v>3700000</v>
      </c>
      <c r="AH38" s="149">
        <v>5.25</v>
      </c>
      <c r="AI38" s="120"/>
      <c r="AJ38" s="202"/>
      <c r="AK38" s="202"/>
      <c r="AL38" s="137"/>
      <c r="AM38" s="137"/>
      <c r="AN38" s="202"/>
      <c r="AO38" s="106">
        <v>15</v>
      </c>
      <c r="AP38" s="120">
        <v>1150</v>
      </c>
      <c r="AQ38" s="120" t="s">
        <v>80</v>
      </c>
      <c r="AR38" s="150">
        <v>12500000</v>
      </c>
      <c r="AS38" s="149">
        <v>13</v>
      </c>
      <c r="AT38" s="123"/>
      <c r="AU38" s="137"/>
      <c r="AV38" s="137"/>
      <c r="AW38" s="137"/>
      <c r="AX38" s="137"/>
      <c r="AY38" s="137"/>
      <c r="AZ38" s="137"/>
      <c r="BA38" s="137"/>
      <c r="BB38" s="137"/>
      <c r="BC38" s="137"/>
      <c r="BD38" s="137"/>
      <c r="BE38" s="137"/>
      <c r="BF38" s="202"/>
      <c r="BG38" s="137"/>
      <c r="BH38" s="137"/>
      <c r="BI38" s="137"/>
      <c r="BJ38" s="137"/>
      <c r="BK38" s="137"/>
      <c r="BL38" s="137"/>
      <c r="BM38" s="137"/>
      <c r="BN38" s="137"/>
      <c r="BO38" s="137"/>
      <c r="BP38" s="137"/>
      <c r="BQ38" s="137"/>
    </row>
    <row r="39" spans="1:69">
      <c r="A39" s="137"/>
      <c r="B39" s="137"/>
      <c r="C39" s="137"/>
      <c r="D39" s="137"/>
      <c r="E39" s="137"/>
      <c r="F39" s="137" t="s">
        <v>1197</v>
      </c>
      <c r="G39" s="205"/>
      <c r="H39" s="92">
        <v>8</v>
      </c>
      <c r="I39" s="120">
        <v>800</v>
      </c>
      <c r="J39" s="120">
        <v>20</v>
      </c>
      <c r="K39" s="120">
        <v>100</v>
      </c>
      <c r="L39" s="120">
        <v>37</v>
      </c>
      <c r="M39" s="150">
        <v>2500000</v>
      </c>
      <c r="N39" s="149">
        <v>3.25</v>
      </c>
      <c r="O39" s="120"/>
      <c r="P39" s="137"/>
      <c r="Q39" s="205"/>
      <c r="R39" s="93">
        <v>9</v>
      </c>
      <c r="S39" s="120">
        <v>1300</v>
      </c>
      <c r="T39" s="120">
        <v>360</v>
      </c>
      <c r="U39" s="120">
        <v>360</v>
      </c>
      <c r="V39" s="150">
        <v>4200000</v>
      </c>
      <c r="W39" s="149">
        <v>6.25</v>
      </c>
      <c r="X39" s="120"/>
      <c r="Y39" s="137"/>
      <c r="Z39" s="137"/>
      <c r="AA39" s="137"/>
      <c r="AB39" s="318"/>
      <c r="AC39" s="93">
        <v>10</v>
      </c>
      <c r="AD39" s="120">
        <v>2000</v>
      </c>
      <c r="AE39" s="120">
        <v>62</v>
      </c>
      <c r="AF39" s="151">
        <f t="shared" si="3"/>
        <v>80.600000000000009</v>
      </c>
      <c r="AG39" s="150">
        <v>5200000</v>
      </c>
      <c r="AH39" s="149">
        <v>6.5</v>
      </c>
      <c r="AI39" s="120"/>
      <c r="AJ39" s="202"/>
      <c r="AK39" s="202"/>
      <c r="AL39" s="137"/>
      <c r="AM39" s="137"/>
      <c r="AN39" s="137"/>
      <c r="AO39" s="112">
        <v>16</v>
      </c>
      <c r="AP39" s="120">
        <v>1250</v>
      </c>
      <c r="AQ39" s="120" t="s">
        <v>83</v>
      </c>
      <c r="AR39" s="150">
        <v>15000000</v>
      </c>
      <c r="AS39" s="149">
        <v>16</v>
      </c>
      <c r="AT39" s="123"/>
      <c r="AU39" s="137"/>
      <c r="AV39" s="137"/>
      <c r="AW39" s="137"/>
      <c r="AX39" s="137"/>
      <c r="AY39" s="137"/>
      <c r="AZ39" s="137"/>
      <c r="BA39" s="137"/>
      <c r="BB39" s="137"/>
      <c r="BC39" s="137"/>
      <c r="BD39" s="137"/>
      <c r="BE39" s="137"/>
      <c r="BF39" s="202"/>
      <c r="BG39" s="137"/>
      <c r="BH39" s="137"/>
      <c r="BI39" s="137"/>
      <c r="BJ39" s="137"/>
      <c r="BK39" s="137"/>
      <c r="BL39" s="137"/>
      <c r="BM39" s="137"/>
      <c r="BN39" s="137"/>
      <c r="BO39" s="137"/>
      <c r="BP39" s="137"/>
      <c r="BQ39" s="137"/>
    </row>
    <row r="40" spans="1:69">
      <c r="A40" s="137"/>
      <c r="B40" s="137"/>
      <c r="C40" s="137"/>
      <c r="D40" s="137"/>
      <c r="E40" s="137"/>
      <c r="F40" s="137" t="s">
        <v>1198</v>
      </c>
      <c r="G40" s="205"/>
      <c r="H40" s="93">
        <v>9</v>
      </c>
      <c r="I40" s="120">
        <v>950</v>
      </c>
      <c r="J40" s="120">
        <v>25</v>
      </c>
      <c r="K40" s="120">
        <v>125</v>
      </c>
      <c r="L40" s="120">
        <v>47</v>
      </c>
      <c r="M40" s="150">
        <v>3500000</v>
      </c>
      <c r="N40" s="149">
        <v>4.25</v>
      </c>
      <c r="O40" s="120"/>
      <c r="P40" s="137"/>
      <c r="Q40" s="205"/>
      <c r="R40" s="94">
        <v>10</v>
      </c>
      <c r="S40" s="120">
        <v>1400</v>
      </c>
      <c r="T40" s="120">
        <v>400</v>
      </c>
      <c r="U40" s="120">
        <v>400</v>
      </c>
      <c r="V40" s="150">
        <v>6500000</v>
      </c>
      <c r="W40" s="149">
        <v>9.75</v>
      </c>
      <c r="X40" s="120"/>
      <c r="Y40" s="137"/>
      <c r="Z40" s="137"/>
      <c r="AA40" s="137"/>
      <c r="AB40" s="318"/>
      <c r="AC40" s="94">
        <v>11</v>
      </c>
      <c r="AD40" s="120">
        <v>2240</v>
      </c>
      <c r="AE40" s="120">
        <v>70</v>
      </c>
      <c r="AF40" s="151">
        <f t="shared" si="3"/>
        <v>91</v>
      </c>
      <c r="AG40" s="150">
        <v>7200000</v>
      </c>
      <c r="AH40" s="149">
        <v>9.75</v>
      </c>
      <c r="AI40" s="120"/>
      <c r="AJ40" s="202"/>
      <c r="AK40" s="202"/>
      <c r="AL40" s="137"/>
      <c r="AM40" s="137"/>
      <c r="AN40" s="137"/>
      <c r="AO40" s="137"/>
      <c r="AP40" s="137"/>
      <c r="AQ40" s="137"/>
      <c r="AR40" s="137"/>
      <c r="AS40" s="137"/>
      <c r="AT40" s="137"/>
      <c r="AU40" s="137"/>
      <c r="AV40" s="137"/>
      <c r="AW40" s="137" t="s">
        <v>1199</v>
      </c>
      <c r="AX40" s="202"/>
      <c r="AY40" s="202"/>
      <c r="AZ40" s="202"/>
      <c r="BA40" s="202"/>
      <c r="BB40" s="202"/>
      <c r="BC40" s="202"/>
      <c r="BD40" s="137"/>
      <c r="BE40" s="137"/>
      <c r="BF40" s="202"/>
      <c r="BG40" s="137" t="s">
        <v>1200</v>
      </c>
      <c r="BH40" s="202"/>
      <c r="BI40" s="202"/>
      <c r="BJ40" s="202"/>
      <c r="BK40" s="202"/>
      <c r="BL40" s="202"/>
      <c r="BM40" s="202"/>
      <c r="BN40" s="137"/>
      <c r="BO40" s="137"/>
      <c r="BP40" s="137"/>
      <c r="BQ40" s="137"/>
    </row>
    <row r="41" spans="1:69">
      <c r="A41" s="137"/>
      <c r="B41" s="137"/>
      <c r="C41" s="137"/>
      <c r="D41" s="137"/>
      <c r="E41" s="137"/>
      <c r="F41" s="140" t="s">
        <v>1201</v>
      </c>
      <c r="G41" s="207"/>
      <c r="H41" s="93">
        <v>10</v>
      </c>
      <c r="I41" s="120">
        <v>1100</v>
      </c>
      <c r="J41" s="120">
        <v>30</v>
      </c>
      <c r="K41" s="120">
        <v>150</v>
      </c>
      <c r="L41" s="120">
        <v>56</v>
      </c>
      <c r="M41" s="150">
        <v>4800000</v>
      </c>
      <c r="N41" s="149">
        <v>5.5</v>
      </c>
      <c r="O41" s="120"/>
      <c r="P41" s="137"/>
      <c r="Q41" s="205"/>
      <c r="R41" s="100">
        <v>11</v>
      </c>
      <c r="S41" s="120">
        <v>1500</v>
      </c>
      <c r="T41" s="120">
        <v>440</v>
      </c>
      <c r="U41" s="120">
        <v>440</v>
      </c>
      <c r="V41" s="150">
        <v>10500000</v>
      </c>
      <c r="W41" s="149">
        <v>12</v>
      </c>
      <c r="X41" s="120"/>
      <c r="Y41" s="137"/>
      <c r="Z41" s="137"/>
      <c r="AA41" s="137"/>
      <c r="AB41" s="318"/>
      <c r="AC41" s="100">
        <v>12</v>
      </c>
      <c r="AD41" s="120">
        <v>2480</v>
      </c>
      <c r="AE41" s="120">
        <v>78</v>
      </c>
      <c r="AF41" s="151">
        <f t="shared" si="3"/>
        <v>101.4</v>
      </c>
      <c r="AG41" s="150">
        <v>10700000</v>
      </c>
      <c r="AH41" s="149">
        <v>12</v>
      </c>
      <c r="AI41" s="120"/>
      <c r="AJ41" s="202"/>
      <c r="AK41" s="202"/>
      <c r="AL41" s="137"/>
      <c r="AM41" s="137"/>
      <c r="AN41" s="137"/>
      <c r="AO41" s="137"/>
      <c r="AP41" s="137"/>
      <c r="AQ41" s="137"/>
      <c r="AR41" s="137"/>
      <c r="AS41" s="137"/>
      <c r="AT41" s="137"/>
      <c r="AU41" s="137"/>
      <c r="AV41" s="137"/>
      <c r="AW41" s="134" t="s">
        <v>1107</v>
      </c>
      <c r="AX41" s="203"/>
      <c r="AY41" s="204" t="s">
        <v>243</v>
      </c>
      <c r="AZ41" s="136" t="s">
        <v>244</v>
      </c>
      <c r="BA41" s="136" t="s">
        <v>1109</v>
      </c>
      <c r="BB41" s="136" t="s">
        <v>1202</v>
      </c>
      <c r="BC41" s="136" t="s">
        <v>1091</v>
      </c>
      <c r="BD41" s="136" t="s">
        <v>1092</v>
      </c>
      <c r="BE41" s="137"/>
      <c r="BF41" s="202"/>
      <c r="BG41" s="134" t="s">
        <v>1088</v>
      </c>
      <c r="BH41" s="203"/>
      <c r="BI41" s="204" t="s">
        <v>243</v>
      </c>
      <c r="BJ41" s="136" t="s">
        <v>244</v>
      </c>
      <c r="BK41" s="136" t="s">
        <v>1110</v>
      </c>
      <c r="BL41" s="136" t="s">
        <v>1203</v>
      </c>
      <c r="BM41" s="136" t="s">
        <v>1091</v>
      </c>
      <c r="BN41" s="136" t="s">
        <v>1092</v>
      </c>
      <c r="BO41" s="120"/>
      <c r="BP41" s="137"/>
      <c r="BQ41" s="137"/>
    </row>
    <row r="42" spans="1:69">
      <c r="A42" s="137"/>
      <c r="B42" s="137"/>
      <c r="C42" s="137"/>
      <c r="D42" s="137"/>
      <c r="E42" s="137"/>
      <c r="F42" s="134" t="s">
        <v>1156</v>
      </c>
      <c r="G42" s="203"/>
      <c r="H42" s="94">
        <v>11</v>
      </c>
      <c r="I42" s="120">
        <v>1300</v>
      </c>
      <c r="J42" s="120">
        <v>35</v>
      </c>
      <c r="K42" s="120">
        <v>175</v>
      </c>
      <c r="L42" s="120">
        <v>64</v>
      </c>
      <c r="M42" s="150">
        <v>6500000</v>
      </c>
      <c r="N42" s="149">
        <v>8.5</v>
      </c>
      <c r="O42" s="120"/>
      <c r="P42" s="137"/>
      <c r="Q42" s="205"/>
      <c r="R42" s="121">
        <v>12</v>
      </c>
      <c r="S42" s="120">
        <v>1650</v>
      </c>
      <c r="T42" s="120">
        <v>500</v>
      </c>
      <c r="U42" s="120">
        <v>500</v>
      </c>
      <c r="V42" s="150">
        <v>17000000</v>
      </c>
      <c r="W42" s="149">
        <v>17</v>
      </c>
      <c r="X42" s="120"/>
      <c r="Y42" s="137"/>
      <c r="Z42" s="137"/>
      <c r="AA42" s="137"/>
      <c r="AB42" s="318"/>
      <c r="AC42" s="100">
        <v>13</v>
      </c>
      <c r="AD42" s="120">
        <v>2700</v>
      </c>
      <c r="AE42" s="120">
        <v>84</v>
      </c>
      <c r="AF42" s="151">
        <f t="shared" si="3"/>
        <v>109.2</v>
      </c>
      <c r="AG42" s="150">
        <v>12200000</v>
      </c>
      <c r="AH42" s="149">
        <v>12.75</v>
      </c>
      <c r="AI42" s="120"/>
      <c r="AJ42" s="202"/>
      <c r="AK42" s="202"/>
      <c r="AL42" s="137"/>
      <c r="AM42" s="137" t="s">
        <v>1204</v>
      </c>
      <c r="AN42" s="202"/>
      <c r="AO42" s="202"/>
      <c r="AP42" s="202"/>
      <c r="AQ42" s="202"/>
      <c r="AR42" s="202"/>
      <c r="AS42" s="202"/>
      <c r="AT42" s="137"/>
      <c r="AU42" s="137"/>
      <c r="AV42" s="137"/>
      <c r="AW42" s="140" t="s">
        <v>1117</v>
      </c>
      <c r="AX42" s="207"/>
      <c r="AY42" s="90">
        <v>1</v>
      </c>
      <c r="AZ42" s="120">
        <v>600</v>
      </c>
      <c r="BA42" s="120">
        <v>1</v>
      </c>
      <c r="BB42" s="120" t="s">
        <v>57</v>
      </c>
      <c r="BC42" s="150">
        <v>150000</v>
      </c>
      <c r="BD42" s="149">
        <v>0.25</v>
      </c>
      <c r="BE42" s="137"/>
      <c r="BF42" s="202"/>
      <c r="BG42" s="140" t="s">
        <v>1106</v>
      </c>
      <c r="BH42" s="207"/>
      <c r="BI42" s="94">
        <v>1</v>
      </c>
      <c r="BJ42" s="120">
        <v>1000</v>
      </c>
      <c r="BK42" s="120">
        <v>1</v>
      </c>
      <c r="BL42" s="120" t="s">
        <v>88</v>
      </c>
      <c r="BM42" s="150">
        <v>3500000</v>
      </c>
      <c r="BN42" s="149">
        <v>4.25</v>
      </c>
      <c r="BO42" s="120"/>
      <c r="BP42" s="137"/>
      <c r="BQ42" s="137"/>
    </row>
    <row r="43" spans="1:69">
      <c r="A43" s="137"/>
      <c r="B43" s="137"/>
      <c r="C43" s="137"/>
      <c r="D43" s="137"/>
      <c r="E43" s="137"/>
      <c r="F43" s="137" t="s">
        <v>1205</v>
      </c>
      <c r="G43" s="205"/>
      <c r="H43" s="94">
        <v>12</v>
      </c>
      <c r="I43" s="120">
        <v>1500</v>
      </c>
      <c r="J43" s="120">
        <v>38</v>
      </c>
      <c r="K43" s="120">
        <f>J43*5</f>
        <v>190</v>
      </c>
      <c r="L43" s="120">
        <v>70</v>
      </c>
      <c r="M43" s="150">
        <v>7200000</v>
      </c>
      <c r="N43" s="149">
        <v>9.75</v>
      </c>
      <c r="O43" s="120"/>
      <c r="P43" s="137"/>
      <c r="Q43" s="137"/>
      <c r="R43" s="113">
        <v>13</v>
      </c>
      <c r="S43" s="120">
        <v>1750</v>
      </c>
      <c r="T43" s="120">
        <v>540</v>
      </c>
      <c r="U43" s="120">
        <v>540</v>
      </c>
      <c r="V43" s="150">
        <v>19500000</v>
      </c>
      <c r="W43" s="149">
        <v>18</v>
      </c>
      <c r="X43" s="137"/>
      <c r="Y43" s="137"/>
      <c r="Z43" s="137"/>
      <c r="AA43" s="137"/>
      <c r="AB43" s="318"/>
      <c r="AC43" s="121">
        <v>14</v>
      </c>
      <c r="AD43" s="120">
        <v>2900</v>
      </c>
      <c r="AE43" s="120">
        <v>90</v>
      </c>
      <c r="AF43" s="151">
        <f t="shared" si="3"/>
        <v>117</v>
      </c>
      <c r="AG43" s="150">
        <v>17200000</v>
      </c>
      <c r="AH43" s="149">
        <v>17</v>
      </c>
      <c r="AI43" s="120"/>
      <c r="AJ43" s="202"/>
      <c r="AK43" s="202"/>
      <c r="AL43" s="137"/>
      <c r="AM43" s="134" t="s">
        <v>1107</v>
      </c>
      <c r="AN43" s="203"/>
      <c r="AO43" s="204" t="s">
        <v>243</v>
      </c>
      <c r="AP43" s="136" t="s">
        <v>244</v>
      </c>
      <c r="AQ43" s="136" t="s">
        <v>1109</v>
      </c>
      <c r="AR43" s="136" t="s">
        <v>1202</v>
      </c>
      <c r="AS43" s="136" t="s">
        <v>1091</v>
      </c>
      <c r="AT43" s="136" t="s">
        <v>1092</v>
      </c>
      <c r="AU43" s="137"/>
      <c r="AV43" s="137"/>
      <c r="AW43" s="134" t="s">
        <v>1206</v>
      </c>
      <c r="AX43" s="203"/>
      <c r="AY43" s="90">
        <v>2</v>
      </c>
      <c r="AZ43" s="120">
        <v>660</v>
      </c>
      <c r="BA43" s="120">
        <v>1</v>
      </c>
      <c r="BB43" s="120" t="s">
        <v>62</v>
      </c>
      <c r="BC43" s="150">
        <v>300000</v>
      </c>
      <c r="BD43" s="149">
        <v>0.75</v>
      </c>
      <c r="BE43" s="137"/>
      <c r="BF43" s="202"/>
      <c r="BG43" s="134" t="s">
        <v>1207</v>
      </c>
      <c r="BH43" s="203"/>
      <c r="BI43" s="94">
        <v>2</v>
      </c>
      <c r="BJ43" s="120">
        <v>1100</v>
      </c>
      <c r="BK43" s="120">
        <v>2</v>
      </c>
      <c r="BL43" s="120" t="s">
        <v>91</v>
      </c>
      <c r="BM43" s="150">
        <v>5500000</v>
      </c>
      <c r="BN43" s="149">
        <v>5.5</v>
      </c>
      <c r="BO43" s="120"/>
      <c r="BP43" s="137"/>
      <c r="BQ43" s="137"/>
    </row>
    <row r="44" spans="1:69">
      <c r="A44" s="137"/>
      <c r="B44" s="137"/>
      <c r="C44" s="137"/>
      <c r="D44" s="137"/>
      <c r="E44" s="137"/>
      <c r="F44" s="137"/>
      <c r="G44" s="205"/>
      <c r="H44" s="100">
        <v>13</v>
      </c>
      <c r="I44" s="120">
        <v>1700</v>
      </c>
      <c r="J44" s="120">
        <v>42</v>
      </c>
      <c r="K44" s="120">
        <f>J44*5</f>
        <v>210</v>
      </c>
      <c r="L44" s="120">
        <f>K44*1.1/3</f>
        <v>77.000000000000014</v>
      </c>
      <c r="M44" s="150">
        <v>9800000</v>
      </c>
      <c r="N44" s="149">
        <v>12</v>
      </c>
      <c r="O44" s="120"/>
      <c r="P44" s="137"/>
      <c r="Q44" s="137"/>
      <c r="R44" s="137"/>
      <c r="S44" s="137"/>
      <c r="T44" s="137"/>
      <c r="U44" s="137"/>
      <c r="V44" s="137"/>
      <c r="W44" s="137"/>
      <c r="X44" s="137"/>
      <c r="Y44" s="137"/>
      <c r="Z44" s="137"/>
      <c r="AA44" s="137"/>
      <c r="AB44" s="391"/>
      <c r="AC44" s="122">
        <v>15</v>
      </c>
      <c r="AD44" s="120">
        <v>3000</v>
      </c>
      <c r="AE44" s="120">
        <v>95</v>
      </c>
      <c r="AF44" s="120">
        <f t="shared" si="3"/>
        <v>123.5</v>
      </c>
      <c r="AG44" s="150">
        <v>19200000</v>
      </c>
      <c r="AH44" s="149">
        <v>18</v>
      </c>
      <c r="AI44" s="120"/>
      <c r="AJ44" s="202"/>
      <c r="AK44" s="202"/>
      <c r="AL44" s="137"/>
      <c r="AM44" s="140" t="s">
        <v>1117</v>
      </c>
      <c r="AN44" s="207"/>
      <c r="AO44" s="87">
        <v>1</v>
      </c>
      <c r="AP44" s="120">
        <v>425</v>
      </c>
      <c r="AQ44" s="120">
        <v>2</v>
      </c>
      <c r="AR44" s="120" t="s">
        <v>5</v>
      </c>
      <c r="AS44" s="150">
        <v>150000</v>
      </c>
      <c r="AT44" s="149">
        <v>0.33333333333333298</v>
      </c>
      <c r="AU44" s="137"/>
      <c r="AV44" s="137"/>
      <c r="AW44" s="137" t="s">
        <v>1129</v>
      </c>
      <c r="AX44" s="205"/>
      <c r="AY44" s="91">
        <v>3</v>
      </c>
      <c r="AZ44" s="120">
        <v>720</v>
      </c>
      <c r="BA44" s="120">
        <v>1</v>
      </c>
      <c r="BB44" s="120" t="s">
        <v>1208</v>
      </c>
      <c r="BC44" s="150">
        <v>600000</v>
      </c>
      <c r="BD44" s="149">
        <v>2</v>
      </c>
      <c r="BE44" s="137"/>
      <c r="BF44" s="202"/>
      <c r="BG44" s="137" t="s">
        <v>1129</v>
      </c>
      <c r="BH44" s="205"/>
      <c r="BI44" s="94">
        <v>3</v>
      </c>
      <c r="BJ44" s="120">
        <v>1200</v>
      </c>
      <c r="BK44" s="120">
        <v>3</v>
      </c>
      <c r="BL44" s="120" t="s">
        <v>94</v>
      </c>
      <c r="BM44" s="150">
        <v>7500000</v>
      </c>
      <c r="BN44" s="149">
        <v>7</v>
      </c>
      <c r="BO44" s="120"/>
      <c r="BP44" s="137"/>
      <c r="BQ44" s="137"/>
    </row>
    <row r="45" spans="1:69">
      <c r="A45" s="137"/>
      <c r="B45" s="137"/>
      <c r="C45" s="137"/>
      <c r="D45" s="137"/>
      <c r="E45" s="137"/>
      <c r="F45" s="137"/>
      <c r="G45" s="202"/>
      <c r="H45" s="112">
        <v>14</v>
      </c>
      <c r="I45" s="120">
        <v>1950</v>
      </c>
      <c r="J45" s="120">
        <v>48</v>
      </c>
      <c r="K45" s="120">
        <f>J45*5</f>
        <v>240</v>
      </c>
      <c r="L45" s="120">
        <f>INT(K45*1.1/3)</f>
        <v>88</v>
      </c>
      <c r="M45" s="150">
        <v>16500000</v>
      </c>
      <c r="N45" s="149">
        <v>16</v>
      </c>
      <c r="O45" s="137"/>
      <c r="P45" s="137" t="s">
        <v>1209</v>
      </c>
      <c r="Q45" s="137"/>
      <c r="R45" s="137" t="s">
        <v>1210</v>
      </c>
      <c r="S45" s="137"/>
      <c r="T45" s="137"/>
      <c r="U45" s="137"/>
      <c r="V45" s="137"/>
      <c r="W45" s="137"/>
      <c r="X45" s="137"/>
      <c r="Y45" s="137"/>
      <c r="Z45" s="137"/>
      <c r="AA45" s="137" t="s">
        <v>1211</v>
      </c>
      <c r="AB45" s="137"/>
      <c r="AC45" s="137" t="s">
        <v>1212</v>
      </c>
      <c r="AD45" s="137"/>
      <c r="AE45" s="137"/>
      <c r="AF45" s="137"/>
      <c r="AG45" s="137"/>
      <c r="AH45" s="137"/>
      <c r="AI45" s="137"/>
      <c r="AJ45" s="202"/>
      <c r="AK45" s="202"/>
      <c r="AL45" s="137"/>
      <c r="AM45" s="134" t="s">
        <v>1213</v>
      </c>
      <c r="AN45" s="203"/>
      <c r="AO45" s="87">
        <v>2</v>
      </c>
      <c r="AP45" s="120">
        <v>470</v>
      </c>
      <c r="AQ45" s="120">
        <v>4</v>
      </c>
      <c r="AR45" s="120" t="s">
        <v>1214</v>
      </c>
      <c r="AS45" s="150">
        <v>300000</v>
      </c>
      <c r="AT45" s="149">
        <v>1</v>
      </c>
      <c r="AU45" s="137"/>
      <c r="AV45" s="137"/>
      <c r="AW45" s="202"/>
      <c r="AX45" s="205"/>
      <c r="AY45" s="91">
        <v>4</v>
      </c>
      <c r="AZ45" s="120">
        <v>780</v>
      </c>
      <c r="BA45" s="120">
        <v>1</v>
      </c>
      <c r="BB45" s="120" t="s">
        <v>70</v>
      </c>
      <c r="BC45" s="150">
        <v>1200000</v>
      </c>
      <c r="BD45" s="149">
        <v>4</v>
      </c>
      <c r="BE45" s="137"/>
      <c r="BF45" s="202"/>
      <c r="BG45" s="202"/>
      <c r="BH45" s="205"/>
      <c r="BI45" s="100">
        <v>4</v>
      </c>
      <c r="BJ45" s="120">
        <v>1300</v>
      </c>
      <c r="BK45" s="120">
        <v>3</v>
      </c>
      <c r="BL45" s="384" t="s">
        <v>97</v>
      </c>
      <c r="BM45" s="150">
        <v>11000000</v>
      </c>
      <c r="BN45" s="149">
        <v>10.5</v>
      </c>
      <c r="BO45" s="120"/>
      <c r="BP45" s="137"/>
      <c r="BQ45" s="137"/>
    </row>
    <row r="46" spans="1:69">
      <c r="A46" s="137"/>
      <c r="B46" s="137"/>
      <c r="C46" s="137"/>
      <c r="D46" s="137"/>
      <c r="E46" s="137"/>
      <c r="F46" s="137"/>
      <c r="G46" s="137"/>
      <c r="H46" s="113">
        <v>15</v>
      </c>
      <c r="I46" s="120">
        <v>2150</v>
      </c>
      <c r="J46" s="120">
        <v>54</v>
      </c>
      <c r="K46" s="120">
        <f>J46*5</f>
        <v>270</v>
      </c>
      <c r="L46" s="120">
        <f>INT(K46*1.1/3)</f>
        <v>99</v>
      </c>
      <c r="M46" s="150">
        <v>19000000</v>
      </c>
      <c r="N46" s="149">
        <v>18</v>
      </c>
      <c r="O46" s="137"/>
      <c r="P46" s="134" t="s">
        <v>1215</v>
      </c>
      <c r="Q46" s="203"/>
      <c r="R46" s="204" t="s">
        <v>243</v>
      </c>
      <c r="S46" s="136" t="s">
        <v>244</v>
      </c>
      <c r="T46" s="136" t="s">
        <v>245</v>
      </c>
      <c r="U46" s="136" t="s">
        <v>250</v>
      </c>
      <c r="V46" s="136" t="s">
        <v>1091</v>
      </c>
      <c r="W46" s="136" t="s">
        <v>1092</v>
      </c>
      <c r="X46" s="120"/>
      <c r="Y46" s="137"/>
      <c r="Z46" s="137"/>
      <c r="AA46" s="134" t="s">
        <v>1099</v>
      </c>
      <c r="AB46" s="203"/>
      <c r="AC46" s="204" t="s">
        <v>243</v>
      </c>
      <c r="AD46" s="136" t="s">
        <v>244</v>
      </c>
      <c r="AE46" s="136" t="s">
        <v>245</v>
      </c>
      <c r="AF46" s="136" t="s">
        <v>250</v>
      </c>
      <c r="AG46" s="136" t="s">
        <v>545</v>
      </c>
      <c r="AH46" s="136" t="s">
        <v>1091</v>
      </c>
      <c r="AI46" s="136" t="s">
        <v>1092</v>
      </c>
      <c r="AJ46" s="202"/>
      <c r="AK46" s="202"/>
      <c r="AL46" s="137"/>
      <c r="AM46" s="137" t="s">
        <v>1129</v>
      </c>
      <c r="AN46" s="205"/>
      <c r="AO46" s="99">
        <v>3</v>
      </c>
      <c r="AP46" s="120">
        <v>520</v>
      </c>
      <c r="AQ46" s="120">
        <v>6</v>
      </c>
      <c r="AR46" s="120" t="s">
        <v>17</v>
      </c>
      <c r="AS46" s="150">
        <v>600000</v>
      </c>
      <c r="AT46" s="149">
        <v>2</v>
      </c>
      <c r="AU46" s="137"/>
      <c r="AV46" s="137"/>
      <c r="AW46" s="137"/>
      <c r="AX46" s="205"/>
      <c r="AY46" s="92">
        <v>5</v>
      </c>
      <c r="AZ46" s="120">
        <v>840</v>
      </c>
      <c r="BA46" s="120">
        <v>1</v>
      </c>
      <c r="BB46" s="120" t="s">
        <v>76</v>
      </c>
      <c r="BC46" s="150">
        <v>2500000</v>
      </c>
      <c r="BD46" s="149">
        <v>6</v>
      </c>
      <c r="BE46" s="137"/>
      <c r="BF46" s="137"/>
      <c r="BG46" s="202"/>
      <c r="BH46" s="205"/>
      <c r="BI46" s="100">
        <v>5</v>
      </c>
      <c r="BJ46" s="120">
        <v>1400</v>
      </c>
      <c r="BK46" s="120">
        <v>3</v>
      </c>
      <c r="BL46" s="384" t="s">
        <v>102</v>
      </c>
      <c r="BM46" s="150">
        <v>12000000</v>
      </c>
      <c r="BN46" s="149">
        <v>12</v>
      </c>
      <c r="BO46" s="120"/>
      <c r="BP46" s="137"/>
      <c r="BQ46" s="137"/>
    </row>
    <row r="47" spans="1:69">
      <c r="A47" s="137"/>
      <c r="B47" s="137"/>
      <c r="C47" s="137"/>
      <c r="D47" s="137"/>
      <c r="E47" s="137"/>
      <c r="F47" s="137"/>
      <c r="G47" s="137"/>
      <c r="H47" s="137"/>
      <c r="I47" s="137"/>
      <c r="J47" s="137"/>
      <c r="K47" s="137"/>
      <c r="L47" s="137"/>
      <c r="M47" s="120"/>
      <c r="N47" s="137"/>
      <c r="O47" s="137"/>
      <c r="P47" s="137" t="s">
        <v>1164</v>
      </c>
      <c r="Q47" s="205"/>
      <c r="R47" s="99">
        <v>1</v>
      </c>
      <c r="S47" s="120">
        <v>600</v>
      </c>
      <c r="T47" s="120">
        <v>34</v>
      </c>
      <c r="U47" s="151">
        <f>T47*0.6</f>
        <v>20.399999999999999</v>
      </c>
      <c r="V47" s="150">
        <v>300000</v>
      </c>
      <c r="W47" s="149">
        <v>8.3333333333333301E-2</v>
      </c>
      <c r="X47" s="120"/>
      <c r="Y47" s="137"/>
      <c r="Z47" s="137"/>
      <c r="AA47" s="137" t="s">
        <v>1216</v>
      </c>
      <c r="AB47" s="205"/>
      <c r="AC47" s="90">
        <v>1</v>
      </c>
      <c r="AD47" s="120">
        <v>650</v>
      </c>
      <c r="AE47" s="120">
        <v>24</v>
      </c>
      <c r="AF47" s="120">
        <f>AE47*1.1</f>
        <v>26.400000000000002</v>
      </c>
      <c r="AG47" s="120">
        <v>150</v>
      </c>
      <c r="AH47" s="150">
        <v>800000</v>
      </c>
      <c r="AI47" s="149">
        <v>1</v>
      </c>
      <c r="AJ47" s="202"/>
      <c r="AK47" s="202"/>
      <c r="AL47" s="137"/>
      <c r="AM47" s="137" t="s">
        <v>1217</v>
      </c>
      <c r="AN47" s="205"/>
      <c r="AO47" s="91">
        <v>4</v>
      </c>
      <c r="AP47" s="120">
        <v>600</v>
      </c>
      <c r="AQ47" s="120">
        <v>8</v>
      </c>
      <c r="AR47" s="120" t="s">
        <v>1218</v>
      </c>
      <c r="AS47" s="150">
        <v>1200000</v>
      </c>
      <c r="AT47" s="149">
        <v>3.5</v>
      </c>
      <c r="AU47" s="137"/>
      <c r="AV47" s="137"/>
      <c r="AW47" s="137"/>
      <c r="AX47" s="137"/>
      <c r="AY47" s="137"/>
      <c r="AZ47" s="137"/>
      <c r="BA47" s="137"/>
      <c r="BB47" s="137"/>
      <c r="BC47" s="137"/>
      <c r="BD47" s="137"/>
      <c r="BE47" s="137"/>
      <c r="BF47" s="137"/>
      <c r="BG47" s="137"/>
      <c r="BH47" s="205"/>
      <c r="BI47" s="121">
        <v>6</v>
      </c>
      <c r="BJ47" s="120">
        <v>1500</v>
      </c>
      <c r="BK47" s="120">
        <v>3</v>
      </c>
      <c r="BL47" s="384" t="s">
        <v>106</v>
      </c>
      <c r="BM47" s="150">
        <v>16500000</v>
      </c>
      <c r="BN47" s="149">
        <v>17</v>
      </c>
      <c r="BO47" s="120"/>
      <c r="BP47" s="137"/>
      <c r="BQ47" s="137"/>
    </row>
    <row r="48" spans="1:69">
      <c r="A48" s="137"/>
      <c r="B48" s="137"/>
      <c r="C48" s="137"/>
      <c r="D48" s="137"/>
      <c r="E48" s="137"/>
      <c r="F48" s="137"/>
      <c r="G48" s="137"/>
      <c r="H48" s="137"/>
      <c r="I48" s="137"/>
      <c r="J48" s="137"/>
      <c r="K48" s="137"/>
      <c r="L48" s="137"/>
      <c r="M48" s="120"/>
      <c r="N48" s="137"/>
      <c r="O48" s="137"/>
      <c r="P48" s="140" t="s">
        <v>624</v>
      </c>
      <c r="Q48" s="207"/>
      <c r="R48" s="99">
        <v>2</v>
      </c>
      <c r="S48" s="120">
        <v>630</v>
      </c>
      <c r="T48" s="120">
        <v>40</v>
      </c>
      <c r="U48" s="151">
        <f t="shared" ref="U48:U59" si="4">T48*0.6</f>
        <v>24</v>
      </c>
      <c r="V48" s="150">
        <v>450000</v>
      </c>
      <c r="W48" s="149">
        <v>0.20833333333333301</v>
      </c>
      <c r="X48" s="120"/>
      <c r="Y48" s="137"/>
      <c r="Z48" s="137"/>
      <c r="AA48" s="140" t="s">
        <v>698</v>
      </c>
      <c r="AB48" s="207"/>
      <c r="AC48" s="90">
        <v>2</v>
      </c>
      <c r="AD48" s="120">
        <v>700</v>
      </c>
      <c r="AE48" s="120">
        <v>28</v>
      </c>
      <c r="AF48" s="120">
        <f t="shared" ref="AF48:AF55" si="5">AE48*1.1</f>
        <v>30.800000000000004</v>
      </c>
      <c r="AG48" s="120">
        <v>180</v>
      </c>
      <c r="AH48" s="150">
        <v>1200000</v>
      </c>
      <c r="AI48" s="149">
        <v>1.5</v>
      </c>
      <c r="AJ48" s="202"/>
      <c r="AK48" s="202"/>
      <c r="AL48" s="137"/>
      <c r="AM48" s="137"/>
      <c r="AN48" s="205"/>
      <c r="AO48" s="92">
        <v>5</v>
      </c>
      <c r="AP48" s="120">
        <v>720</v>
      </c>
      <c r="AQ48" s="120">
        <v>10</v>
      </c>
      <c r="AR48" s="120" t="s">
        <v>35</v>
      </c>
      <c r="AS48" s="150">
        <v>2000000</v>
      </c>
      <c r="AT48" s="149">
        <v>4.25</v>
      </c>
      <c r="AU48" s="137"/>
      <c r="AV48" s="137"/>
      <c r="AW48" s="137"/>
      <c r="AX48" s="137"/>
      <c r="AY48" s="137"/>
      <c r="AZ48" s="137"/>
      <c r="BA48" s="137"/>
      <c r="BB48" s="137"/>
      <c r="BC48" s="137"/>
      <c r="BD48" s="137"/>
      <c r="BE48" s="137"/>
      <c r="BF48" s="137"/>
      <c r="BG48" s="137"/>
      <c r="BH48" s="205"/>
      <c r="BI48" s="122">
        <v>7</v>
      </c>
      <c r="BJ48" s="120">
        <v>1600</v>
      </c>
      <c r="BK48" s="120">
        <v>3</v>
      </c>
      <c r="BL48" s="384" t="s">
        <v>110</v>
      </c>
      <c r="BM48" s="150">
        <v>19000000</v>
      </c>
      <c r="BN48" s="149">
        <v>18</v>
      </c>
      <c r="BO48" s="120"/>
      <c r="BP48" s="137"/>
      <c r="BQ48" s="137"/>
    </row>
    <row r="49" spans="1:69">
      <c r="A49" s="137"/>
      <c r="B49" s="137"/>
      <c r="C49" s="137"/>
      <c r="D49" s="137"/>
      <c r="E49" s="137"/>
      <c r="F49" s="137" t="s">
        <v>1219</v>
      </c>
      <c r="G49" s="202"/>
      <c r="H49" s="137" t="s">
        <v>1220</v>
      </c>
      <c r="I49" s="202"/>
      <c r="J49" s="202"/>
      <c r="K49" s="202"/>
      <c r="L49" s="202"/>
      <c r="M49" s="120"/>
      <c r="N49" s="137"/>
      <c r="O49" s="137"/>
      <c r="P49" s="134" t="s">
        <v>1126</v>
      </c>
      <c r="Q49" s="203"/>
      <c r="R49" s="99">
        <v>3</v>
      </c>
      <c r="S49" s="120">
        <v>660</v>
      </c>
      <c r="T49" s="120">
        <v>48</v>
      </c>
      <c r="U49" s="151">
        <f t="shared" si="4"/>
        <v>28.799999999999997</v>
      </c>
      <c r="V49" s="150">
        <v>650000</v>
      </c>
      <c r="W49" s="149">
        <v>0.41666666666666702</v>
      </c>
      <c r="X49" s="120"/>
      <c r="Y49" s="137"/>
      <c r="Z49" s="137"/>
      <c r="AA49" s="134" t="s">
        <v>785</v>
      </c>
      <c r="AB49" s="203"/>
      <c r="AC49" s="91">
        <v>3</v>
      </c>
      <c r="AD49" s="120">
        <v>750</v>
      </c>
      <c r="AE49" s="120">
        <v>32</v>
      </c>
      <c r="AF49" s="120">
        <f t="shared" si="5"/>
        <v>35.200000000000003</v>
      </c>
      <c r="AG49" s="120">
        <v>220</v>
      </c>
      <c r="AH49" s="150">
        <v>1800000</v>
      </c>
      <c r="AI49" s="149">
        <v>2</v>
      </c>
      <c r="AJ49" s="202"/>
      <c r="AK49" s="202"/>
      <c r="AL49" s="137"/>
      <c r="AM49" s="137"/>
      <c r="AN49" s="202"/>
      <c r="AO49" s="396">
        <v>6</v>
      </c>
      <c r="AP49" s="120">
        <v>840</v>
      </c>
      <c r="AQ49" s="120">
        <v>10</v>
      </c>
      <c r="AR49" s="120" t="s">
        <v>41</v>
      </c>
      <c r="AS49" s="150">
        <v>3500000</v>
      </c>
      <c r="AT49" s="149">
        <v>5</v>
      </c>
      <c r="AU49" s="137"/>
      <c r="AV49" s="137"/>
      <c r="AW49" s="137"/>
      <c r="AX49" s="137"/>
      <c r="AY49" s="137"/>
      <c r="AZ49" s="137"/>
      <c r="BA49" s="137"/>
      <c r="BB49" s="137"/>
      <c r="BC49" s="137"/>
      <c r="BD49" s="137"/>
      <c r="BE49" s="137"/>
      <c r="BF49" s="137"/>
      <c r="BG49" s="137"/>
      <c r="BH49" s="137"/>
      <c r="BI49" s="137"/>
      <c r="BJ49" s="137"/>
      <c r="BK49" s="137"/>
      <c r="BL49" s="137"/>
      <c r="BM49" s="137"/>
      <c r="BN49" s="137"/>
      <c r="BO49" s="137"/>
      <c r="BP49" s="137"/>
      <c r="BQ49" s="137"/>
    </row>
    <row r="50" spans="1:69">
      <c r="A50" s="137"/>
      <c r="B50" s="137"/>
      <c r="C50" s="137"/>
      <c r="D50" s="137"/>
      <c r="E50" s="137"/>
      <c r="F50" s="134" t="s">
        <v>1221</v>
      </c>
      <c r="G50" s="203"/>
      <c r="H50" s="204" t="s">
        <v>243</v>
      </c>
      <c r="I50" s="136" t="s">
        <v>244</v>
      </c>
      <c r="J50" s="136" t="s">
        <v>1222</v>
      </c>
      <c r="K50" s="136" t="s">
        <v>1091</v>
      </c>
      <c r="L50" s="136" t="s">
        <v>1092</v>
      </c>
      <c r="M50" s="120"/>
      <c r="N50" s="137"/>
      <c r="O50" s="137"/>
      <c r="P50" s="137" t="s">
        <v>1223</v>
      </c>
      <c r="Q50" s="205"/>
      <c r="R50" s="90">
        <v>4</v>
      </c>
      <c r="S50" s="120">
        <v>690</v>
      </c>
      <c r="T50" s="120">
        <v>55</v>
      </c>
      <c r="U50" s="151">
        <f t="shared" si="4"/>
        <v>33</v>
      </c>
      <c r="V50" s="150">
        <v>850000</v>
      </c>
      <c r="W50" s="149">
        <v>0.75</v>
      </c>
      <c r="X50" s="120"/>
      <c r="Y50" s="137"/>
      <c r="Z50" s="137"/>
      <c r="AA50" s="137" t="s">
        <v>1107</v>
      </c>
      <c r="AB50" s="205"/>
      <c r="AC50" s="92">
        <v>4</v>
      </c>
      <c r="AD50" s="120">
        <v>850</v>
      </c>
      <c r="AE50" s="120">
        <v>40</v>
      </c>
      <c r="AF50" s="120">
        <f t="shared" si="5"/>
        <v>44</v>
      </c>
      <c r="AG50" s="120">
        <v>260</v>
      </c>
      <c r="AH50" s="150">
        <v>2600000</v>
      </c>
      <c r="AI50" s="149">
        <v>3.5</v>
      </c>
      <c r="AJ50" s="202"/>
      <c r="AK50" s="202"/>
      <c r="AL50" s="137"/>
      <c r="AM50" s="137"/>
      <c r="AN50" s="137"/>
      <c r="AO50" s="100">
        <v>7</v>
      </c>
      <c r="AP50" s="120">
        <v>960</v>
      </c>
      <c r="AQ50" s="120">
        <v>10</v>
      </c>
      <c r="AR50" s="120" t="s">
        <v>46</v>
      </c>
      <c r="AS50" s="150">
        <v>9000000</v>
      </c>
      <c r="AT50" s="149">
        <v>9</v>
      </c>
      <c r="AU50" s="137"/>
      <c r="AV50" s="137"/>
      <c r="AW50" s="137" t="s">
        <v>1224</v>
      </c>
      <c r="AX50" s="137"/>
      <c r="AY50" s="137"/>
      <c r="AZ50" s="137"/>
      <c r="BA50" s="137"/>
      <c r="BB50" s="137"/>
      <c r="BC50" s="137"/>
      <c r="BD50" s="137"/>
      <c r="BE50" s="137"/>
      <c r="BF50" s="137"/>
      <c r="BG50" s="137" t="s">
        <v>1225</v>
      </c>
      <c r="BH50" s="137"/>
      <c r="BI50" s="137"/>
      <c r="BJ50" s="137"/>
      <c r="BK50" s="137"/>
      <c r="BL50" s="137"/>
      <c r="BM50" s="137"/>
      <c r="BN50" s="137"/>
      <c r="BO50" s="137"/>
      <c r="BP50" s="137"/>
      <c r="BQ50" s="137"/>
    </row>
    <row r="51" spans="1:69">
      <c r="A51" s="137"/>
      <c r="B51" s="137"/>
      <c r="C51" s="137"/>
      <c r="D51" s="137"/>
      <c r="E51" s="137"/>
      <c r="F51" s="137" t="s">
        <v>1226</v>
      </c>
      <c r="G51" s="205"/>
      <c r="H51" s="87">
        <v>1</v>
      </c>
      <c r="I51" s="120">
        <v>750</v>
      </c>
      <c r="J51" s="389">
        <v>1.6</v>
      </c>
      <c r="K51" s="150">
        <v>400000</v>
      </c>
      <c r="L51" s="149">
        <v>0.25</v>
      </c>
      <c r="M51" s="120"/>
      <c r="N51" s="137"/>
      <c r="O51" s="137"/>
      <c r="P51" s="137" t="s">
        <v>1120</v>
      </c>
      <c r="Q51" s="205"/>
      <c r="R51" s="90">
        <v>5</v>
      </c>
      <c r="S51" s="120">
        <v>730</v>
      </c>
      <c r="T51" s="120">
        <v>64</v>
      </c>
      <c r="U51" s="151">
        <f t="shared" si="4"/>
        <v>38.4</v>
      </c>
      <c r="V51" s="150">
        <v>1100000</v>
      </c>
      <c r="W51" s="149">
        <v>1</v>
      </c>
      <c r="X51" s="120"/>
      <c r="Y51" s="137"/>
      <c r="Z51" s="137"/>
      <c r="AA51" s="137" t="s">
        <v>1117</v>
      </c>
      <c r="AB51" s="205"/>
      <c r="AC51" s="93">
        <v>5</v>
      </c>
      <c r="AD51" s="120">
        <v>1050</v>
      </c>
      <c r="AE51" s="120">
        <v>48</v>
      </c>
      <c r="AF51" s="120">
        <f t="shared" si="5"/>
        <v>52.800000000000004</v>
      </c>
      <c r="AG51" s="120">
        <v>300</v>
      </c>
      <c r="AH51" s="150">
        <v>3500000</v>
      </c>
      <c r="AI51" s="149">
        <v>4.25</v>
      </c>
      <c r="AJ51" s="202"/>
      <c r="AK51" s="202"/>
      <c r="AL51" s="137"/>
      <c r="AM51" s="137"/>
      <c r="AN51" s="137"/>
      <c r="AO51" s="137"/>
      <c r="AP51" s="137"/>
      <c r="AQ51" s="137"/>
      <c r="AR51" s="137"/>
      <c r="AS51" s="137"/>
      <c r="AT51" s="137"/>
      <c r="AU51" s="137"/>
      <c r="AV51" s="202"/>
      <c r="AW51" s="134" t="s">
        <v>1107</v>
      </c>
      <c r="AX51" s="203"/>
      <c r="AY51" s="204" t="s">
        <v>243</v>
      </c>
      <c r="AZ51" s="136" t="s">
        <v>244</v>
      </c>
      <c r="BA51" s="136" t="s">
        <v>1227</v>
      </c>
      <c r="BB51" s="136" t="s">
        <v>1228</v>
      </c>
      <c r="BC51" s="136" t="s">
        <v>1229</v>
      </c>
      <c r="BD51" s="136" t="s">
        <v>1091</v>
      </c>
      <c r="BE51" s="136" t="s">
        <v>1092</v>
      </c>
      <c r="BF51" s="137"/>
      <c r="BG51" s="134" t="s">
        <v>1107</v>
      </c>
      <c r="BH51" s="203"/>
      <c r="BI51" s="204" t="s">
        <v>243</v>
      </c>
      <c r="BJ51" s="136" t="s">
        <v>244</v>
      </c>
      <c r="BK51" s="136" t="s">
        <v>1227</v>
      </c>
      <c r="BL51" s="136" t="s">
        <v>1228</v>
      </c>
      <c r="BM51" s="136" t="s">
        <v>1229</v>
      </c>
      <c r="BN51" s="136" t="s">
        <v>1091</v>
      </c>
      <c r="BO51" s="136" t="s">
        <v>1092</v>
      </c>
      <c r="BP51" s="137"/>
      <c r="BQ51" s="137"/>
    </row>
    <row r="52" spans="1:69">
      <c r="A52" s="137"/>
      <c r="B52" s="137"/>
      <c r="C52" s="137"/>
      <c r="D52" s="137"/>
      <c r="E52" s="137"/>
      <c r="F52" s="140" t="s">
        <v>1195</v>
      </c>
      <c r="G52" s="207"/>
      <c r="H52" s="87">
        <v>2</v>
      </c>
      <c r="I52" s="120">
        <v>800</v>
      </c>
      <c r="J52" s="389">
        <v>2</v>
      </c>
      <c r="K52" s="150">
        <v>700000</v>
      </c>
      <c r="L52" s="149">
        <v>0.5</v>
      </c>
      <c r="M52" s="120"/>
      <c r="N52" s="137"/>
      <c r="O52" s="137"/>
      <c r="P52" s="140"/>
      <c r="Q52" s="207"/>
      <c r="R52" s="90">
        <v>6</v>
      </c>
      <c r="S52" s="120">
        <v>770</v>
      </c>
      <c r="T52" s="120">
        <v>75</v>
      </c>
      <c r="U52" s="151">
        <f t="shared" si="4"/>
        <v>45</v>
      </c>
      <c r="V52" s="150">
        <v>1300000</v>
      </c>
      <c r="W52" s="149">
        <v>2</v>
      </c>
      <c r="X52" s="120"/>
      <c r="Y52" s="137"/>
      <c r="Z52" s="137"/>
      <c r="AA52" s="134" t="s">
        <v>1230</v>
      </c>
      <c r="AB52" s="203"/>
      <c r="AC52" s="93">
        <v>6</v>
      </c>
      <c r="AD52" s="120">
        <v>1300</v>
      </c>
      <c r="AE52" s="120">
        <v>56</v>
      </c>
      <c r="AF52" s="120">
        <f t="shared" si="5"/>
        <v>61.600000000000009</v>
      </c>
      <c r="AG52" s="120">
        <v>350</v>
      </c>
      <c r="AH52" s="150">
        <v>5000000</v>
      </c>
      <c r="AI52" s="149">
        <v>6.25</v>
      </c>
      <c r="AJ52" s="202"/>
      <c r="AK52" s="202"/>
      <c r="AL52" s="137"/>
      <c r="AM52" s="137" t="s">
        <v>1231</v>
      </c>
      <c r="AN52" s="137"/>
      <c r="AO52" s="137"/>
      <c r="AP52" s="137"/>
      <c r="AQ52" s="137"/>
      <c r="AR52" s="137"/>
      <c r="AS52" s="137"/>
      <c r="AT52" s="137"/>
      <c r="AU52" s="137"/>
      <c r="AV52" s="202"/>
      <c r="AW52" s="140" t="s">
        <v>1117</v>
      </c>
      <c r="AX52" s="319"/>
      <c r="AY52" s="87">
        <v>1</v>
      </c>
      <c r="AZ52" s="120">
        <v>400</v>
      </c>
      <c r="BA52" s="398">
        <v>200</v>
      </c>
      <c r="BB52" s="120">
        <v>500</v>
      </c>
      <c r="BC52" s="120">
        <v>6</v>
      </c>
      <c r="BD52" s="120">
        <v>150</v>
      </c>
      <c r="BE52" s="387">
        <v>1.15740740740741E-4</v>
      </c>
      <c r="BF52" s="137"/>
      <c r="BG52" s="140" t="s">
        <v>1117</v>
      </c>
      <c r="BH52" s="402"/>
      <c r="BI52" s="403">
        <v>1</v>
      </c>
      <c r="BJ52" s="120">
        <v>800</v>
      </c>
      <c r="BK52" s="398">
        <v>20</v>
      </c>
      <c r="BL52" s="120">
        <v>160</v>
      </c>
      <c r="BM52" s="120">
        <v>1</v>
      </c>
      <c r="BN52" s="150">
        <v>500000</v>
      </c>
      <c r="BO52" s="407">
        <v>0.25</v>
      </c>
      <c r="BP52" s="137"/>
      <c r="BQ52" s="137"/>
    </row>
    <row r="53" spans="1:69">
      <c r="A53" s="137"/>
      <c r="B53" s="137"/>
      <c r="C53" s="137"/>
      <c r="D53" s="137"/>
      <c r="E53" s="137"/>
      <c r="F53" s="137" t="s">
        <v>1223</v>
      </c>
      <c r="G53" s="205"/>
      <c r="H53" s="99">
        <v>3</v>
      </c>
      <c r="I53" s="120">
        <v>850</v>
      </c>
      <c r="J53" s="389">
        <v>2.4</v>
      </c>
      <c r="K53" s="150">
        <v>1100000</v>
      </c>
      <c r="L53" s="149">
        <v>0.75</v>
      </c>
      <c r="M53" s="120"/>
      <c r="N53" s="137"/>
      <c r="O53" s="137"/>
      <c r="P53" s="137" t="s">
        <v>1232</v>
      </c>
      <c r="Q53" s="203"/>
      <c r="R53" s="91">
        <v>7</v>
      </c>
      <c r="S53" s="120">
        <v>810</v>
      </c>
      <c r="T53" s="120">
        <v>87</v>
      </c>
      <c r="U53" s="151">
        <f t="shared" si="4"/>
        <v>52.199999999999996</v>
      </c>
      <c r="V53" s="150">
        <v>1800000</v>
      </c>
      <c r="W53" s="149">
        <v>3</v>
      </c>
      <c r="X53" s="120"/>
      <c r="Y53" s="137"/>
      <c r="Z53" s="137"/>
      <c r="AA53" s="137" t="s">
        <v>1233</v>
      </c>
      <c r="AB53" s="205"/>
      <c r="AC53" s="94">
        <v>7</v>
      </c>
      <c r="AD53" s="120">
        <v>1600</v>
      </c>
      <c r="AE53" s="120">
        <v>64</v>
      </c>
      <c r="AF53" s="120">
        <f t="shared" si="5"/>
        <v>70.400000000000006</v>
      </c>
      <c r="AG53" s="120">
        <v>400</v>
      </c>
      <c r="AH53" s="150">
        <v>7000000</v>
      </c>
      <c r="AI53" s="149">
        <v>9.75</v>
      </c>
      <c r="AJ53" s="202"/>
      <c r="AK53" s="202"/>
      <c r="AL53" s="137"/>
      <c r="AM53" s="134" t="s">
        <v>1107</v>
      </c>
      <c r="AN53" s="203"/>
      <c r="AO53" s="204" t="s">
        <v>243</v>
      </c>
      <c r="AP53" s="136" t="s">
        <v>244</v>
      </c>
      <c r="AQ53" s="136" t="s">
        <v>1227</v>
      </c>
      <c r="AR53" s="136" t="s">
        <v>1228</v>
      </c>
      <c r="AS53" s="136" t="s">
        <v>1229</v>
      </c>
      <c r="AT53" s="136" t="s">
        <v>1091</v>
      </c>
      <c r="AU53" s="136" t="s">
        <v>1092</v>
      </c>
      <c r="AV53" s="202"/>
      <c r="AW53" s="134" t="s">
        <v>1234</v>
      </c>
      <c r="AX53" s="320"/>
      <c r="AY53" s="87">
        <v>2</v>
      </c>
      <c r="AZ53" s="120">
        <v>440</v>
      </c>
      <c r="BA53" s="398">
        <v>400</v>
      </c>
      <c r="BB53" s="120">
        <v>1000</v>
      </c>
      <c r="BC53" s="120">
        <v>15</v>
      </c>
      <c r="BD53" s="120">
        <v>300</v>
      </c>
      <c r="BE53" s="149">
        <v>6.9444444444444404E-4</v>
      </c>
      <c r="BF53" s="137"/>
      <c r="BG53" s="134" t="s">
        <v>1235</v>
      </c>
      <c r="BH53" s="404"/>
      <c r="BI53" s="403">
        <v>2</v>
      </c>
      <c r="BJ53" s="120">
        <v>860</v>
      </c>
      <c r="BK53" s="398">
        <v>30</v>
      </c>
      <c r="BL53" s="120">
        <v>300</v>
      </c>
      <c r="BM53" s="120">
        <v>1</v>
      </c>
      <c r="BN53" s="150">
        <v>700000</v>
      </c>
      <c r="BO53" s="407">
        <v>0.5</v>
      </c>
      <c r="BP53" s="137"/>
      <c r="BQ53" s="137"/>
    </row>
    <row r="54" spans="1:69">
      <c r="A54" s="137"/>
      <c r="B54" s="137"/>
      <c r="C54" s="137"/>
      <c r="D54" s="137"/>
      <c r="E54" s="137"/>
      <c r="F54" s="137" t="s">
        <v>1120</v>
      </c>
      <c r="G54" s="205"/>
      <c r="H54" s="90">
        <v>4</v>
      </c>
      <c r="I54" s="120">
        <v>900</v>
      </c>
      <c r="J54" s="389">
        <v>2.8</v>
      </c>
      <c r="K54" s="150">
        <v>1500000</v>
      </c>
      <c r="L54" s="149">
        <v>1</v>
      </c>
      <c r="M54" s="137"/>
      <c r="N54" s="137"/>
      <c r="O54" s="137"/>
      <c r="P54" s="137" t="s">
        <v>1236</v>
      </c>
      <c r="Q54" s="318"/>
      <c r="R54" s="92">
        <v>8</v>
      </c>
      <c r="S54" s="120">
        <v>850</v>
      </c>
      <c r="T54" s="120">
        <v>99</v>
      </c>
      <c r="U54" s="151">
        <f t="shared" si="4"/>
        <v>59.4</v>
      </c>
      <c r="V54" s="150">
        <v>2100000</v>
      </c>
      <c r="W54" s="149">
        <v>6.6666666666666696</v>
      </c>
      <c r="X54" s="120"/>
      <c r="Y54" s="137"/>
      <c r="Z54" s="137"/>
      <c r="AA54" s="202"/>
      <c r="AB54" s="205"/>
      <c r="AC54" s="100">
        <v>8</v>
      </c>
      <c r="AD54" s="120">
        <v>1900</v>
      </c>
      <c r="AE54" s="120">
        <v>72</v>
      </c>
      <c r="AF54" s="120">
        <f t="shared" si="5"/>
        <v>79.2</v>
      </c>
      <c r="AG54" s="120">
        <v>450</v>
      </c>
      <c r="AH54" s="150">
        <v>11000000</v>
      </c>
      <c r="AI54" s="149">
        <v>12</v>
      </c>
      <c r="AJ54" s="202"/>
      <c r="AK54" s="202"/>
      <c r="AL54" s="137"/>
      <c r="AM54" s="140" t="s">
        <v>1117</v>
      </c>
      <c r="AN54" s="319"/>
      <c r="AO54" s="87">
        <v>1</v>
      </c>
      <c r="AP54" s="120">
        <v>400</v>
      </c>
      <c r="AQ54" s="398">
        <v>200</v>
      </c>
      <c r="AR54" s="120">
        <v>500</v>
      </c>
      <c r="AS54" s="120">
        <v>6</v>
      </c>
      <c r="AT54" s="120">
        <v>150</v>
      </c>
      <c r="AU54" s="387">
        <v>1.15740740740741E-4</v>
      </c>
      <c r="AV54" s="202"/>
      <c r="AW54" s="137" t="s">
        <v>1116</v>
      </c>
      <c r="AX54" s="318"/>
      <c r="AY54" s="87">
        <v>3</v>
      </c>
      <c r="AZ54" s="120">
        <v>480</v>
      </c>
      <c r="BA54" s="398">
        <v>600</v>
      </c>
      <c r="BB54" s="120">
        <v>1500</v>
      </c>
      <c r="BC54" s="120">
        <v>25</v>
      </c>
      <c r="BD54" s="120">
        <v>700</v>
      </c>
      <c r="BE54" s="149">
        <v>2.7777777777777801E-3</v>
      </c>
      <c r="BF54" s="137"/>
      <c r="BG54" s="137" t="s">
        <v>1129</v>
      </c>
      <c r="BH54" s="202"/>
      <c r="BI54" s="403">
        <v>3</v>
      </c>
      <c r="BJ54" s="120">
        <v>920</v>
      </c>
      <c r="BK54" s="398">
        <v>45</v>
      </c>
      <c r="BL54" s="120">
        <v>540</v>
      </c>
      <c r="BM54" s="120">
        <v>1</v>
      </c>
      <c r="BN54" s="150">
        <v>900000</v>
      </c>
      <c r="BO54" s="407">
        <v>0.75</v>
      </c>
      <c r="BP54" s="137"/>
      <c r="BQ54" s="137"/>
    </row>
    <row r="55" spans="1:69">
      <c r="A55" s="137"/>
      <c r="B55" s="137"/>
      <c r="C55" s="137"/>
      <c r="D55" s="137"/>
      <c r="E55" s="137"/>
      <c r="F55" s="140" t="s">
        <v>1237</v>
      </c>
      <c r="G55" s="207"/>
      <c r="H55" s="91">
        <v>5</v>
      </c>
      <c r="I55" s="120">
        <v>950</v>
      </c>
      <c r="J55" s="389">
        <v>3.2</v>
      </c>
      <c r="K55" s="150">
        <v>2000000</v>
      </c>
      <c r="L55" s="149">
        <v>2</v>
      </c>
      <c r="M55" s="137"/>
      <c r="N55" s="137"/>
      <c r="O55" s="137"/>
      <c r="P55" s="137" t="s">
        <v>1238</v>
      </c>
      <c r="Q55" s="318"/>
      <c r="R55" s="93">
        <v>9</v>
      </c>
      <c r="S55" s="120">
        <v>900</v>
      </c>
      <c r="T55" s="120">
        <v>110</v>
      </c>
      <c r="U55" s="151">
        <f t="shared" si="4"/>
        <v>66</v>
      </c>
      <c r="V55" s="150">
        <v>3100000</v>
      </c>
      <c r="W55" s="149">
        <v>5.5</v>
      </c>
      <c r="X55" s="120"/>
      <c r="Y55" s="137"/>
      <c r="Z55" s="137"/>
      <c r="AA55" s="137"/>
      <c r="AB55" s="391"/>
      <c r="AC55" s="121">
        <v>9</v>
      </c>
      <c r="AD55" s="120">
        <v>2300</v>
      </c>
      <c r="AE55" s="120">
        <v>84</v>
      </c>
      <c r="AF55" s="120">
        <f t="shared" si="5"/>
        <v>92.4</v>
      </c>
      <c r="AG55" s="120">
        <v>500</v>
      </c>
      <c r="AH55" s="150">
        <v>17500000</v>
      </c>
      <c r="AI55" s="149">
        <v>17</v>
      </c>
      <c r="AJ55" s="202"/>
      <c r="AK55" s="202"/>
      <c r="AL55" s="137"/>
      <c r="AM55" s="134" t="s">
        <v>1239</v>
      </c>
      <c r="AN55" s="320"/>
      <c r="AO55" s="87">
        <v>2</v>
      </c>
      <c r="AP55" s="120">
        <v>440</v>
      </c>
      <c r="AQ55" s="398">
        <v>400</v>
      </c>
      <c r="AR55" s="120">
        <v>1000</v>
      </c>
      <c r="AS55" s="120">
        <v>15</v>
      </c>
      <c r="AT55" s="120">
        <v>300</v>
      </c>
      <c r="AU55" s="149">
        <v>6.9444444444444404E-4</v>
      </c>
      <c r="AV55" s="202"/>
      <c r="AW55" s="386"/>
      <c r="AX55" s="318"/>
      <c r="AY55" s="87">
        <v>4</v>
      </c>
      <c r="AZ55" s="120">
        <v>520</v>
      </c>
      <c r="BA55" s="398">
        <v>800</v>
      </c>
      <c r="BB55" s="120">
        <v>2500</v>
      </c>
      <c r="BC55" s="120">
        <v>40</v>
      </c>
      <c r="BD55" s="120">
        <v>1400</v>
      </c>
      <c r="BE55" s="149">
        <v>6.9444444444444397E-3</v>
      </c>
      <c r="BF55" s="137"/>
      <c r="BG55" s="386"/>
      <c r="BH55" s="202"/>
      <c r="BI55" s="405">
        <v>4</v>
      </c>
      <c r="BJ55" s="120">
        <v>980</v>
      </c>
      <c r="BK55" s="398">
        <v>60</v>
      </c>
      <c r="BL55" s="120">
        <v>840</v>
      </c>
      <c r="BM55" s="120">
        <v>2</v>
      </c>
      <c r="BN55" s="150">
        <v>1200000</v>
      </c>
      <c r="BO55" s="407">
        <v>1</v>
      </c>
      <c r="BP55" s="137"/>
      <c r="BQ55" s="137"/>
    </row>
    <row r="56" spans="1:69">
      <c r="A56" s="137"/>
      <c r="B56" s="137"/>
      <c r="C56" s="137"/>
      <c r="D56" s="137"/>
      <c r="E56" s="137"/>
      <c r="F56" s="137" t="s">
        <v>1240</v>
      </c>
      <c r="G56" s="135"/>
      <c r="H56" s="92">
        <v>6</v>
      </c>
      <c r="I56" s="120">
        <v>1000</v>
      </c>
      <c r="J56" s="389">
        <v>3.6</v>
      </c>
      <c r="K56" s="150">
        <v>2500000</v>
      </c>
      <c r="L56" s="149">
        <v>2.5</v>
      </c>
      <c r="M56" s="137"/>
      <c r="N56" s="137"/>
      <c r="O56" s="137"/>
      <c r="P56" s="137" t="s">
        <v>1241</v>
      </c>
      <c r="Q56" s="318"/>
      <c r="R56" s="94">
        <v>10</v>
      </c>
      <c r="S56" s="120">
        <v>980</v>
      </c>
      <c r="T56" s="120">
        <v>120</v>
      </c>
      <c r="U56" s="151">
        <f t="shared" si="4"/>
        <v>72</v>
      </c>
      <c r="V56" s="150">
        <v>5600000</v>
      </c>
      <c r="W56" s="149">
        <v>9.75</v>
      </c>
      <c r="X56" s="120"/>
      <c r="Y56" s="137"/>
      <c r="Z56" s="137"/>
      <c r="AA56" s="137"/>
      <c r="AB56" s="137"/>
      <c r="AC56" s="113">
        <v>10</v>
      </c>
      <c r="AD56" s="120">
        <v>2500</v>
      </c>
      <c r="AE56" s="120">
        <v>94</v>
      </c>
      <c r="AF56" s="120">
        <f t="shared" ref="AF56" si="6">AE56*1.1</f>
        <v>103.4</v>
      </c>
      <c r="AG56" s="120">
        <v>550</v>
      </c>
      <c r="AH56" s="150">
        <v>20000000</v>
      </c>
      <c r="AI56" s="149">
        <v>18</v>
      </c>
      <c r="AJ56" s="202"/>
      <c r="AK56" s="202"/>
      <c r="AL56" s="137"/>
      <c r="AM56" s="137" t="s">
        <v>1129</v>
      </c>
      <c r="AN56" s="318"/>
      <c r="AO56" s="87">
        <v>3</v>
      </c>
      <c r="AP56" s="120">
        <v>480</v>
      </c>
      <c r="AQ56" s="398">
        <v>600</v>
      </c>
      <c r="AR56" s="120">
        <v>1500</v>
      </c>
      <c r="AS56" s="120">
        <v>25</v>
      </c>
      <c r="AT56" s="120">
        <v>700</v>
      </c>
      <c r="AU56" s="149">
        <v>2.7777777777777801E-3</v>
      </c>
      <c r="AV56" s="202"/>
      <c r="AW56" s="137"/>
      <c r="AX56" s="318"/>
      <c r="AY56" s="87">
        <v>5</v>
      </c>
      <c r="AZ56" s="120">
        <v>560</v>
      </c>
      <c r="BA56" s="398">
        <v>1000</v>
      </c>
      <c r="BB56" s="120">
        <v>10000</v>
      </c>
      <c r="BC56" s="120">
        <v>60</v>
      </c>
      <c r="BD56" s="120">
        <v>3000</v>
      </c>
      <c r="BE56" s="149">
        <v>2.7777777777777801E-2</v>
      </c>
      <c r="BF56" s="137"/>
      <c r="BG56" s="137"/>
      <c r="BH56" s="202"/>
      <c r="BI56" s="405">
        <v>5</v>
      </c>
      <c r="BJ56" s="120">
        <v>1060</v>
      </c>
      <c r="BK56" s="398">
        <v>80</v>
      </c>
      <c r="BL56" s="120">
        <v>1280</v>
      </c>
      <c r="BM56" s="120">
        <v>2</v>
      </c>
      <c r="BN56" s="150">
        <v>1500000</v>
      </c>
      <c r="BO56" s="407">
        <v>1.5</v>
      </c>
      <c r="BP56" s="137"/>
      <c r="BQ56" s="137"/>
    </row>
    <row r="57" spans="1:69">
      <c r="A57" s="137"/>
      <c r="B57" s="137"/>
      <c r="C57" s="137"/>
      <c r="D57" s="137"/>
      <c r="E57" s="137"/>
      <c r="F57" s="137" t="s">
        <v>1242</v>
      </c>
      <c r="G57" s="138"/>
      <c r="H57" s="93">
        <v>7</v>
      </c>
      <c r="I57" s="120">
        <v>1050</v>
      </c>
      <c r="J57" s="389">
        <v>4</v>
      </c>
      <c r="K57" s="150">
        <v>4200000</v>
      </c>
      <c r="L57" s="149">
        <v>3.5</v>
      </c>
      <c r="M57" s="137"/>
      <c r="N57" s="137"/>
      <c r="O57" s="137"/>
      <c r="P57" s="137"/>
      <c r="Q57" s="318"/>
      <c r="R57" s="100">
        <v>11</v>
      </c>
      <c r="S57" s="120">
        <v>1100</v>
      </c>
      <c r="T57" s="120">
        <v>130</v>
      </c>
      <c r="U57" s="151">
        <f t="shared" si="4"/>
        <v>78</v>
      </c>
      <c r="V57" s="150">
        <v>9700000</v>
      </c>
      <c r="W57" s="149">
        <v>12</v>
      </c>
      <c r="X57" s="120"/>
      <c r="Y57" s="137"/>
      <c r="Z57" s="137"/>
      <c r="AA57" s="137"/>
      <c r="AB57" s="137"/>
      <c r="AC57" s="137"/>
      <c r="AD57" s="137"/>
      <c r="AE57" s="137"/>
      <c r="AF57" s="137"/>
      <c r="AG57" s="137"/>
      <c r="AH57" s="137"/>
      <c r="AI57" s="137"/>
      <c r="AJ57" s="202"/>
      <c r="AK57" s="202"/>
      <c r="AL57" s="137"/>
      <c r="AM57" s="386"/>
      <c r="AN57" s="318"/>
      <c r="AO57" s="87">
        <v>4</v>
      </c>
      <c r="AP57" s="120">
        <v>520</v>
      </c>
      <c r="AQ57" s="398">
        <v>800</v>
      </c>
      <c r="AR57" s="120">
        <v>2500</v>
      </c>
      <c r="AS57" s="120">
        <v>40</v>
      </c>
      <c r="AT57" s="120">
        <v>1400</v>
      </c>
      <c r="AU57" s="149">
        <v>6.9444444444444397E-3</v>
      </c>
      <c r="AV57" s="202"/>
      <c r="AW57" s="137"/>
      <c r="AX57" s="318"/>
      <c r="AY57" s="87">
        <v>6</v>
      </c>
      <c r="AZ57" s="120">
        <v>600</v>
      </c>
      <c r="BA57" s="398">
        <v>1300</v>
      </c>
      <c r="BB57" s="120">
        <v>20000</v>
      </c>
      <c r="BC57" s="120">
        <v>100</v>
      </c>
      <c r="BD57" s="120">
        <v>7000</v>
      </c>
      <c r="BE57" s="149">
        <v>0.125</v>
      </c>
      <c r="BF57" s="137"/>
      <c r="BG57" s="137"/>
      <c r="BH57" s="202"/>
      <c r="BI57" s="405">
        <v>6</v>
      </c>
      <c r="BJ57" s="120">
        <v>1160</v>
      </c>
      <c r="BK57" s="398">
        <v>100</v>
      </c>
      <c r="BL57" s="120">
        <v>1800</v>
      </c>
      <c r="BM57" s="120">
        <v>3</v>
      </c>
      <c r="BN57" s="150">
        <v>1800000</v>
      </c>
      <c r="BO57" s="407">
        <v>2</v>
      </c>
      <c r="BP57" s="137"/>
      <c r="BQ57" s="137"/>
    </row>
    <row r="58" spans="1:69">
      <c r="A58" s="137"/>
      <c r="B58" s="137"/>
      <c r="C58" s="137"/>
      <c r="D58" s="137"/>
      <c r="E58" s="137"/>
      <c r="F58" s="137" t="s">
        <v>1243</v>
      </c>
      <c r="G58" s="138"/>
      <c r="H58" s="137" t="s">
        <v>1244</v>
      </c>
      <c r="I58" s="137"/>
      <c r="J58" s="137"/>
      <c r="K58" s="137"/>
      <c r="L58" s="137"/>
      <c r="M58" s="137"/>
      <c r="N58" s="137"/>
      <c r="O58" s="137"/>
      <c r="P58" s="137"/>
      <c r="Q58" s="318"/>
      <c r="R58" s="100">
        <v>12</v>
      </c>
      <c r="S58" s="120">
        <v>1200</v>
      </c>
      <c r="T58" s="120">
        <v>140</v>
      </c>
      <c r="U58" s="151">
        <f t="shared" si="4"/>
        <v>84</v>
      </c>
      <c r="V58" s="150">
        <v>11200000</v>
      </c>
      <c r="W58" s="149">
        <v>12.75</v>
      </c>
      <c r="X58" s="120"/>
      <c r="Y58" s="137"/>
      <c r="Z58" s="137"/>
      <c r="AA58" s="137"/>
      <c r="AB58" s="137"/>
      <c r="AC58" s="137"/>
      <c r="AD58" s="137"/>
      <c r="AE58" s="137"/>
      <c r="AF58" s="137"/>
      <c r="AG58" s="137"/>
      <c r="AH58" s="137"/>
      <c r="AI58" s="137"/>
      <c r="AJ58" s="202"/>
      <c r="AK58" s="202"/>
      <c r="AL58" s="137"/>
      <c r="AM58" s="137"/>
      <c r="AN58" s="318"/>
      <c r="AO58" s="87">
        <v>5</v>
      </c>
      <c r="AP58" s="120">
        <v>560</v>
      </c>
      <c r="AQ58" s="398">
        <v>1000</v>
      </c>
      <c r="AR58" s="120">
        <v>10000</v>
      </c>
      <c r="AS58" s="120">
        <v>60</v>
      </c>
      <c r="AT58" s="120">
        <v>3000</v>
      </c>
      <c r="AU58" s="149">
        <v>2.7777777777777801E-2</v>
      </c>
      <c r="AV58" s="202"/>
      <c r="AW58" s="137"/>
      <c r="AX58" s="318"/>
      <c r="AY58" s="87">
        <v>7</v>
      </c>
      <c r="AZ58" s="120">
        <v>640</v>
      </c>
      <c r="BA58" s="398">
        <v>1600</v>
      </c>
      <c r="BB58" s="120">
        <v>30000</v>
      </c>
      <c r="BC58" s="120">
        <v>160</v>
      </c>
      <c r="BD58" s="150">
        <v>14000</v>
      </c>
      <c r="BE58" s="149">
        <v>0.25</v>
      </c>
      <c r="BF58" s="137"/>
      <c r="BG58" s="137"/>
      <c r="BH58" s="202"/>
      <c r="BI58" s="406">
        <v>7</v>
      </c>
      <c r="BJ58" s="120">
        <v>1280</v>
      </c>
      <c r="BK58" s="398">
        <v>120</v>
      </c>
      <c r="BL58" s="120">
        <v>2500</v>
      </c>
      <c r="BM58" s="120">
        <v>4</v>
      </c>
      <c r="BN58" s="150">
        <v>2400000</v>
      </c>
      <c r="BO58" s="407">
        <v>3</v>
      </c>
      <c r="BP58" s="137"/>
      <c r="BQ58" s="137"/>
    </row>
    <row r="59" spans="1:69">
      <c r="A59" s="137"/>
      <c r="B59" s="137"/>
      <c r="C59" s="137"/>
      <c r="D59" s="137"/>
      <c r="E59" s="137"/>
      <c r="F59" s="137"/>
      <c r="G59" s="137"/>
      <c r="H59" s="137"/>
      <c r="I59" s="137"/>
      <c r="J59" s="137"/>
      <c r="K59" s="137"/>
      <c r="L59" s="137"/>
      <c r="M59" s="137"/>
      <c r="N59" s="137"/>
      <c r="O59" s="137"/>
      <c r="P59" s="137"/>
      <c r="Q59" s="202"/>
      <c r="R59" s="112">
        <v>13</v>
      </c>
      <c r="S59" s="120">
        <v>1350</v>
      </c>
      <c r="T59" s="120">
        <v>150</v>
      </c>
      <c r="U59" s="151">
        <f t="shared" si="4"/>
        <v>90</v>
      </c>
      <c r="V59" s="150">
        <v>17100000</v>
      </c>
      <c r="W59" s="149">
        <v>17</v>
      </c>
      <c r="X59" s="120"/>
      <c r="Y59" s="137"/>
      <c r="Z59" s="137"/>
      <c r="AA59" s="137"/>
      <c r="AB59" s="137"/>
      <c r="AC59" s="137"/>
      <c r="AD59" s="137"/>
      <c r="AE59" s="137"/>
      <c r="AF59" s="137"/>
      <c r="AG59" s="137"/>
      <c r="AH59" s="137"/>
      <c r="AI59" s="137"/>
      <c r="AJ59" s="202"/>
      <c r="AK59" s="202"/>
      <c r="AL59" s="137"/>
      <c r="AM59" s="137"/>
      <c r="AN59" s="318"/>
      <c r="AO59" s="87">
        <v>6</v>
      </c>
      <c r="AP59" s="120">
        <v>600</v>
      </c>
      <c r="AQ59" s="398">
        <v>1300</v>
      </c>
      <c r="AR59" s="120">
        <v>20000</v>
      </c>
      <c r="AS59" s="120">
        <v>100</v>
      </c>
      <c r="AT59" s="120">
        <v>7000</v>
      </c>
      <c r="AU59" s="149">
        <v>0.125</v>
      </c>
      <c r="AV59" s="202"/>
      <c r="AW59" s="137"/>
      <c r="AX59" s="318"/>
      <c r="AY59" s="87">
        <v>8</v>
      </c>
      <c r="AZ59" s="120">
        <v>680</v>
      </c>
      <c r="BA59" s="398">
        <v>1900</v>
      </c>
      <c r="BB59" s="120">
        <v>50000</v>
      </c>
      <c r="BC59" s="120">
        <v>220</v>
      </c>
      <c r="BD59" s="150">
        <v>28000</v>
      </c>
      <c r="BE59" s="149">
        <v>0.33333333333333298</v>
      </c>
      <c r="BF59" s="137"/>
      <c r="BG59" s="137"/>
      <c r="BH59" s="202"/>
      <c r="BI59" s="396">
        <v>8</v>
      </c>
      <c r="BJ59" s="120">
        <v>1380</v>
      </c>
      <c r="BK59" s="398">
        <v>140</v>
      </c>
      <c r="BL59" s="120">
        <v>3000</v>
      </c>
      <c r="BM59" s="120">
        <v>5</v>
      </c>
      <c r="BN59" s="150">
        <v>3000000</v>
      </c>
      <c r="BO59" s="407">
        <v>4</v>
      </c>
      <c r="BP59" s="137"/>
      <c r="BQ59" s="137"/>
    </row>
    <row r="60" spans="1:69">
      <c r="A60" s="137"/>
      <c r="B60" s="137"/>
      <c r="C60" s="137"/>
      <c r="D60" s="137"/>
      <c r="E60" s="137"/>
      <c r="F60" s="137"/>
      <c r="G60" s="137"/>
      <c r="H60" s="137"/>
      <c r="I60" s="137"/>
      <c r="J60" s="137"/>
      <c r="K60" s="137"/>
      <c r="L60" s="137"/>
      <c r="M60" s="137"/>
      <c r="N60" s="137"/>
      <c r="O60" s="137"/>
      <c r="P60" s="137"/>
      <c r="Q60" s="202"/>
      <c r="R60" s="100"/>
      <c r="S60" s="120"/>
      <c r="T60" s="120"/>
      <c r="U60" s="151"/>
      <c r="V60" s="150"/>
      <c r="W60" s="149"/>
      <c r="X60" s="137"/>
      <c r="Y60" s="137"/>
      <c r="Z60" s="137"/>
      <c r="AA60" s="137"/>
      <c r="AB60" s="137"/>
      <c r="AC60" s="137"/>
      <c r="AD60" s="137"/>
      <c r="AE60" s="137"/>
      <c r="AF60" s="137"/>
      <c r="AG60" s="137"/>
      <c r="AH60" s="137"/>
      <c r="AI60" s="137"/>
      <c r="AJ60" s="202"/>
      <c r="AK60" s="202"/>
      <c r="AL60" s="137"/>
      <c r="AM60" s="137"/>
      <c r="AN60" s="318"/>
      <c r="AO60" s="87">
        <v>7</v>
      </c>
      <c r="AP60" s="120">
        <v>640</v>
      </c>
      <c r="AQ60" s="398">
        <v>1600</v>
      </c>
      <c r="AR60" s="120">
        <v>30000</v>
      </c>
      <c r="AS60" s="120">
        <v>160</v>
      </c>
      <c r="AT60" s="150">
        <v>14000</v>
      </c>
      <c r="AU60" s="149">
        <v>0.25</v>
      </c>
      <c r="AV60" s="202"/>
      <c r="AW60" s="137"/>
      <c r="AX60" s="318"/>
      <c r="AY60" s="87">
        <v>9</v>
      </c>
      <c r="AZ60" s="120">
        <v>720</v>
      </c>
      <c r="BA60" s="398">
        <v>2200</v>
      </c>
      <c r="BB60" s="120">
        <v>75000</v>
      </c>
      <c r="BC60" s="120">
        <v>300</v>
      </c>
      <c r="BD60" s="150">
        <v>56000</v>
      </c>
      <c r="BE60" s="149">
        <v>0.41666666666666702</v>
      </c>
      <c r="BF60" s="137"/>
      <c r="BG60" s="137"/>
      <c r="BH60" s="137"/>
      <c r="BI60" s="105">
        <v>9</v>
      </c>
      <c r="BJ60" s="120">
        <v>1480</v>
      </c>
      <c r="BK60" s="398">
        <v>160</v>
      </c>
      <c r="BL60" s="120">
        <v>3600</v>
      </c>
      <c r="BM60" s="120">
        <v>6</v>
      </c>
      <c r="BN60" s="150">
        <v>4000000</v>
      </c>
      <c r="BO60" s="149">
        <v>7</v>
      </c>
      <c r="BP60" s="137"/>
      <c r="BQ60" s="137"/>
    </row>
    <row r="61" spans="1:69">
      <c r="A61" s="137"/>
      <c r="B61" s="137"/>
      <c r="C61" s="137"/>
      <c r="D61" s="137"/>
      <c r="E61" s="137"/>
      <c r="F61" s="137"/>
      <c r="G61" s="137"/>
      <c r="H61" s="137"/>
      <c r="I61" s="137"/>
      <c r="J61" s="137"/>
      <c r="K61" s="137"/>
      <c r="L61" s="137"/>
      <c r="M61" s="137"/>
      <c r="N61" s="137"/>
      <c r="O61" s="137"/>
      <c r="P61" s="137"/>
      <c r="Q61" s="202"/>
      <c r="R61" s="100"/>
      <c r="S61" s="120"/>
      <c r="T61" s="120"/>
      <c r="U61" s="151"/>
      <c r="V61" s="150"/>
      <c r="W61" s="149"/>
      <c r="X61" s="137"/>
      <c r="Y61" s="137"/>
      <c r="Z61" s="137"/>
      <c r="AA61" s="137"/>
      <c r="AB61" s="137"/>
      <c r="AC61" s="137"/>
      <c r="AD61" s="137"/>
      <c r="AE61" s="137"/>
      <c r="AF61" s="137"/>
      <c r="AG61" s="137"/>
      <c r="AH61" s="137"/>
      <c r="AI61" s="137"/>
      <c r="AJ61" s="202"/>
      <c r="AK61" s="202"/>
      <c r="AL61" s="137"/>
      <c r="AM61" s="137"/>
      <c r="AN61" s="318"/>
      <c r="AO61" s="87">
        <v>8</v>
      </c>
      <c r="AP61" s="120">
        <v>680</v>
      </c>
      <c r="AQ61" s="398">
        <v>1900</v>
      </c>
      <c r="AR61" s="120">
        <v>50000</v>
      </c>
      <c r="AS61" s="120">
        <v>220</v>
      </c>
      <c r="AT61" s="150">
        <v>28000</v>
      </c>
      <c r="AU61" s="149">
        <v>0.33333333333333298</v>
      </c>
      <c r="AV61" s="202"/>
      <c r="AW61" s="137"/>
      <c r="AX61" s="318"/>
      <c r="AY61" s="87">
        <v>10</v>
      </c>
      <c r="AZ61" s="120">
        <v>780</v>
      </c>
      <c r="BA61" s="398">
        <v>2800</v>
      </c>
      <c r="BB61" s="120">
        <v>100000</v>
      </c>
      <c r="BC61" s="120">
        <v>400</v>
      </c>
      <c r="BD61" s="150">
        <v>75000</v>
      </c>
      <c r="BE61" s="149">
        <v>0.5</v>
      </c>
      <c r="BF61" s="137"/>
      <c r="BG61" s="137"/>
      <c r="BH61" s="137"/>
      <c r="BI61" s="365" t="s">
        <v>1245</v>
      </c>
      <c r="BJ61" s="137"/>
      <c r="BK61" s="137"/>
      <c r="BL61" s="137"/>
      <c r="BM61" s="137"/>
      <c r="BN61" s="137"/>
      <c r="BO61" s="137"/>
      <c r="BP61" s="137"/>
      <c r="BQ61" s="137"/>
    </row>
    <row r="62" spans="1:69">
      <c r="A62" s="137"/>
      <c r="B62" s="137"/>
      <c r="C62" s="137"/>
      <c r="D62" s="137"/>
      <c r="E62" s="137"/>
      <c r="F62" s="137" t="s">
        <v>1246</v>
      </c>
      <c r="G62" s="386"/>
      <c r="H62" s="137" t="s">
        <v>1247</v>
      </c>
      <c r="I62" s="386"/>
      <c r="J62" s="386"/>
      <c r="K62" s="386"/>
      <c r="L62" s="386"/>
      <c r="M62" s="137"/>
      <c r="N62" s="137"/>
      <c r="O62" s="137"/>
      <c r="P62" s="137" t="s">
        <v>1248</v>
      </c>
      <c r="Q62" s="137"/>
      <c r="R62" s="137" t="s">
        <v>1249</v>
      </c>
      <c r="S62" s="137"/>
      <c r="T62" s="137"/>
      <c r="U62" s="137"/>
      <c r="V62" s="137"/>
      <c r="W62" s="137"/>
      <c r="X62" s="137"/>
      <c r="Y62" s="137"/>
      <c r="Z62" s="137"/>
      <c r="AA62" s="137" t="s">
        <v>1250</v>
      </c>
      <c r="AB62" s="137"/>
      <c r="AC62" s="137" t="s">
        <v>1251</v>
      </c>
      <c r="AD62" s="137"/>
      <c r="AE62" s="137"/>
      <c r="AF62" s="137"/>
      <c r="AG62" s="137"/>
      <c r="AH62" s="137"/>
      <c r="AI62" s="137"/>
      <c r="AJ62" s="137"/>
      <c r="AK62" s="202"/>
      <c r="AL62" s="137"/>
      <c r="AM62" s="137"/>
      <c r="AN62" s="318"/>
      <c r="AO62" s="87">
        <v>9</v>
      </c>
      <c r="AP62" s="120">
        <v>720</v>
      </c>
      <c r="AQ62" s="398">
        <v>2200</v>
      </c>
      <c r="AR62" s="120">
        <v>75000</v>
      </c>
      <c r="AS62" s="120">
        <v>300</v>
      </c>
      <c r="AT62" s="150">
        <v>56000</v>
      </c>
      <c r="AU62" s="149">
        <v>0.41666666666666702</v>
      </c>
      <c r="AV62" s="202"/>
      <c r="AW62" s="137"/>
      <c r="AX62" s="318"/>
      <c r="AY62" s="99">
        <v>11</v>
      </c>
      <c r="AZ62" s="120">
        <v>860</v>
      </c>
      <c r="BA62" s="398">
        <v>3500</v>
      </c>
      <c r="BB62" s="120">
        <v>150000</v>
      </c>
      <c r="BC62" s="120">
        <v>500</v>
      </c>
      <c r="BD62" s="150">
        <v>100000</v>
      </c>
      <c r="BE62" s="149">
        <v>0.66666666666666696</v>
      </c>
      <c r="BF62" s="137"/>
      <c r="BG62" s="137"/>
      <c r="BH62" s="137"/>
      <c r="BI62" s="137"/>
      <c r="BJ62" s="137"/>
      <c r="BK62" s="137"/>
      <c r="BL62" s="137"/>
      <c r="BM62" s="137"/>
      <c r="BN62" s="137"/>
      <c r="BO62" s="137"/>
      <c r="BP62" s="137"/>
      <c r="BQ62" s="137"/>
    </row>
    <row r="63" spans="1:69">
      <c r="A63" s="137"/>
      <c r="B63" s="137"/>
      <c r="C63" s="137"/>
      <c r="D63" s="137"/>
      <c r="E63" s="137"/>
      <c r="F63" s="134" t="s">
        <v>951</v>
      </c>
      <c r="G63" s="203"/>
      <c r="H63" s="204" t="s">
        <v>243</v>
      </c>
      <c r="I63" s="136" t="s">
        <v>244</v>
      </c>
      <c r="J63" s="136" t="s">
        <v>245</v>
      </c>
      <c r="K63" s="136" t="s">
        <v>250</v>
      </c>
      <c r="L63" s="136" t="s">
        <v>1091</v>
      </c>
      <c r="M63" s="136" t="s">
        <v>1092</v>
      </c>
      <c r="N63" s="137"/>
      <c r="O63" s="137"/>
      <c r="P63" s="134" t="s">
        <v>1102</v>
      </c>
      <c r="Q63" s="203"/>
      <c r="R63" s="204" t="s">
        <v>243</v>
      </c>
      <c r="S63" s="136" t="s">
        <v>244</v>
      </c>
      <c r="T63" s="136" t="s">
        <v>947</v>
      </c>
      <c r="U63" s="136" t="s">
        <v>1252</v>
      </c>
      <c r="V63" s="136" t="s">
        <v>1253</v>
      </c>
      <c r="W63" s="136" t="s">
        <v>1254</v>
      </c>
      <c r="X63" s="136" t="s">
        <v>1091</v>
      </c>
      <c r="Y63" s="136" t="s">
        <v>1092</v>
      </c>
      <c r="Z63" s="120"/>
      <c r="AA63" s="392" t="s">
        <v>1102</v>
      </c>
      <c r="AB63" s="203"/>
      <c r="AC63" s="204" t="s">
        <v>243</v>
      </c>
      <c r="AD63" s="136" t="s">
        <v>244</v>
      </c>
      <c r="AE63" s="136" t="s">
        <v>1255</v>
      </c>
      <c r="AF63" s="136" t="s">
        <v>805</v>
      </c>
      <c r="AG63" s="136" t="s">
        <v>1091</v>
      </c>
      <c r="AH63" s="136" t="s">
        <v>1092</v>
      </c>
      <c r="AI63" s="137"/>
      <c r="AJ63" s="120"/>
      <c r="AK63" s="202"/>
      <c r="AL63" s="137"/>
      <c r="AM63" s="137"/>
      <c r="AN63" s="318"/>
      <c r="AO63" s="87">
        <v>10</v>
      </c>
      <c r="AP63" s="120">
        <v>780</v>
      </c>
      <c r="AQ63" s="398">
        <v>2800</v>
      </c>
      <c r="AR63" s="120">
        <v>100000</v>
      </c>
      <c r="AS63" s="120">
        <v>400</v>
      </c>
      <c r="AT63" s="150">
        <v>75000</v>
      </c>
      <c r="AU63" s="149">
        <v>0.5</v>
      </c>
      <c r="AV63" s="202"/>
      <c r="AW63" s="137"/>
      <c r="AX63" s="318"/>
      <c r="AY63" s="90">
        <v>12</v>
      </c>
      <c r="AZ63" s="120">
        <v>960</v>
      </c>
      <c r="BA63" s="398">
        <v>4200</v>
      </c>
      <c r="BB63" s="120">
        <v>200000</v>
      </c>
      <c r="BC63" s="120">
        <v>600</v>
      </c>
      <c r="BD63" s="150">
        <v>200000</v>
      </c>
      <c r="BE63" s="149">
        <v>0.83333333333333304</v>
      </c>
      <c r="BF63" s="137"/>
      <c r="BG63" s="137"/>
      <c r="BH63" s="137"/>
      <c r="BI63" s="137"/>
      <c r="BJ63" s="137"/>
      <c r="BK63" s="137"/>
      <c r="BL63" s="137"/>
      <c r="BM63" s="137"/>
      <c r="BN63" s="137"/>
      <c r="BO63" s="137"/>
      <c r="BP63" s="137"/>
      <c r="BQ63" s="137"/>
    </row>
    <row r="64" spans="1:69">
      <c r="A64" s="137"/>
      <c r="B64" s="137"/>
      <c r="C64" s="137"/>
      <c r="D64" s="137"/>
      <c r="E64" s="137"/>
      <c r="F64" s="137" t="s">
        <v>1126</v>
      </c>
      <c r="G64" s="205"/>
      <c r="H64" s="91">
        <v>1</v>
      </c>
      <c r="I64" s="120">
        <v>1500</v>
      </c>
      <c r="J64" s="120">
        <v>60</v>
      </c>
      <c r="K64" s="390">
        <f t="shared" ref="K64:K73" si="7">J64*0.128</f>
        <v>7.68</v>
      </c>
      <c r="L64" s="150">
        <v>1000000</v>
      </c>
      <c r="M64" s="149">
        <v>2</v>
      </c>
      <c r="N64" s="137"/>
      <c r="O64" s="137"/>
      <c r="P64" s="137" t="s">
        <v>951</v>
      </c>
      <c r="Q64" s="205"/>
      <c r="R64" s="92">
        <v>1</v>
      </c>
      <c r="S64" s="120">
        <v>1500</v>
      </c>
      <c r="T64" s="120">
        <v>30</v>
      </c>
      <c r="U64" s="120">
        <v>100</v>
      </c>
      <c r="V64" s="120">
        <v>1000</v>
      </c>
      <c r="W64" s="120">
        <v>5</v>
      </c>
      <c r="X64" s="150">
        <v>1700000</v>
      </c>
      <c r="Y64" s="149">
        <v>2.5</v>
      </c>
      <c r="Z64" s="120"/>
      <c r="AA64" s="137" t="s">
        <v>1256</v>
      </c>
      <c r="AB64" s="205"/>
      <c r="AC64" s="93">
        <v>1</v>
      </c>
      <c r="AD64" s="120">
        <v>4000</v>
      </c>
      <c r="AE64" s="120">
        <v>300</v>
      </c>
      <c r="AF64" s="120">
        <v>20</v>
      </c>
      <c r="AG64" s="150">
        <v>6000000</v>
      </c>
      <c r="AH64" s="149">
        <v>5</v>
      </c>
      <c r="AI64" s="137"/>
      <c r="AJ64" s="120"/>
      <c r="AK64" s="202"/>
      <c r="AL64" s="137"/>
      <c r="AM64" s="137"/>
      <c r="AN64" s="318"/>
      <c r="AO64" s="99">
        <v>11</v>
      </c>
      <c r="AP64" s="120">
        <v>860</v>
      </c>
      <c r="AQ64" s="398">
        <v>3500</v>
      </c>
      <c r="AR64" s="120">
        <v>150000</v>
      </c>
      <c r="AS64" s="120">
        <v>500</v>
      </c>
      <c r="AT64" s="150">
        <v>100000</v>
      </c>
      <c r="AU64" s="149">
        <v>0.66666666666666696</v>
      </c>
      <c r="AV64" s="202"/>
      <c r="AW64" s="137"/>
      <c r="AX64" s="318"/>
      <c r="AY64" s="92">
        <v>13</v>
      </c>
      <c r="AZ64" s="120">
        <v>1080</v>
      </c>
      <c r="BA64" s="398">
        <v>4900</v>
      </c>
      <c r="BB64" s="120">
        <v>250000</v>
      </c>
      <c r="BC64" s="120">
        <v>700</v>
      </c>
      <c r="BD64" s="150">
        <v>400000</v>
      </c>
      <c r="BE64" s="149">
        <v>1.6666666666666701</v>
      </c>
      <c r="BF64" s="137"/>
      <c r="BG64" s="137"/>
      <c r="BH64" s="137"/>
      <c r="BI64" s="137"/>
      <c r="BJ64" s="137"/>
      <c r="BK64" s="137"/>
      <c r="BL64" s="137"/>
      <c r="BM64" s="137"/>
      <c r="BN64" s="137"/>
      <c r="BO64" s="137"/>
      <c r="BP64" s="137"/>
      <c r="BQ64" s="137"/>
    </row>
    <row r="65" spans="1:69">
      <c r="A65" s="137"/>
      <c r="B65" s="137"/>
      <c r="C65" s="137"/>
      <c r="D65" s="137"/>
      <c r="E65" s="137"/>
      <c r="F65" s="140" t="s">
        <v>1257</v>
      </c>
      <c r="G65" s="207"/>
      <c r="H65" s="91">
        <v>2</v>
      </c>
      <c r="I65" s="120">
        <v>1900</v>
      </c>
      <c r="J65" s="120">
        <v>70</v>
      </c>
      <c r="K65" s="390">
        <f t="shared" si="7"/>
        <v>8.9600000000000009</v>
      </c>
      <c r="L65" s="150">
        <v>1600000</v>
      </c>
      <c r="M65" s="149">
        <v>4</v>
      </c>
      <c r="N65" s="137"/>
      <c r="O65" s="137"/>
      <c r="P65" s="140" t="s">
        <v>1126</v>
      </c>
      <c r="Q65" s="207"/>
      <c r="R65" s="92">
        <v>2</v>
      </c>
      <c r="S65" s="120">
        <v>1800</v>
      </c>
      <c r="T65" s="120">
        <v>36</v>
      </c>
      <c r="U65" s="120">
        <v>115</v>
      </c>
      <c r="V65" s="120">
        <v>1150</v>
      </c>
      <c r="W65" s="120">
        <v>5</v>
      </c>
      <c r="X65" s="150">
        <v>2500000</v>
      </c>
      <c r="Y65" s="149">
        <v>3.25</v>
      </c>
      <c r="Z65" s="120"/>
      <c r="AA65" s="137" t="s">
        <v>1258</v>
      </c>
      <c r="AB65" s="205"/>
      <c r="AC65" s="93">
        <v>2</v>
      </c>
      <c r="AD65" s="120">
        <v>4400</v>
      </c>
      <c r="AE65" s="120">
        <v>350</v>
      </c>
      <c r="AF65" s="120">
        <v>25</v>
      </c>
      <c r="AG65" s="150">
        <v>8000000</v>
      </c>
      <c r="AH65" s="149">
        <v>8.5</v>
      </c>
      <c r="AI65" s="137"/>
      <c r="AJ65" s="120"/>
      <c r="AK65" s="202"/>
      <c r="AL65" s="137"/>
      <c r="AM65" s="137"/>
      <c r="AN65" s="318"/>
      <c r="AO65" s="90">
        <v>12</v>
      </c>
      <c r="AP65" s="120">
        <v>960</v>
      </c>
      <c r="AQ65" s="398">
        <v>4200</v>
      </c>
      <c r="AR65" s="120">
        <v>200000</v>
      </c>
      <c r="AS65" s="120">
        <v>600</v>
      </c>
      <c r="AT65" s="150">
        <v>200000</v>
      </c>
      <c r="AU65" s="149">
        <v>0.83333333333333304</v>
      </c>
      <c r="AV65" s="202"/>
      <c r="AW65" s="202"/>
      <c r="AX65" s="318"/>
      <c r="AY65" s="93">
        <v>14</v>
      </c>
      <c r="AZ65" s="120">
        <v>1180</v>
      </c>
      <c r="BA65" s="398">
        <v>5600</v>
      </c>
      <c r="BB65" s="120">
        <v>300000</v>
      </c>
      <c r="BC65" s="120">
        <v>800</v>
      </c>
      <c r="BD65" s="150">
        <v>800000</v>
      </c>
      <c r="BE65" s="149">
        <v>3.3333333333333299</v>
      </c>
      <c r="BF65" s="137"/>
      <c r="BG65" s="137"/>
      <c r="BH65" s="137"/>
      <c r="BI65" s="137"/>
      <c r="BJ65" s="137"/>
      <c r="BK65" s="137"/>
      <c r="BL65" s="137"/>
      <c r="BM65" s="137"/>
      <c r="BN65" s="137"/>
      <c r="BO65" s="137"/>
      <c r="BP65" s="137"/>
      <c r="BQ65" s="137"/>
    </row>
    <row r="66" spans="1:69">
      <c r="A66" s="137"/>
      <c r="B66" s="137"/>
      <c r="C66" s="137"/>
      <c r="D66" s="137"/>
      <c r="E66" s="137"/>
      <c r="F66" s="134" t="s">
        <v>1107</v>
      </c>
      <c r="G66" s="203"/>
      <c r="H66" s="91">
        <v>3</v>
      </c>
      <c r="I66" s="120">
        <v>2300</v>
      </c>
      <c r="J66" s="120">
        <v>80</v>
      </c>
      <c r="K66" s="390">
        <f t="shared" si="7"/>
        <v>10.24</v>
      </c>
      <c r="L66" s="150">
        <v>2400000</v>
      </c>
      <c r="M66" s="149">
        <v>5</v>
      </c>
      <c r="N66" s="137"/>
      <c r="O66" s="137"/>
      <c r="P66" s="134" t="s">
        <v>1223</v>
      </c>
      <c r="Q66" s="203"/>
      <c r="R66" s="92">
        <v>3</v>
      </c>
      <c r="S66" s="120">
        <v>2100</v>
      </c>
      <c r="T66" s="120">
        <v>42</v>
      </c>
      <c r="U66" s="120">
        <v>130</v>
      </c>
      <c r="V66" s="120">
        <v>1300</v>
      </c>
      <c r="W66" s="120">
        <v>5</v>
      </c>
      <c r="X66" s="150">
        <v>3800000</v>
      </c>
      <c r="Y66" s="149">
        <v>4.25</v>
      </c>
      <c r="Z66" s="120"/>
      <c r="AA66" s="140" t="s">
        <v>1259</v>
      </c>
      <c r="AB66" s="207"/>
      <c r="AC66" s="94">
        <v>3</v>
      </c>
      <c r="AD66" s="120">
        <v>4800</v>
      </c>
      <c r="AE66" s="120">
        <v>400</v>
      </c>
      <c r="AF66" s="120">
        <v>30</v>
      </c>
      <c r="AG66" s="150">
        <v>11000000</v>
      </c>
      <c r="AH66" s="149">
        <v>11</v>
      </c>
      <c r="AI66" s="137"/>
      <c r="AJ66" s="120"/>
      <c r="AK66" s="202"/>
      <c r="AL66" s="137"/>
      <c r="AM66" s="137"/>
      <c r="AN66" s="318"/>
      <c r="AO66" s="92">
        <v>13</v>
      </c>
      <c r="AP66" s="120">
        <v>1080</v>
      </c>
      <c r="AQ66" s="398">
        <v>4900</v>
      </c>
      <c r="AR66" s="120">
        <v>250000</v>
      </c>
      <c r="AS66" s="120">
        <v>700</v>
      </c>
      <c r="AT66" s="150">
        <v>400000</v>
      </c>
      <c r="AU66" s="149">
        <v>1.6666666666666701</v>
      </c>
      <c r="AV66" s="137"/>
      <c r="AW66" s="137"/>
      <c r="AX66" s="318"/>
      <c r="AY66" s="105">
        <v>15</v>
      </c>
      <c r="AZ66" s="120">
        <v>1280</v>
      </c>
      <c r="BA66" s="398">
        <v>6300</v>
      </c>
      <c r="BB66" s="120">
        <v>350000</v>
      </c>
      <c r="BC66" s="120">
        <v>900</v>
      </c>
      <c r="BD66" s="150">
        <v>1200000</v>
      </c>
      <c r="BE66" s="149">
        <v>6</v>
      </c>
      <c r="BF66" s="137"/>
      <c r="BG66" s="137"/>
      <c r="BH66" s="137"/>
      <c r="BI66" s="137"/>
      <c r="BJ66" s="137"/>
      <c r="BK66" s="137"/>
      <c r="BL66" s="137"/>
      <c r="BM66" s="137"/>
      <c r="BN66" s="137"/>
      <c r="BO66" s="137"/>
      <c r="BP66" s="137"/>
      <c r="BQ66" s="137"/>
    </row>
    <row r="67" spans="1:69">
      <c r="A67" s="137"/>
      <c r="B67" s="137"/>
      <c r="C67" s="137"/>
      <c r="D67" s="137"/>
      <c r="E67" s="137"/>
      <c r="F67" s="137" t="s">
        <v>1117</v>
      </c>
      <c r="G67" s="205"/>
      <c r="H67" s="92">
        <v>4</v>
      </c>
      <c r="I67" s="120">
        <v>2700</v>
      </c>
      <c r="J67" s="120">
        <v>95</v>
      </c>
      <c r="K67" s="390">
        <f t="shared" si="7"/>
        <v>12.16</v>
      </c>
      <c r="L67" s="150">
        <v>3400000</v>
      </c>
      <c r="M67" s="149">
        <v>5.25</v>
      </c>
      <c r="N67" s="137"/>
      <c r="O67" s="137"/>
      <c r="P67" s="137" t="s">
        <v>1120</v>
      </c>
      <c r="Q67" s="205"/>
      <c r="R67" s="93">
        <v>4</v>
      </c>
      <c r="S67" s="120">
        <v>2400</v>
      </c>
      <c r="T67" s="120">
        <v>58</v>
      </c>
      <c r="U67" s="120">
        <v>155</v>
      </c>
      <c r="V67" s="120">
        <v>1550</v>
      </c>
      <c r="W67" s="120">
        <v>5</v>
      </c>
      <c r="X67" s="150">
        <v>4200000</v>
      </c>
      <c r="Y67" s="149">
        <v>5</v>
      </c>
      <c r="Z67" s="120"/>
      <c r="AA67" s="137" t="s">
        <v>1260</v>
      </c>
      <c r="AB67" s="205"/>
      <c r="AC67" s="100">
        <v>4</v>
      </c>
      <c r="AD67" s="120">
        <v>5200</v>
      </c>
      <c r="AE67" s="120">
        <v>450</v>
      </c>
      <c r="AF67" s="120">
        <v>35</v>
      </c>
      <c r="AG67" s="150">
        <v>15000000</v>
      </c>
      <c r="AH67" s="149">
        <v>15</v>
      </c>
      <c r="AI67" s="137"/>
      <c r="AJ67" s="120"/>
      <c r="AK67" s="202"/>
      <c r="AL67" s="137"/>
      <c r="AM67" s="137"/>
      <c r="AN67" s="318"/>
      <c r="AO67" s="93">
        <v>14</v>
      </c>
      <c r="AP67" s="120">
        <v>1180</v>
      </c>
      <c r="AQ67" s="398">
        <v>5600</v>
      </c>
      <c r="AR67" s="120">
        <v>300000</v>
      </c>
      <c r="AS67" s="120">
        <v>800</v>
      </c>
      <c r="AT67" s="150">
        <v>800000</v>
      </c>
      <c r="AU67" s="149">
        <v>3.3333333333333299</v>
      </c>
      <c r="AV67" s="137"/>
      <c r="AW67" s="137"/>
      <c r="AX67" s="391"/>
      <c r="AY67" s="137" t="s">
        <v>1261</v>
      </c>
      <c r="AZ67" s="137"/>
      <c r="BA67" s="137"/>
      <c r="BB67" s="137"/>
      <c r="BC67" s="137"/>
      <c r="BD67" s="137"/>
      <c r="BE67" s="137"/>
      <c r="BF67" s="137"/>
      <c r="BG67" s="137"/>
      <c r="BH67" s="137"/>
      <c r="BI67" s="137"/>
      <c r="BJ67" s="137"/>
      <c r="BK67" s="137"/>
      <c r="BL67" s="137"/>
      <c r="BM67" s="137"/>
      <c r="BN67" s="137"/>
      <c r="BO67" s="137"/>
      <c r="BP67" s="137"/>
      <c r="BQ67" s="137"/>
    </row>
    <row r="68" spans="1:69">
      <c r="A68" s="137"/>
      <c r="B68" s="137"/>
      <c r="C68" s="137"/>
      <c r="D68" s="137"/>
      <c r="E68" s="137"/>
      <c r="F68" s="134" t="s">
        <v>1262</v>
      </c>
      <c r="G68" s="203"/>
      <c r="H68" s="93">
        <v>5</v>
      </c>
      <c r="I68" s="120">
        <v>3100</v>
      </c>
      <c r="J68" s="120">
        <v>125</v>
      </c>
      <c r="K68" s="390">
        <f t="shared" si="7"/>
        <v>16</v>
      </c>
      <c r="L68" s="150">
        <v>4900000</v>
      </c>
      <c r="M68" s="149">
        <v>6.25</v>
      </c>
      <c r="N68" s="137"/>
      <c r="O68" s="137"/>
      <c r="P68" s="137" t="s">
        <v>1263</v>
      </c>
      <c r="Q68" s="205"/>
      <c r="R68" s="93">
        <v>5</v>
      </c>
      <c r="S68" s="120">
        <v>2700</v>
      </c>
      <c r="T68" s="120">
        <v>70</v>
      </c>
      <c r="U68" s="120">
        <v>175</v>
      </c>
      <c r="V68" s="120">
        <v>1750</v>
      </c>
      <c r="W68" s="120">
        <v>5</v>
      </c>
      <c r="X68" s="150">
        <v>5200000</v>
      </c>
      <c r="Y68" s="149">
        <v>6.25</v>
      </c>
      <c r="Z68" s="120"/>
      <c r="AA68" s="137" t="s">
        <v>1088</v>
      </c>
      <c r="AB68" s="205"/>
      <c r="AC68" s="121">
        <v>5</v>
      </c>
      <c r="AD68" s="120">
        <v>5600</v>
      </c>
      <c r="AE68" s="120">
        <v>500</v>
      </c>
      <c r="AF68" s="120">
        <v>40</v>
      </c>
      <c r="AG68" s="150">
        <v>19000000</v>
      </c>
      <c r="AH68" s="149">
        <v>19</v>
      </c>
      <c r="AI68" s="137"/>
      <c r="AJ68" s="120"/>
      <c r="AK68" s="202"/>
      <c r="AL68" s="137"/>
      <c r="AM68" s="137"/>
      <c r="AN68" s="318"/>
      <c r="AO68" s="105">
        <v>15</v>
      </c>
      <c r="AP68" s="120">
        <v>1280</v>
      </c>
      <c r="AQ68" s="398">
        <v>6300</v>
      </c>
      <c r="AR68" s="120">
        <v>350000</v>
      </c>
      <c r="AS68" s="120">
        <v>900</v>
      </c>
      <c r="AT68" s="150">
        <v>1200000</v>
      </c>
      <c r="AU68" s="149">
        <v>6</v>
      </c>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row>
    <row r="69" spans="1:69">
      <c r="A69" s="137"/>
      <c r="B69" s="137"/>
      <c r="C69" s="137"/>
      <c r="D69" s="137"/>
      <c r="E69" s="137"/>
      <c r="F69" s="137" t="s">
        <v>1264</v>
      </c>
      <c r="G69" s="138"/>
      <c r="H69" s="94">
        <v>6</v>
      </c>
      <c r="I69" s="120">
        <v>3500</v>
      </c>
      <c r="J69" s="120">
        <v>150</v>
      </c>
      <c r="K69" s="390">
        <f t="shared" si="7"/>
        <v>19.2</v>
      </c>
      <c r="L69" s="150">
        <v>7400000</v>
      </c>
      <c r="M69" s="149">
        <v>9.75</v>
      </c>
      <c r="N69" s="137"/>
      <c r="O69" s="137"/>
      <c r="P69" s="134" t="s">
        <v>1265</v>
      </c>
      <c r="Q69" s="203"/>
      <c r="R69" s="94">
        <v>6</v>
      </c>
      <c r="S69" s="120">
        <v>3000</v>
      </c>
      <c r="T69" s="120">
        <v>80</v>
      </c>
      <c r="U69" s="120">
        <v>195</v>
      </c>
      <c r="V69" s="120">
        <v>1950</v>
      </c>
      <c r="W69" s="120">
        <v>5</v>
      </c>
      <c r="X69" s="150">
        <v>7300000</v>
      </c>
      <c r="Y69" s="149">
        <v>9.75</v>
      </c>
      <c r="Z69" s="120"/>
      <c r="AA69" s="137" t="s">
        <v>1106</v>
      </c>
      <c r="AB69" s="205"/>
      <c r="AC69" s="421" t="s">
        <v>1266</v>
      </c>
      <c r="AD69" s="137"/>
      <c r="AE69" s="137"/>
      <c r="AF69" s="137"/>
      <c r="AG69" s="137"/>
      <c r="AH69" s="137"/>
      <c r="AI69" s="137"/>
      <c r="AJ69" s="137"/>
      <c r="AK69" s="202"/>
      <c r="AL69" s="137"/>
      <c r="AM69" s="137"/>
      <c r="AN69" s="391"/>
      <c r="AO69" s="137" t="s">
        <v>1267</v>
      </c>
      <c r="AP69" s="137"/>
      <c r="AQ69" s="137"/>
      <c r="AR69" s="137"/>
      <c r="AS69" s="137"/>
      <c r="AT69" s="137"/>
      <c r="AU69" s="137"/>
      <c r="AV69" s="137"/>
      <c r="AW69" s="137"/>
      <c r="AX69" s="137"/>
      <c r="AY69" s="137"/>
      <c r="AZ69" s="137"/>
      <c r="BA69" s="137"/>
      <c r="BB69" s="137"/>
      <c r="BC69" s="137"/>
      <c r="BD69" s="137"/>
      <c r="BE69" s="137"/>
      <c r="BF69" s="137"/>
      <c r="BG69" s="137"/>
      <c r="BH69" s="137"/>
      <c r="BI69" s="137"/>
      <c r="BJ69" s="137"/>
      <c r="BK69" s="137"/>
      <c r="BL69" s="137"/>
      <c r="BM69" s="137"/>
      <c r="BN69" s="137"/>
      <c r="BO69" s="137"/>
      <c r="BP69" s="137"/>
      <c r="BQ69" s="137"/>
    </row>
    <row r="70" spans="1:69">
      <c r="A70" s="137"/>
      <c r="B70" s="137"/>
      <c r="C70" s="137"/>
      <c r="D70" s="137"/>
      <c r="E70" s="137"/>
      <c r="F70" s="140" t="s">
        <v>1268</v>
      </c>
      <c r="G70" s="143"/>
      <c r="H70" s="100">
        <v>7</v>
      </c>
      <c r="I70" s="120">
        <v>3900</v>
      </c>
      <c r="J70" s="120">
        <v>170</v>
      </c>
      <c r="K70" s="390">
        <f t="shared" si="7"/>
        <v>21.76</v>
      </c>
      <c r="L70" s="150">
        <v>10400000</v>
      </c>
      <c r="M70" s="149">
        <v>12</v>
      </c>
      <c r="N70" s="137"/>
      <c r="O70" s="137"/>
      <c r="P70" s="137" t="s">
        <v>1070</v>
      </c>
      <c r="Q70" s="138"/>
      <c r="R70" s="100">
        <v>7</v>
      </c>
      <c r="S70" s="120">
        <v>3300</v>
      </c>
      <c r="T70" s="120">
        <v>94</v>
      </c>
      <c r="U70" s="120">
        <v>215</v>
      </c>
      <c r="V70" s="120">
        <v>2150</v>
      </c>
      <c r="W70" s="120">
        <v>5</v>
      </c>
      <c r="X70" s="150">
        <v>12000000</v>
      </c>
      <c r="Y70" s="149">
        <v>12.75</v>
      </c>
      <c r="Z70" s="120"/>
      <c r="AA70" s="137" t="s">
        <v>1269</v>
      </c>
      <c r="AB70" s="138"/>
      <c r="AC70" s="137" t="s">
        <v>1270</v>
      </c>
      <c r="AD70" s="137"/>
      <c r="AE70" s="137"/>
      <c r="AF70" s="137"/>
      <c r="AG70" s="137"/>
      <c r="AH70" s="137"/>
      <c r="AI70" s="137"/>
      <c r="AJ70" s="137"/>
      <c r="AK70" s="202"/>
      <c r="AL70" s="137"/>
      <c r="AM70" s="137"/>
      <c r="AN70" s="137"/>
      <c r="AO70" s="137"/>
      <c r="AP70" s="137"/>
      <c r="AQ70" s="137"/>
      <c r="AR70" s="137"/>
      <c r="AS70" s="137"/>
      <c r="AT70" s="137"/>
      <c r="AU70" s="137"/>
      <c r="AV70" s="137"/>
      <c r="AW70" s="137"/>
      <c r="AX70" s="137"/>
      <c r="AY70" s="137"/>
      <c r="AZ70" s="137"/>
      <c r="BA70" s="137"/>
      <c r="BB70" s="137"/>
      <c r="BC70" s="137"/>
      <c r="BD70" s="137"/>
      <c r="BE70" s="137"/>
      <c r="BF70" s="137"/>
      <c r="BG70" s="137"/>
      <c r="BH70" s="137"/>
      <c r="BI70" s="137"/>
      <c r="BJ70" s="137"/>
      <c r="BK70" s="137"/>
      <c r="BL70" s="137"/>
      <c r="BM70" s="137"/>
      <c r="BN70" s="137"/>
      <c r="BO70" s="137"/>
      <c r="BP70" s="137"/>
      <c r="BQ70" s="137"/>
    </row>
    <row r="71" spans="1:69">
      <c r="A71" s="137"/>
      <c r="B71" s="137"/>
      <c r="C71" s="137"/>
      <c r="D71" s="137"/>
      <c r="E71" s="137"/>
      <c r="F71" s="134" t="s">
        <v>1271</v>
      </c>
      <c r="G71" s="135"/>
      <c r="H71" s="100">
        <v>8</v>
      </c>
      <c r="I71" s="120">
        <v>4200</v>
      </c>
      <c r="J71" s="120">
        <v>185</v>
      </c>
      <c r="K71" s="390">
        <f t="shared" si="7"/>
        <v>23.68</v>
      </c>
      <c r="L71" s="150">
        <v>12900000</v>
      </c>
      <c r="M71" s="149">
        <v>12.75</v>
      </c>
      <c r="N71" s="137"/>
      <c r="O71" s="137"/>
      <c r="P71" s="140" t="s">
        <v>1272</v>
      </c>
      <c r="Q71" s="143"/>
      <c r="R71" s="121">
        <v>8</v>
      </c>
      <c r="S71" s="120">
        <v>3700</v>
      </c>
      <c r="T71" s="120">
        <v>105</v>
      </c>
      <c r="U71" s="120">
        <v>230</v>
      </c>
      <c r="V71" s="120">
        <v>2300</v>
      </c>
      <c r="W71" s="120">
        <v>6</v>
      </c>
      <c r="X71" s="150">
        <v>18000000</v>
      </c>
      <c r="Y71" s="149">
        <v>18</v>
      </c>
      <c r="Z71" s="120"/>
      <c r="AA71" s="137" t="s">
        <v>1273</v>
      </c>
      <c r="AB71" s="120">
        <v>200</v>
      </c>
      <c r="AC71" s="365" t="s">
        <v>1274</v>
      </c>
      <c r="AD71" s="137"/>
      <c r="AE71" s="137"/>
      <c r="AF71" s="137"/>
      <c r="AG71" s="137"/>
      <c r="AH71" s="137"/>
      <c r="AI71" s="137"/>
      <c r="AJ71" s="137"/>
      <c r="AK71" s="202"/>
      <c r="AL71" s="137"/>
      <c r="AM71" s="137" t="s">
        <v>1275</v>
      </c>
      <c r="AN71" s="137"/>
      <c r="AO71" s="137"/>
      <c r="AP71" s="137"/>
      <c r="AQ71" s="137"/>
      <c r="AR71" s="137"/>
      <c r="AS71" s="137"/>
      <c r="AT71" s="137"/>
      <c r="AU71" s="137"/>
      <c r="AV71" s="137"/>
      <c r="AW71" s="137" t="s">
        <v>1276</v>
      </c>
      <c r="AX71" s="137"/>
      <c r="AY71" s="137"/>
      <c r="AZ71" s="137"/>
      <c r="BA71" s="137"/>
      <c r="BB71" s="137"/>
      <c r="BC71" s="137"/>
      <c r="BD71" s="137"/>
      <c r="BE71" s="137"/>
      <c r="BF71" s="137"/>
      <c r="BG71" s="137" t="s">
        <v>1277</v>
      </c>
      <c r="BH71" s="137"/>
      <c r="BI71" s="137"/>
      <c r="BJ71" s="137"/>
      <c r="BK71" s="137"/>
      <c r="BL71" s="137"/>
      <c r="BM71" s="137"/>
      <c r="BN71" s="137"/>
      <c r="BO71" s="137"/>
      <c r="BP71" s="137"/>
      <c r="BQ71" s="137"/>
    </row>
    <row r="72" spans="1:69">
      <c r="A72" s="137"/>
      <c r="B72" s="137"/>
      <c r="C72" s="137"/>
      <c r="D72" s="137"/>
      <c r="E72" s="137"/>
      <c r="F72" s="137" t="s">
        <v>1278</v>
      </c>
      <c r="G72" s="138"/>
      <c r="H72" s="121">
        <v>9</v>
      </c>
      <c r="I72" s="120">
        <v>4500</v>
      </c>
      <c r="J72" s="120">
        <v>200</v>
      </c>
      <c r="K72" s="151">
        <f t="shared" si="7"/>
        <v>25.6</v>
      </c>
      <c r="L72" s="150">
        <v>17400000</v>
      </c>
      <c r="M72" s="149">
        <v>18</v>
      </c>
      <c r="N72" s="137"/>
      <c r="O72" s="137"/>
      <c r="P72" s="134" t="s">
        <v>1279</v>
      </c>
      <c r="Q72" s="135"/>
      <c r="R72" s="122">
        <v>9</v>
      </c>
      <c r="S72" s="120">
        <v>4000</v>
      </c>
      <c r="T72" s="120">
        <v>115</v>
      </c>
      <c r="U72" s="120">
        <v>240</v>
      </c>
      <c r="V72" s="120">
        <v>2400</v>
      </c>
      <c r="W72" s="120">
        <v>6</v>
      </c>
      <c r="X72" s="150">
        <v>21000000</v>
      </c>
      <c r="Y72" s="149">
        <v>19</v>
      </c>
      <c r="Z72" s="120"/>
      <c r="AA72" s="137"/>
      <c r="AB72" s="137"/>
      <c r="AC72" s="137"/>
      <c r="AD72" s="137"/>
      <c r="AE72" s="137"/>
      <c r="AF72" s="137"/>
      <c r="AG72" s="137"/>
      <c r="AH72" s="137"/>
      <c r="AI72" s="137"/>
      <c r="AJ72" s="202"/>
      <c r="AK72" s="202"/>
      <c r="AL72" s="137"/>
      <c r="AM72" s="134" t="s">
        <v>1107</v>
      </c>
      <c r="AN72" s="203"/>
      <c r="AO72" s="204" t="s">
        <v>243</v>
      </c>
      <c r="AP72" s="136" t="s">
        <v>244</v>
      </c>
      <c r="AQ72" s="136" t="s">
        <v>1280</v>
      </c>
      <c r="AR72" s="136" t="s">
        <v>1091</v>
      </c>
      <c r="AS72" s="136" t="s">
        <v>1092</v>
      </c>
      <c r="AT72" s="120"/>
      <c r="AU72" s="137"/>
      <c r="AV72" s="137"/>
      <c r="AW72" s="134" t="s">
        <v>1107</v>
      </c>
      <c r="AX72" s="203"/>
      <c r="AY72" s="204" t="s">
        <v>243</v>
      </c>
      <c r="AZ72" s="136" t="s">
        <v>244</v>
      </c>
      <c r="BA72" s="136" t="s">
        <v>1280</v>
      </c>
      <c r="BB72" s="136" t="s">
        <v>1091</v>
      </c>
      <c r="BC72" s="136" t="s">
        <v>1092</v>
      </c>
      <c r="BD72" s="120"/>
      <c r="BE72" s="137"/>
      <c r="BF72" s="137"/>
      <c r="BG72" s="134" t="s">
        <v>1107</v>
      </c>
      <c r="BH72" s="203"/>
      <c r="BI72" s="204" t="s">
        <v>243</v>
      </c>
      <c r="BJ72" s="136" t="s">
        <v>244</v>
      </c>
      <c r="BK72" s="136" t="s">
        <v>1280</v>
      </c>
      <c r="BL72" s="136" t="s">
        <v>1091</v>
      </c>
      <c r="BM72" s="136" t="s">
        <v>1092</v>
      </c>
      <c r="BN72" s="137"/>
      <c r="BO72" s="137"/>
      <c r="BP72" s="137"/>
      <c r="BQ72" s="137"/>
    </row>
    <row r="73" spans="1:69">
      <c r="A73" s="137"/>
      <c r="B73" s="137"/>
      <c r="C73" s="137"/>
      <c r="D73" s="137"/>
      <c r="E73" s="137"/>
      <c r="F73" s="137" t="s">
        <v>1281</v>
      </c>
      <c r="G73" s="138"/>
      <c r="H73" s="122">
        <v>10</v>
      </c>
      <c r="I73" s="120">
        <v>4700</v>
      </c>
      <c r="J73" s="120">
        <v>215</v>
      </c>
      <c r="K73" s="390">
        <f t="shared" si="7"/>
        <v>27.52</v>
      </c>
      <c r="L73" s="150">
        <v>20000000</v>
      </c>
      <c r="M73" s="149">
        <v>19</v>
      </c>
      <c r="N73" s="137"/>
      <c r="O73" s="137"/>
      <c r="P73" s="137" t="s">
        <v>1282</v>
      </c>
      <c r="Q73" s="138"/>
      <c r="R73" s="137"/>
      <c r="S73" s="137"/>
      <c r="T73" s="137"/>
      <c r="U73" s="137"/>
      <c r="V73" s="137"/>
      <c r="W73" s="137"/>
      <c r="X73" s="137"/>
      <c r="Y73" s="137"/>
      <c r="Z73" s="137"/>
      <c r="AA73" s="137"/>
      <c r="AB73" s="137"/>
      <c r="AC73" s="137"/>
      <c r="AD73" s="137"/>
      <c r="AE73" s="137"/>
      <c r="AF73" s="137"/>
      <c r="AG73" s="137"/>
      <c r="AH73" s="137"/>
      <c r="AI73" s="137"/>
      <c r="AJ73" s="202"/>
      <c r="AK73" s="202"/>
      <c r="AL73" s="137"/>
      <c r="AM73" s="140" t="s">
        <v>1117</v>
      </c>
      <c r="AN73" s="319"/>
      <c r="AO73" s="87">
        <v>1</v>
      </c>
      <c r="AP73" s="120">
        <v>400</v>
      </c>
      <c r="AQ73" s="120">
        <v>1500</v>
      </c>
      <c r="AR73" s="120">
        <v>300</v>
      </c>
      <c r="AS73" s="387">
        <v>1.15740740740741E-4</v>
      </c>
      <c r="AT73" s="120"/>
      <c r="AU73" s="137"/>
      <c r="AV73" s="137"/>
      <c r="AW73" s="140" t="s">
        <v>1117</v>
      </c>
      <c r="AX73" s="319"/>
      <c r="AY73" s="87">
        <v>1</v>
      </c>
      <c r="AZ73" s="120">
        <v>400</v>
      </c>
      <c r="BA73" s="120">
        <v>1500</v>
      </c>
      <c r="BB73" s="120">
        <v>300</v>
      </c>
      <c r="BC73" s="387">
        <v>1.15740740740741E-4</v>
      </c>
      <c r="BD73" s="120"/>
      <c r="BE73" s="137"/>
      <c r="BF73" s="137"/>
      <c r="BG73" s="140" t="s">
        <v>1117</v>
      </c>
      <c r="BH73" s="402"/>
      <c r="BI73" s="403">
        <v>1</v>
      </c>
      <c r="BJ73" s="120">
        <v>2000</v>
      </c>
      <c r="BK73" s="150">
        <v>10000</v>
      </c>
      <c r="BL73" s="150">
        <v>250000</v>
      </c>
      <c r="BM73" s="407">
        <v>0.33333333333333298</v>
      </c>
      <c r="BN73" s="120"/>
      <c r="BO73" s="137"/>
      <c r="BP73" s="137"/>
      <c r="BQ73" s="137"/>
    </row>
    <row r="74" spans="1:69">
      <c r="A74" s="137"/>
      <c r="B74" s="137"/>
      <c r="C74" s="137"/>
      <c r="D74" s="137"/>
      <c r="E74" s="137"/>
      <c r="F74" s="137"/>
      <c r="G74" s="137"/>
      <c r="H74" s="137"/>
      <c r="I74" s="137"/>
      <c r="J74" s="137"/>
      <c r="K74" s="137"/>
      <c r="L74" s="137"/>
      <c r="M74" s="137"/>
      <c r="N74" s="137"/>
      <c r="O74" s="137"/>
      <c r="P74" s="137" t="s">
        <v>1283</v>
      </c>
      <c r="Q74" s="138"/>
      <c r="R74" s="137" t="s">
        <v>1284</v>
      </c>
      <c r="S74" s="137"/>
      <c r="T74" s="137"/>
      <c r="U74" s="137"/>
      <c r="V74" s="137"/>
      <c r="W74" s="137"/>
      <c r="X74" s="137"/>
      <c r="Y74" s="137"/>
      <c r="Z74" s="137"/>
      <c r="AA74" s="137"/>
      <c r="AB74" s="137"/>
      <c r="AC74" s="137"/>
      <c r="AD74" s="137"/>
      <c r="AE74" s="137"/>
      <c r="AF74" s="137"/>
      <c r="AG74" s="137"/>
      <c r="AH74" s="137"/>
      <c r="AI74" s="137"/>
      <c r="AJ74" s="202"/>
      <c r="AK74" s="202"/>
      <c r="AL74" s="137"/>
      <c r="AM74" s="134" t="s">
        <v>1285</v>
      </c>
      <c r="AN74" s="320"/>
      <c r="AO74" s="87">
        <v>2</v>
      </c>
      <c r="AP74" s="120">
        <v>600</v>
      </c>
      <c r="AQ74" s="120">
        <v>3000</v>
      </c>
      <c r="AR74" s="120">
        <v>750</v>
      </c>
      <c r="AS74" s="149">
        <v>3.4722222222222199E-3</v>
      </c>
      <c r="AT74" s="120"/>
      <c r="AU74" s="137"/>
      <c r="AV74" s="137"/>
      <c r="AW74" s="134" t="s">
        <v>1286</v>
      </c>
      <c r="AX74" s="320"/>
      <c r="AY74" s="87">
        <v>2</v>
      </c>
      <c r="AZ74" s="120">
        <v>600</v>
      </c>
      <c r="BA74" s="120">
        <v>3000</v>
      </c>
      <c r="BB74" s="120">
        <v>750</v>
      </c>
      <c r="BC74" s="149">
        <v>3.4722222222222199E-3</v>
      </c>
      <c r="BD74" s="120"/>
      <c r="BE74" s="137"/>
      <c r="BF74" s="137"/>
      <c r="BG74" s="134" t="s">
        <v>1287</v>
      </c>
      <c r="BH74" s="203"/>
      <c r="BI74" s="99">
        <v>2</v>
      </c>
      <c r="BJ74" s="120">
        <v>2200</v>
      </c>
      <c r="BK74" s="150">
        <v>17500</v>
      </c>
      <c r="BL74" s="150">
        <v>500000</v>
      </c>
      <c r="BM74" s="407">
        <v>0.66666666666666696</v>
      </c>
      <c r="BN74" s="120"/>
      <c r="BO74" s="137"/>
      <c r="BP74" s="137"/>
      <c r="BQ74" s="137"/>
    </row>
    <row r="75" spans="1:69">
      <c r="A75" s="137"/>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7"/>
      <c r="AC75" s="137"/>
      <c r="AD75" s="137"/>
      <c r="AE75" s="137"/>
      <c r="AF75" s="137"/>
      <c r="AG75" s="137"/>
      <c r="AH75" s="137"/>
      <c r="AI75" s="137"/>
      <c r="AJ75" s="202"/>
      <c r="AK75" s="202"/>
      <c r="AL75" s="137"/>
      <c r="AM75" s="137" t="s">
        <v>1129</v>
      </c>
      <c r="AN75" s="318"/>
      <c r="AO75" s="87">
        <v>3</v>
      </c>
      <c r="AP75" s="120">
        <v>800</v>
      </c>
      <c r="AQ75" s="120">
        <v>6000</v>
      </c>
      <c r="AR75" s="120">
        <v>1500</v>
      </c>
      <c r="AS75" s="149">
        <v>1.38888888888889E-2</v>
      </c>
      <c r="AT75" s="120"/>
      <c r="AU75" s="137"/>
      <c r="AV75" s="137"/>
      <c r="AW75" s="137" t="s">
        <v>1116</v>
      </c>
      <c r="AX75" s="318"/>
      <c r="AY75" s="87">
        <v>3</v>
      </c>
      <c r="AZ75" s="120">
        <v>800</v>
      </c>
      <c r="BA75" s="120">
        <v>6000</v>
      </c>
      <c r="BB75" s="120">
        <v>1500</v>
      </c>
      <c r="BC75" s="149">
        <v>1.38888888888889E-2</v>
      </c>
      <c r="BD75" s="120"/>
      <c r="BE75" s="137"/>
      <c r="BF75" s="137"/>
      <c r="BG75" s="137" t="s">
        <v>1129</v>
      </c>
      <c r="BH75" s="205"/>
      <c r="BI75" s="90">
        <v>3</v>
      </c>
      <c r="BJ75" s="120">
        <v>2400</v>
      </c>
      <c r="BK75" s="150">
        <v>40000</v>
      </c>
      <c r="BL75" s="150">
        <v>1000000</v>
      </c>
      <c r="BM75" s="407">
        <v>1</v>
      </c>
      <c r="BN75" s="120"/>
      <c r="BO75" s="137"/>
      <c r="BP75" s="137"/>
      <c r="BQ75" s="137"/>
    </row>
    <row r="76" spans="1:69">
      <c r="A76" s="137"/>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7"/>
      <c r="AI76" s="137"/>
      <c r="AJ76" s="202"/>
      <c r="AK76" s="202"/>
      <c r="AL76" s="137"/>
      <c r="AM76" s="202"/>
      <c r="AN76" s="318"/>
      <c r="AO76" s="87">
        <v>4</v>
      </c>
      <c r="AP76" s="120">
        <v>1000</v>
      </c>
      <c r="AQ76" s="150">
        <v>12000</v>
      </c>
      <c r="AR76" s="120">
        <v>3000</v>
      </c>
      <c r="AS76" s="149">
        <v>4.1666666666666699E-2</v>
      </c>
      <c r="AT76" s="120"/>
      <c r="AU76" s="137"/>
      <c r="AV76" s="137"/>
      <c r="AW76" s="202"/>
      <c r="AX76" s="318"/>
      <c r="AY76" s="87">
        <v>4</v>
      </c>
      <c r="AZ76" s="120">
        <v>1000</v>
      </c>
      <c r="BA76" s="150">
        <v>12000</v>
      </c>
      <c r="BB76" s="120">
        <v>3000</v>
      </c>
      <c r="BC76" s="149">
        <v>4.1666666666666699E-2</v>
      </c>
      <c r="BD76" s="120"/>
      <c r="BE76" s="137"/>
      <c r="BF76" s="137"/>
      <c r="BG76" s="202"/>
      <c r="BH76" s="205"/>
      <c r="BI76" s="90">
        <v>4</v>
      </c>
      <c r="BJ76" s="120">
        <v>2600</v>
      </c>
      <c r="BK76" s="150">
        <v>75000</v>
      </c>
      <c r="BL76" s="150">
        <v>1500000</v>
      </c>
      <c r="BM76" s="407">
        <v>1.5</v>
      </c>
      <c r="BN76" s="120"/>
      <c r="BO76" s="137"/>
      <c r="BP76" s="137"/>
      <c r="BQ76" s="137"/>
    </row>
    <row r="77" spans="1:69">
      <c r="A77" s="137"/>
      <c r="B77" s="137"/>
      <c r="C77" s="137"/>
      <c r="D77" s="137"/>
      <c r="E77" s="137"/>
      <c r="F77" s="137" t="s">
        <v>1288</v>
      </c>
      <c r="G77" s="137"/>
      <c r="H77" s="137" t="s">
        <v>1289</v>
      </c>
      <c r="I77" s="137"/>
      <c r="J77" s="137"/>
      <c r="K77" s="137"/>
      <c r="L77" s="137"/>
      <c r="M77" s="137"/>
      <c r="N77" s="137"/>
      <c r="O77" s="137"/>
      <c r="P77" s="137" t="s">
        <v>1290</v>
      </c>
      <c r="Q77" s="137"/>
      <c r="R77" s="137" t="s">
        <v>1291</v>
      </c>
      <c r="S77" s="137"/>
      <c r="T77" s="137"/>
      <c r="U77" s="137"/>
      <c r="V77" s="137"/>
      <c r="W77" s="137"/>
      <c r="X77" s="137"/>
      <c r="Y77" s="137"/>
      <c r="Z77" s="137"/>
      <c r="AA77" s="137" t="s">
        <v>1292</v>
      </c>
      <c r="AB77" s="137"/>
      <c r="AC77" s="137" t="s">
        <v>1293</v>
      </c>
      <c r="AD77" s="137"/>
      <c r="AE77" s="137"/>
      <c r="AF77" s="137"/>
      <c r="AG77" s="137"/>
      <c r="AH77" s="137"/>
      <c r="AI77" s="137"/>
      <c r="AJ77" s="202"/>
      <c r="AK77" s="202"/>
      <c r="AL77" s="137"/>
      <c r="AM77" s="137"/>
      <c r="AN77" s="318"/>
      <c r="AO77" s="87">
        <v>5</v>
      </c>
      <c r="AP77" s="120">
        <v>1200</v>
      </c>
      <c r="AQ77" s="150">
        <v>25000</v>
      </c>
      <c r="AR77" s="120">
        <v>6000</v>
      </c>
      <c r="AS77" s="149">
        <v>8.3333333333333301E-2</v>
      </c>
      <c r="AT77" s="120"/>
      <c r="AU77" s="137"/>
      <c r="AV77" s="137"/>
      <c r="AW77" s="137"/>
      <c r="AX77" s="318"/>
      <c r="AY77" s="87">
        <v>5</v>
      </c>
      <c r="AZ77" s="120">
        <v>1200</v>
      </c>
      <c r="BA77" s="150">
        <v>25000</v>
      </c>
      <c r="BB77" s="120">
        <v>6000</v>
      </c>
      <c r="BC77" s="149">
        <v>8.3333333333333301E-2</v>
      </c>
      <c r="BD77" s="120"/>
      <c r="BE77" s="137"/>
      <c r="BF77" s="137"/>
      <c r="BG77" s="137"/>
      <c r="BH77" s="205"/>
      <c r="BI77" s="91">
        <v>5</v>
      </c>
      <c r="BJ77" s="120">
        <v>2900</v>
      </c>
      <c r="BK77" s="150">
        <v>140000</v>
      </c>
      <c r="BL77" s="150">
        <v>2000000</v>
      </c>
      <c r="BM77" s="407">
        <v>2</v>
      </c>
      <c r="BN77" s="120"/>
      <c r="BO77" s="137"/>
      <c r="BP77" s="137"/>
      <c r="BQ77" s="137"/>
    </row>
    <row r="78" spans="1:69">
      <c r="A78" s="137"/>
      <c r="B78" s="137"/>
      <c r="C78" s="137"/>
      <c r="D78" s="137"/>
      <c r="E78" s="137"/>
      <c r="F78" s="134" t="s">
        <v>1215</v>
      </c>
      <c r="G78" s="203"/>
      <c r="H78" s="204" t="s">
        <v>1294</v>
      </c>
      <c r="I78" s="136" t="s">
        <v>245</v>
      </c>
      <c r="J78" s="136" t="s">
        <v>250</v>
      </c>
      <c r="K78" s="136" t="s">
        <v>1295</v>
      </c>
      <c r="L78" s="136" t="s">
        <v>1296</v>
      </c>
      <c r="M78" s="136" t="s">
        <v>1091</v>
      </c>
      <c r="N78" s="136" t="s">
        <v>1092</v>
      </c>
      <c r="O78" s="137"/>
      <c r="P78" s="134" t="s">
        <v>1215</v>
      </c>
      <c r="Q78" s="203"/>
      <c r="R78" s="204" t="s">
        <v>1294</v>
      </c>
      <c r="S78" s="136" t="s">
        <v>245</v>
      </c>
      <c r="T78" s="136" t="s">
        <v>250</v>
      </c>
      <c r="U78" s="136" t="s">
        <v>1295</v>
      </c>
      <c r="V78" s="136" t="s">
        <v>1297</v>
      </c>
      <c r="W78" s="136" t="s">
        <v>1091</v>
      </c>
      <c r="X78" s="136" t="s">
        <v>1092</v>
      </c>
      <c r="Y78" s="137"/>
      <c r="Z78" s="137"/>
      <c r="AA78" s="134" t="s">
        <v>1102</v>
      </c>
      <c r="AB78" s="203"/>
      <c r="AC78" s="204" t="s">
        <v>243</v>
      </c>
      <c r="AD78" s="136" t="s">
        <v>244</v>
      </c>
      <c r="AE78" s="136" t="s">
        <v>245</v>
      </c>
      <c r="AF78" s="136" t="s">
        <v>250</v>
      </c>
      <c r="AG78" s="136" t="s">
        <v>1298</v>
      </c>
      <c r="AH78" s="136" t="s">
        <v>1091</v>
      </c>
      <c r="AI78" s="136" t="s">
        <v>1092</v>
      </c>
      <c r="AJ78" s="202"/>
      <c r="AK78" s="202"/>
      <c r="AL78" s="137"/>
      <c r="AM78" s="137"/>
      <c r="AN78" s="318"/>
      <c r="AO78" s="87">
        <v>6</v>
      </c>
      <c r="AP78" s="120">
        <v>1400</v>
      </c>
      <c r="AQ78" s="150">
        <v>45000</v>
      </c>
      <c r="AR78" s="150">
        <v>12000</v>
      </c>
      <c r="AS78" s="149">
        <v>0.125</v>
      </c>
      <c r="AT78" s="120"/>
      <c r="AU78" s="137"/>
      <c r="AV78" s="137"/>
      <c r="AW78" s="137"/>
      <c r="AX78" s="318"/>
      <c r="AY78" s="87">
        <v>6</v>
      </c>
      <c r="AZ78" s="120">
        <v>1400</v>
      </c>
      <c r="BA78" s="150">
        <v>45000</v>
      </c>
      <c r="BB78" s="150">
        <v>12000</v>
      </c>
      <c r="BC78" s="149">
        <v>0.125</v>
      </c>
      <c r="BD78" s="120"/>
      <c r="BE78" s="137"/>
      <c r="BF78" s="137"/>
      <c r="BG78" s="137"/>
      <c r="BH78" s="205"/>
      <c r="BI78" s="91">
        <v>6</v>
      </c>
      <c r="BJ78" s="120">
        <v>3200</v>
      </c>
      <c r="BK78" s="150">
        <v>180000</v>
      </c>
      <c r="BL78" s="150">
        <v>3000000</v>
      </c>
      <c r="BM78" s="407">
        <v>3</v>
      </c>
      <c r="BN78" s="120"/>
      <c r="BO78" s="137"/>
      <c r="BP78" s="137"/>
      <c r="BQ78" s="137"/>
    </row>
    <row r="79" spans="1:69">
      <c r="A79" s="137"/>
      <c r="B79" s="137"/>
      <c r="C79" s="137"/>
      <c r="D79" s="137"/>
      <c r="E79" s="137"/>
      <c r="F79" s="137" t="s">
        <v>1113</v>
      </c>
      <c r="G79" s="205"/>
      <c r="H79" s="94">
        <v>1</v>
      </c>
      <c r="I79" s="120">
        <v>150</v>
      </c>
      <c r="J79" s="151">
        <v>75</v>
      </c>
      <c r="K79" s="120">
        <v>2</v>
      </c>
      <c r="L79" s="120"/>
      <c r="M79" s="120"/>
      <c r="N79" s="418"/>
      <c r="O79" s="137"/>
      <c r="P79" s="137" t="s">
        <v>1113</v>
      </c>
      <c r="Q79" s="205"/>
      <c r="R79" s="100">
        <v>1</v>
      </c>
      <c r="S79" s="120">
        <v>200</v>
      </c>
      <c r="T79" s="151">
        <f>S79*0.128</f>
        <v>25.6</v>
      </c>
      <c r="U79" s="120">
        <v>4</v>
      </c>
      <c r="V79" s="139"/>
      <c r="W79" s="120"/>
      <c r="X79" s="418"/>
      <c r="Y79" s="137"/>
      <c r="Z79" s="137"/>
      <c r="AA79" s="137" t="s">
        <v>1299</v>
      </c>
      <c r="AB79" s="205"/>
      <c r="AC79" s="100">
        <v>1</v>
      </c>
      <c r="AD79" s="120">
        <v>3600</v>
      </c>
      <c r="AE79" s="120">
        <v>140</v>
      </c>
      <c r="AF79" s="120">
        <f>AE79*3.228</f>
        <v>451.92</v>
      </c>
      <c r="AG79" s="120">
        <v>300</v>
      </c>
      <c r="AH79" s="150">
        <v>11200000</v>
      </c>
      <c r="AI79" s="149">
        <v>11.25</v>
      </c>
      <c r="AJ79" s="202"/>
      <c r="AK79" s="202"/>
      <c r="AL79" s="137"/>
      <c r="AM79" s="137"/>
      <c r="AN79" s="318"/>
      <c r="AO79" s="87">
        <v>7</v>
      </c>
      <c r="AP79" s="120">
        <v>1600</v>
      </c>
      <c r="AQ79" s="150">
        <v>100000</v>
      </c>
      <c r="AR79" s="150">
        <v>25000</v>
      </c>
      <c r="AS79" s="149">
        <v>0.16666666666666699</v>
      </c>
      <c r="AT79" s="120"/>
      <c r="AU79" s="137"/>
      <c r="AV79" s="137"/>
      <c r="AW79" s="137"/>
      <c r="AX79" s="318"/>
      <c r="AY79" s="87">
        <v>7</v>
      </c>
      <c r="AZ79" s="120">
        <v>1600</v>
      </c>
      <c r="BA79" s="150">
        <v>100000</v>
      </c>
      <c r="BB79" s="150">
        <v>25000</v>
      </c>
      <c r="BC79" s="149">
        <v>0.16666666666666699</v>
      </c>
      <c r="BD79" s="120"/>
      <c r="BE79" s="137"/>
      <c r="BF79" s="137"/>
      <c r="BG79" s="137"/>
      <c r="BH79" s="205"/>
      <c r="BI79" s="94">
        <v>7</v>
      </c>
      <c r="BJ79" s="120">
        <v>3500</v>
      </c>
      <c r="BK79" s="150">
        <v>220000</v>
      </c>
      <c r="BL79" s="150">
        <v>4200000</v>
      </c>
      <c r="BM79" s="407">
        <v>3.5</v>
      </c>
      <c r="BN79" s="120"/>
      <c r="BO79" s="137"/>
      <c r="BP79" s="137"/>
      <c r="BQ79" s="137"/>
    </row>
    <row r="80" spans="1:69">
      <c r="A80" s="137"/>
      <c r="B80" s="137"/>
      <c r="C80" s="137"/>
      <c r="D80" s="137"/>
      <c r="E80" s="137"/>
      <c r="F80" s="140" t="s">
        <v>1119</v>
      </c>
      <c r="G80" s="207"/>
      <c r="H80" s="94">
        <v>2</v>
      </c>
      <c r="I80" s="120">
        <v>175</v>
      </c>
      <c r="J80" s="151">
        <v>87.5</v>
      </c>
      <c r="K80" s="120">
        <v>2</v>
      </c>
      <c r="L80" s="120"/>
      <c r="M80" s="150">
        <v>3000000</v>
      </c>
      <c r="N80" s="418">
        <v>1.5</v>
      </c>
      <c r="O80" s="137"/>
      <c r="P80" s="140" t="s">
        <v>951</v>
      </c>
      <c r="Q80" s="207"/>
      <c r="R80" s="100">
        <v>2</v>
      </c>
      <c r="S80" s="120">
        <v>225</v>
      </c>
      <c r="T80" s="151">
        <f>S80*0.128</f>
        <v>28.8</v>
      </c>
      <c r="U80" s="120">
        <v>4</v>
      </c>
      <c r="V80" s="139"/>
      <c r="W80" s="150">
        <v>7500000</v>
      </c>
      <c r="X80" s="418">
        <v>4.5</v>
      </c>
      <c r="Y80" s="137"/>
      <c r="Z80" s="137"/>
      <c r="AA80" s="137" t="s">
        <v>1300</v>
      </c>
      <c r="AB80" s="205"/>
      <c r="AC80" s="100">
        <v>2</v>
      </c>
      <c r="AD80" s="120">
        <v>4200</v>
      </c>
      <c r="AE80" s="120">
        <v>170</v>
      </c>
      <c r="AF80" s="120">
        <f>AE80*3.228</f>
        <v>548.76</v>
      </c>
      <c r="AG80" s="120">
        <v>390</v>
      </c>
      <c r="AH80" s="150">
        <v>12800000</v>
      </c>
      <c r="AI80" s="149">
        <v>17</v>
      </c>
      <c r="AJ80" s="202"/>
      <c r="AK80" s="202"/>
      <c r="AL80" s="137"/>
      <c r="AM80" s="137"/>
      <c r="AN80" s="318"/>
      <c r="AO80" s="87">
        <v>8</v>
      </c>
      <c r="AP80" s="120">
        <v>1700</v>
      </c>
      <c r="AQ80" s="150">
        <v>225000</v>
      </c>
      <c r="AR80" s="150">
        <v>50000</v>
      </c>
      <c r="AS80" s="149">
        <v>0.20833333333333301</v>
      </c>
      <c r="AT80" s="120"/>
      <c r="AU80" s="137"/>
      <c r="AV80" s="137"/>
      <c r="AW80" s="137"/>
      <c r="AX80" s="318"/>
      <c r="AY80" s="87">
        <v>8</v>
      </c>
      <c r="AZ80" s="120">
        <v>1700</v>
      </c>
      <c r="BA80" s="150">
        <v>225000</v>
      </c>
      <c r="BB80" s="150">
        <v>50000</v>
      </c>
      <c r="BC80" s="149">
        <v>0.20833333333333301</v>
      </c>
      <c r="BD80" s="120"/>
      <c r="BE80" s="137"/>
      <c r="BF80" s="137"/>
      <c r="BG80" s="137"/>
      <c r="BH80" s="205"/>
      <c r="BI80" s="100">
        <v>8</v>
      </c>
      <c r="BJ80" s="120">
        <v>3800</v>
      </c>
      <c r="BK80" s="150">
        <v>280000</v>
      </c>
      <c r="BL80" s="150">
        <v>6700000</v>
      </c>
      <c r="BM80" s="407">
        <v>7.5</v>
      </c>
      <c r="BN80" s="120"/>
      <c r="BO80" s="137"/>
      <c r="BP80" s="137"/>
      <c r="BQ80" s="137"/>
    </row>
    <row r="81" spans="1:69">
      <c r="A81" s="137"/>
      <c r="B81" s="137"/>
      <c r="C81" s="137"/>
      <c r="D81" s="137"/>
      <c r="E81" s="137"/>
      <c r="F81" s="134" t="s">
        <v>1301</v>
      </c>
      <c r="G81" s="203"/>
      <c r="H81" s="94">
        <v>3</v>
      </c>
      <c r="I81" s="120">
        <v>175</v>
      </c>
      <c r="J81" s="151">
        <v>87.5</v>
      </c>
      <c r="K81" s="120">
        <v>3</v>
      </c>
      <c r="L81" s="120"/>
      <c r="M81" s="150">
        <v>4200000</v>
      </c>
      <c r="N81" s="418">
        <v>2.75</v>
      </c>
      <c r="O81" s="137"/>
      <c r="P81" s="134" t="s">
        <v>1302</v>
      </c>
      <c r="Q81" s="203"/>
      <c r="R81" s="100">
        <v>3</v>
      </c>
      <c r="S81" s="120">
        <v>250</v>
      </c>
      <c r="T81" s="151">
        <f>S81*0.128</f>
        <v>32</v>
      </c>
      <c r="U81" s="120">
        <v>4</v>
      </c>
      <c r="V81" s="139">
        <v>4</v>
      </c>
      <c r="W81" s="150">
        <v>9000000</v>
      </c>
      <c r="X81" s="418">
        <v>6</v>
      </c>
      <c r="Y81" s="137"/>
      <c r="Z81" s="137"/>
      <c r="AA81" s="137" t="s">
        <v>1303</v>
      </c>
      <c r="AB81" s="205"/>
      <c r="AC81" s="121">
        <v>3</v>
      </c>
      <c r="AD81" s="120">
        <v>4800</v>
      </c>
      <c r="AE81" s="120">
        <v>190</v>
      </c>
      <c r="AF81" s="120">
        <f>AE81*3.228</f>
        <v>613.32000000000005</v>
      </c>
      <c r="AG81" s="120">
        <v>450</v>
      </c>
      <c r="AH81" s="150">
        <v>18000000</v>
      </c>
      <c r="AI81" s="149">
        <v>19</v>
      </c>
      <c r="AJ81" s="202"/>
      <c r="AK81" s="202"/>
      <c r="AL81" s="137"/>
      <c r="AM81" s="137"/>
      <c r="AN81" s="318"/>
      <c r="AO81" s="87">
        <v>9</v>
      </c>
      <c r="AP81" s="120">
        <v>1800</v>
      </c>
      <c r="AQ81" s="150">
        <v>450000</v>
      </c>
      <c r="AR81" s="150">
        <v>100000</v>
      </c>
      <c r="AS81" s="149">
        <v>0.33333333333333298</v>
      </c>
      <c r="AT81" s="120"/>
      <c r="AU81" s="137"/>
      <c r="AV81" s="137"/>
      <c r="AW81" s="137"/>
      <c r="AX81" s="318"/>
      <c r="AY81" s="87">
        <v>9</v>
      </c>
      <c r="AZ81" s="120">
        <v>1800</v>
      </c>
      <c r="BA81" s="150">
        <v>450000</v>
      </c>
      <c r="BB81" s="150">
        <v>100000</v>
      </c>
      <c r="BC81" s="149">
        <v>0.33333333333333298</v>
      </c>
      <c r="BD81" s="120"/>
      <c r="BE81" s="137"/>
      <c r="BF81" s="137"/>
      <c r="BG81" s="137"/>
      <c r="BH81" s="205"/>
      <c r="BI81" s="121">
        <v>9</v>
      </c>
      <c r="BJ81" s="120">
        <v>4100</v>
      </c>
      <c r="BK81" s="150">
        <v>330000</v>
      </c>
      <c r="BL81" s="150">
        <v>11500000</v>
      </c>
      <c r="BM81" s="407">
        <v>14.25</v>
      </c>
      <c r="BN81" s="120"/>
      <c r="BO81" s="137"/>
      <c r="BP81" s="137"/>
      <c r="BQ81" s="137"/>
    </row>
    <row r="82" spans="1:69">
      <c r="A82" s="137"/>
      <c r="B82" s="137"/>
      <c r="C82" s="137"/>
      <c r="D82" s="137"/>
      <c r="E82" s="137"/>
      <c r="F82" s="137" t="s">
        <v>1304</v>
      </c>
      <c r="G82" s="205"/>
      <c r="H82" s="94">
        <v>4</v>
      </c>
      <c r="I82" s="120">
        <v>200</v>
      </c>
      <c r="J82" s="151">
        <v>100</v>
      </c>
      <c r="K82" s="120">
        <v>3</v>
      </c>
      <c r="L82" s="120"/>
      <c r="M82" s="150">
        <v>5600000</v>
      </c>
      <c r="N82" s="418">
        <v>4.25</v>
      </c>
      <c r="O82" s="137"/>
      <c r="P82" s="137" t="s">
        <v>1305</v>
      </c>
      <c r="Q82" s="205"/>
      <c r="R82" s="100">
        <v>4</v>
      </c>
      <c r="S82" s="120">
        <v>275</v>
      </c>
      <c r="T82" s="151">
        <f>S82*0.128</f>
        <v>35.200000000000003</v>
      </c>
      <c r="U82" s="120">
        <v>4</v>
      </c>
      <c r="V82" s="139">
        <v>6</v>
      </c>
      <c r="W82" s="150">
        <v>11200000</v>
      </c>
      <c r="X82" s="418">
        <v>6.75</v>
      </c>
      <c r="Y82" s="137"/>
      <c r="Z82" s="137"/>
      <c r="AA82" s="134" t="s">
        <v>523</v>
      </c>
      <c r="AB82" s="203"/>
      <c r="AC82" s="410"/>
      <c r="AD82" s="120"/>
      <c r="AE82" s="120"/>
      <c r="AF82" s="120"/>
      <c r="AG82" s="120"/>
      <c r="AH82" s="120"/>
      <c r="AI82" s="149"/>
      <c r="AJ82" s="202"/>
      <c r="AK82" s="202"/>
      <c r="AL82" s="137"/>
      <c r="AM82" s="137"/>
      <c r="AN82" s="318"/>
      <c r="AO82" s="87">
        <v>10</v>
      </c>
      <c r="AP82" s="120">
        <v>1900</v>
      </c>
      <c r="AQ82" s="150">
        <v>850000</v>
      </c>
      <c r="AR82" s="150">
        <v>250000</v>
      </c>
      <c r="AS82" s="149">
        <v>0.5</v>
      </c>
      <c r="AT82" s="120"/>
      <c r="AU82" s="137"/>
      <c r="AV82" s="137"/>
      <c r="AW82" s="137"/>
      <c r="AX82" s="318"/>
      <c r="AY82" s="87">
        <v>10</v>
      </c>
      <c r="AZ82" s="120">
        <v>1900</v>
      </c>
      <c r="BA82" s="150">
        <v>850000</v>
      </c>
      <c r="BB82" s="150">
        <v>250000</v>
      </c>
      <c r="BC82" s="149">
        <v>0.5</v>
      </c>
      <c r="BD82" s="120"/>
      <c r="BE82" s="137"/>
      <c r="BF82" s="137"/>
      <c r="BG82" s="137"/>
      <c r="BH82" s="202"/>
      <c r="BI82" s="113">
        <v>10</v>
      </c>
      <c r="BJ82" s="120">
        <v>4300</v>
      </c>
      <c r="BK82" s="150">
        <v>350000</v>
      </c>
      <c r="BL82" s="150">
        <v>12500000</v>
      </c>
      <c r="BM82" s="407">
        <v>15</v>
      </c>
      <c r="BN82" s="120"/>
      <c r="BO82" s="137"/>
      <c r="BP82" s="137"/>
      <c r="BQ82" s="137"/>
    </row>
    <row r="83" spans="1:69">
      <c r="A83" s="137"/>
      <c r="B83" s="137"/>
      <c r="C83" s="137"/>
      <c r="D83" s="137"/>
      <c r="E83" s="137"/>
      <c r="F83" s="137" t="s">
        <v>1305</v>
      </c>
      <c r="G83" s="205"/>
      <c r="H83" s="94">
        <v>5</v>
      </c>
      <c r="I83" s="120">
        <v>200</v>
      </c>
      <c r="J83" s="151">
        <v>100</v>
      </c>
      <c r="K83" s="120">
        <v>4</v>
      </c>
      <c r="L83" s="120">
        <v>1000</v>
      </c>
      <c r="M83" s="150">
        <v>7000000</v>
      </c>
      <c r="N83" s="418">
        <v>5.5</v>
      </c>
      <c r="O83" s="137"/>
      <c r="P83" s="137" t="s">
        <v>1306</v>
      </c>
      <c r="Q83" s="205"/>
      <c r="R83" s="100">
        <v>5</v>
      </c>
      <c r="S83" s="120">
        <v>300</v>
      </c>
      <c r="T83" s="151">
        <f>S83*0.128</f>
        <v>38.4</v>
      </c>
      <c r="U83" s="120">
        <v>4</v>
      </c>
      <c r="V83" s="139">
        <v>8</v>
      </c>
      <c r="W83" s="150">
        <v>13500000</v>
      </c>
      <c r="X83" s="418">
        <v>8.25</v>
      </c>
      <c r="Y83" s="137"/>
      <c r="Z83" s="137"/>
      <c r="AA83" s="137" t="s">
        <v>1307</v>
      </c>
      <c r="AB83" s="205"/>
      <c r="AC83" s="137" t="s">
        <v>1308</v>
      </c>
      <c r="AD83" s="120"/>
      <c r="AE83" s="120"/>
      <c r="AF83" s="120"/>
      <c r="AG83" s="120"/>
      <c r="AH83" s="120"/>
      <c r="AI83" s="149"/>
      <c r="AJ83" s="202"/>
      <c r="AK83" s="202"/>
      <c r="AL83" s="137"/>
      <c r="AM83" s="137"/>
      <c r="AN83" s="318"/>
      <c r="AO83" s="99">
        <v>11</v>
      </c>
      <c r="AP83" s="120">
        <v>2100</v>
      </c>
      <c r="AQ83" s="150">
        <v>1750000</v>
      </c>
      <c r="AR83" s="150">
        <v>500000</v>
      </c>
      <c r="AS83" s="149">
        <v>0.66666666666666696</v>
      </c>
      <c r="AT83" s="120"/>
      <c r="AU83" s="137"/>
      <c r="AV83" s="137"/>
      <c r="AW83" s="137"/>
      <c r="AX83" s="318"/>
      <c r="AY83" s="99">
        <v>11</v>
      </c>
      <c r="AZ83" s="120">
        <v>2100</v>
      </c>
      <c r="BA83" s="150">
        <v>1750000</v>
      </c>
      <c r="BB83" s="150">
        <v>500000</v>
      </c>
      <c r="BC83" s="149">
        <v>0.66666666666666696</v>
      </c>
      <c r="BD83" s="120"/>
      <c r="BE83" s="137"/>
      <c r="BF83" s="137"/>
      <c r="BG83" s="137"/>
      <c r="BH83" s="202"/>
      <c r="BI83" s="401"/>
      <c r="BJ83" s="120"/>
      <c r="BK83" s="120"/>
      <c r="BL83" s="120"/>
      <c r="BM83" s="120"/>
      <c r="BN83" s="120"/>
      <c r="BO83" s="137"/>
      <c r="BP83" s="137"/>
      <c r="BQ83" s="137"/>
    </row>
    <row r="84" spans="1:69">
      <c r="A84" s="137"/>
      <c r="B84" s="137"/>
      <c r="C84" s="137"/>
      <c r="D84" s="137"/>
      <c r="E84" s="137"/>
      <c r="F84" s="137"/>
      <c r="G84" s="137"/>
      <c r="H84" s="408"/>
      <c r="I84" s="137"/>
      <c r="J84" s="137"/>
      <c r="K84" s="202"/>
      <c r="L84" s="202"/>
      <c r="M84" s="137"/>
      <c r="N84" s="137"/>
      <c r="O84" s="137"/>
      <c r="P84" s="137" t="s">
        <v>1309</v>
      </c>
      <c r="Q84" s="391"/>
      <c r="R84" s="137" t="s">
        <v>1310</v>
      </c>
      <c r="S84" s="137"/>
      <c r="T84" s="137"/>
      <c r="U84" s="202"/>
      <c r="V84" s="202"/>
      <c r="W84" s="137"/>
      <c r="X84" s="137"/>
      <c r="Y84" s="137"/>
      <c r="Z84" s="137"/>
      <c r="AA84" s="137" t="s">
        <v>1107</v>
      </c>
      <c r="AB84" s="205"/>
      <c r="AC84" s="137" t="s">
        <v>1311</v>
      </c>
      <c r="AD84" s="137"/>
      <c r="AE84" s="137"/>
      <c r="AF84" s="137"/>
      <c r="AG84" s="137"/>
      <c r="AH84" s="137"/>
      <c r="AI84" s="137"/>
      <c r="AJ84" s="202"/>
      <c r="AK84" s="202"/>
      <c r="AL84" s="137"/>
      <c r="AM84" s="137"/>
      <c r="AN84" s="318"/>
      <c r="AO84" s="93">
        <v>12</v>
      </c>
      <c r="AP84" s="120">
        <v>2500</v>
      </c>
      <c r="AQ84" s="150">
        <v>2000000</v>
      </c>
      <c r="AR84" s="150">
        <v>1000000</v>
      </c>
      <c r="AS84" s="149">
        <v>2</v>
      </c>
      <c r="AT84" s="120"/>
      <c r="AU84" s="137"/>
      <c r="AV84" s="137"/>
      <c r="AW84" s="137"/>
      <c r="AX84" s="318"/>
      <c r="AY84" s="93">
        <v>12</v>
      </c>
      <c r="AZ84" s="120">
        <v>2500</v>
      </c>
      <c r="BA84" s="150">
        <v>2000000</v>
      </c>
      <c r="BB84" s="150">
        <v>1000000</v>
      </c>
      <c r="BC84" s="149">
        <v>2</v>
      </c>
      <c r="BD84" s="120"/>
      <c r="BE84" s="137"/>
      <c r="BF84" s="137"/>
      <c r="BG84" s="137"/>
      <c r="BH84" s="202"/>
      <c r="BI84" s="401"/>
      <c r="BJ84" s="120"/>
      <c r="BK84" s="120"/>
      <c r="BL84" s="120"/>
      <c r="BM84" s="120"/>
      <c r="BN84" s="137"/>
      <c r="BO84" s="137"/>
      <c r="BP84" s="137"/>
      <c r="BQ84" s="137"/>
    </row>
    <row r="85" spans="1:69">
      <c r="A85" s="137"/>
      <c r="B85" s="137"/>
      <c r="C85" s="137"/>
      <c r="D85" s="137"/>
      <c r="E85" s="137"/>
      <c r="F85" s="137"/>
      <c r="G85" s="137"/>
      <c r="H85" s="365" t="s">
        <v>1312</v>
      </c>
      <c r="I85" s="137"/>
      <c r="J85" s="137"/>
      <c r="K85" s="202"/>
      <c r="L85" s="202"/>
      <c r="M85" s="137"/>
      <c r="N85" s="137"/>
      <c r="O85" s="137"/>
      <c r="P85" s="137"/>
      <c r="Q85" s="137"/>
      <c r="R85" s="137"/>
      <c r="S85" s="137"/>
      <c r="T85" s="137"/>
      <c r="U85" s="202"/>
      <c r="V85" s="202"/>
      <c r="W85" s="137"/>
      <c r="X85" s="137"/>
      <c r="Y85" s="137"/>
      <c r="Z85" s="137"/>
      <c r="AA85" s="137" t="s">
        <v>1117</v>
      </c>
      <c r="AB85" s="205"/>
      <c r="AC85" s="137"/>
      <c r="AD85" s="137"/>
      <c r="AE85" s="137"/>
      <c r="AF85" s="137"/>
      <c r="AG85" s="137"/>
      <c r="AH85" s="137"/>
      <c r="AI85" s="137"/>
      <c r="AJ85" s="202"/>
      <c r="AK85" s="202"/>
      <c r="AL85" s="137"/>
      <c r="AM85" s="137"/>
      <c r="AN85" s="318"/>
      <c r="AO85" s="94">
        <v>13</v>
      </c>
      <c r="AP85" s="120">
        <v>2900</v>
      </c>
      <c r="AQ85" s="150">
        <v>3000000</v>
      </c>
      <c r="AR85" s="150">
        <v>2000000</v>
      </c>
      <c r="AS85" s="149">
        <v>4</v>
      </c>
      <c r="AT85" s="120"/>
      <c r="AU85" s="137"/>
      <c r="AV85" s="137"/>
      <c r="AW85" s="137"/>
      <c r="AX85" s="318"/>
      <c r="AY85" s="94">
        <v>13</v>
      </c>
      <c r="AZ85" s="120">
        <v>2900</v>
      </c>
      <c r="BA85" s="150">
        <v>3000000</v>
      </c>
      <c r="BB85" s="150">
        <v>2000000</v>
      </c>
      <c r="BC85" s="149">
        <v>4</v>
      </c>
      <c r="BD85" s="120"/>
      <c r="BE85" s="137"/>
      <c r="BF85" s="137"/>
      <c r="BG85" s="137"/>
      <c r="BH85" s="202"/>
      <c r="BI85" s="401"/>
      <c r="BJ85" s="120"/>
      <c r="BK85" s="120"/>
      <c r="BL85" s="120"/>
      <c r="BM85" s="120"/>
      <c r="BN85" s="137"/>
      <c r="BO85" s="137"/>
      <c r="BP85" s="137"/>
      <c r="BQ85" s="137"/>
    </row>
    <row r="86" spans="1:69">
      <c r="A86" s="137"/>
      <c r="B86" s="137"/>
      <c r="C86" s="137"/>
      <c r="D86" s="137"/>
      <c r="E86" s="137"/>
      <c r="F86" s="137"/>
      <c r="G86" s="137"/>
      <c r="H86" s="137"/>
      <c r="I86" s="137"/>
      <c r="J86" s="137"/>
      <c r="K86" s="202"/>
      <c r="L86" s="202"/>
      <c r="M86" s="137"/>
      <c r="N86" s="137"/>
      <c r="O86" s="137"/>
      <c r="P86" s="137"/>
      <c r="Q86" s="137"/>
      <c r="R86" s="137"/>
      <c r="S86" s="137"/>
      <c r="T86" s="137"/>
      <c r="U86" s="202"/>
      <c r="V86" s="202"/>
      <c r="W86" s="137"/>
      <c r="X86" s="137"/>
      <c r="Y86" s="137"/>
      <c r="Z86" s="137"/>
      <c r="AA86" s="137"/>
      <c r="AB86" s="202"/>
      <c r="AC86" s="137"/>
      <c r="AD86" s="137"/>
      <c r="AE86" s="137"/>
      <c r="AF86" s="137"/>
      <c r="AG86" s="137"/>
      <c r="AH86" s="137"/>
      <c r="AI86" s="137"/>
      <c r="AJ86" s="202"/>
      <c r="AK86" s="202"/>
      <c r="AL86" s="137"/>
      <c r="AM86" s="137"/>
      <c r="AN86" s="318"/>
      <c r="AO86" s="106">
        <v>14</v>
      </c>
      <c r="AP86" s="120">
        <v>3300</v>
      </c>
      <c r="AQ86" s="150">
        <v>4000000</v>
      </c>
      <c r="AR86" s="150">
        <v>3500000</v>
      </c>
      <c r="AS86" s="149">
        <v>6.75</v>
      </c>
      <c r="AT86" s="120"/>
      <c r="AU86" s="137"/>
      <c r="AV86" s="137"/>
      <c r="AW86" s="137"/>
      <c r="AX86" s="318"/>
      <c r="AY86" s="106">
        <v>14</v>
      </c>
      <c r="AZ86" s="120">
        <v>3300</v>
      </c>
      <c r="BA86" s="150">
        <v>4000000</v>
      </c>
      <c r="BB86" s="150">
        <v>3500000</v>
      </c>
      <c r="BC86" s="149">
        <v>6.75</v>
      </c>
      <c r="BD86" s="120"/>
      <c r="BE86" s="137"/>
      <c r="BF86" s="137"/>
      <c r="BG86" s="137"/>
      <c r="BH86" s="137"/>
      <c r="BI86" s="137"/>
      <c r="BJ86" s="137"/>
      <c r="BK86" s="137"/>
      <c r="BL86" s="137"/>
      <c r="BM86" s="137"/>
      <c r="BN86" s="137"/>
      <c r="BO86" s="137"/>
      <c r="BP86" s="137"/>
      <c r="BQ86" s="137"/>
    </row>
    <row r="87" spans="1:69">
      <c r="A87" s="137"/>
      <c r="B87" s="137"/>
      <c r="C87" s="137"/>
      <c r="D87" s="137"/>
      <c r="E87" s="137"/>
      <c r="F87" s="137" t="s">
        <v>1313</v>
      </c>
      <c r="G87" s="137"/>
      <c r="H87" s="137" t="s">
        <v>1314</v>
      </c>
      <c r="I87" s="137"/>
      <c r="J87" s="137"/>
      <c r="K87" s="137"/>
      <c r="L87" s="137"/>
      <c r="M87" s="137"/>
      <c r="N87" s="137"/>
      <c r="O87" s="137"/>
      <c r="P87" s="137" t="s">
        <v>1315</v>
      </c>
      <c r="Q87" s="137"/>
      <c r="R87" s="137" t="s">
        <v>1316</v>
      </c>
      <c r="S87" s="137"/>
      <c r="T87" s="137"/>
      <c r="U87" s="137"/>
      <c r="V87" s="137"/>
      <c r="W87" s="137"/>
      <c r="X87" s="137"/>
      <c r="Y87" s="137"/>
      <c r="Z87" s="137"/>
      <c r="AA87" s="137" t="s">
        <v>1317</v>
      </c>
      <c r="AB87" s="137"/>
      <c r="AC87" s="137" t="s">
        <v>1318</v>
      </c>
      <c r="AD87" s="137"/>
      <c r="AE87" s="137"/>
      <c r="AF87" s="137"/>
      <c r="AG87" s="137"/>
      <c r="AH87" s="137"/>
      <c r="AI87" s="137"/>
      <c r="AJ87" s="137"/>
      <c r="AK87" s="202"/>
      <c r="AL87" s="137"/>
      <c r="AM87" s="137"/>
      <c r="AN87" s="318"/>
      <c r="AO87" s="121">
        <v>15</v>
      </c>
      <c r="AP87" s="120">
        <v>3700</v>
      </c>
      <c r="AQ87" s="150">
        <v>4500000</v>
      </c>
      <c r="AR87" s="150">
        <v>5500000</v>
      </c>
      <c r="AS87" s="149">
        <v>11.25</v>
      </c>
      <c r="AT87" s="120"/>
      <c r="AU87" s="137"/>
      <c r="AV87" s="137"/>
      <c r="AW87" s="137"/>
      <c r="AX87" s="318"/>
      <c r="AY87" s="121">
        <v>15</v>
      </c>
      <c r="AZ87" s="120">
        <v>3700</v>
      </c>
      <c r="BA87" s="150">
        <v>4500000</v>
      </c>
      <c r="BB87" s="150">
        <v>5500000</v>
      </c>
      <c r="BC87" s="149">
        <v>11.25</v>
      </c>
      <c r="BD87" s="120"/>
      <c r="BE87" s="137"/>
      <c r="BF87" s="137"/>
      <c r="BG87" s="137"/>
      <c r="BH87" s="137"/>
      <c r="BI87" s="137"/>
      <c r="BJ87" s="137"/>
      <c r="BK87" s="137"/>
      <c r="BL87" s="137"/>
      <c r="BM87" s="137"/>
      <c r="BN87" s="137"/>
      <c r="BO87" s="137"/>
      <c r="BP87" s="137"/>
      <c r="BQ87" s="137"/>
    </row>
    <row r="88" spans="1:69">
      <c r="A88" s="137"/>
      <c r="B88" s="137"/>
      <c r="C88" s="137"/>
      <c r="D88" s="137"/>
      <c r="E88" s="137"/>
      <c r="F88" s="134" t="s">
        <v>1319</v>
      </c>
      <c r="G88" s="203"/>
      <c r="H88" s="204" t="s">
        <v>1294</v>
      </c>
      <c r="I88" s="136" t="s">
        <v>245</v>
      </c>
      <c r="J88" s="136" t="s">
        <v>1320</v>
      </c>
      <c r="K88" s="136" t="s">
        <v>1321</v>
      </c>
      <c r="L88" s="136" t="s">
        <v>1322</v>
      </c>
      <c r="M88" s="136" t="s">
        <v>1091</v>
      </c>
      <c r="N88" s="136" t="s">
        <v>1092</v>
      </c>
      <c r="O88" s="137"/>
      <c r="P88" s="134" t="s">
        <v>1319</v>
      </c>
      <c r="Q88" s="203"/>
      <c r="R88" s="204" t="s">
        <v>1294</v>
      </c>
      <c r="S88" s="136" t="s">
        <v>245</v>
      </c>
      <c r="T88" s="136" t="s">
        <v>545</v>
      </c>
      <c r="U88" s="136" t="s">
        <v>1320</v>
      </c>
      <c r="V88" s="136" t="s">
        <v>1323</v>
      </c>
      <c r="W88" s="136" t="s">
        <v>1091</v>
      </c>
      <c r="X88" s="136" t="s">
        <v>1092</v>
      </c>
      <c r="Y88" s="137"/>
      <c r="Z88" s="137"/>
      <c r="AA88" s="134" t="s">
        <v>1102</v>
      </c>
      <c r="AB88" s="203"/>
      <c r="AC88" s="204" t="s">
        <v>243</v>
      </c>
      <c r="AD88" s="136" t="s">
        <v>244</v>
      </c>
      <c r="AE88" s="136" t="s">
        <v>245</v>
      </c>
      <c r="AF88" s="136" t="s">
        <v>250</v>
      </c>
      <c r="AG88" s="136" t="s">
        <v>1324</v>
      </c>
      <c r="AH88" s="136" t="s">
        <v>1325</v>
      </c>
      <c r="AI88" s="136" t="s">
        <v>1091</v>
      </c>
      <c r="AJ88" s="136" t="s">
        <v>1092</v>
      </c>
      <c r="AK88" s="202"/>
      <c r="AL88" s="137"/>
      <c r="AM88" s="137"/>
      <c r="AN88" s="137"/>
      <c r="AO88" s="113">
        <v>16</v>
      </c>
      <c r="AP88" s="120">
        <v>3900</v>
      </c>
      <c r="AQ88" s="150">
        <v>5000000</v>
      </c>
      <c r="AR88" s="150">
        <v>6500000</v>
      </c>
      <c r="AS88" s="149">
        <v>12</v>
      </c>
      <c r="AT88" s="120"/>
      <c r="AU88" s="423"/>
      <c r="AV88" s="137"/>
      <c r="AW88" s="137"/>
      <c r="AX88" s="137"/>
      <c r="AY88" s="113">
        <v>16</v>
      </c>
      <c r="AZ88" s="120">
        <v>3900</v>
      </c>
      <c r="BA88" s="150">
        <v>5000000</v>
      </c>
      <c r="BB88" s="150">
        <v>6500000</v>
      </c>
      <c r="BC88" s="149">
        <v>12</v>
      </c>
      <c r="BD88" s="120"/>
      <c r="BE88" s="137"/>
      <c r="BF88" s="137"/>
      <c r="BG88" s="137"/>
      <c r="BH88" s="137"/>
      <c r="BI88" s="137"/>
      <c r="BJ88" s="137"/>
      <c r="BK88" s="137"/>
      <c r="BL88" s="137"/>
      <c r="BM88" s="137"/>
      <c r="BN88" s="137"/>
      <c r="BO88" s="137"/>
      <c r="BP88" s="137"/>
      <c r="BQ88" s="137"/>
    </row>
    <row r="89" spans="1:69">
      <c r="A89" s="137"/>
      <c r="B89" s="137"/>
      <c r="C89" s="137"/>
      <c r="D89" s="137"/>
      <c r="E89" s="137"/>
      <c r="F89" s="137" t="s">
        <v>1113</v>
      </c>
      <c r="G89" s="205"/>
      <c r="H89" s="121">
        <v>1</v>
      </c>
      <c r="I89" s="120">
        <v>300</v>
      </c>
      <c r="J89" s="120">
        <v>100</v>
      </c>
      <c r="K89" s="362">
        <v>0.3</v>
      </c>
      <c r="L89" s="362">
        <v>0.3</v>
      </c>
      <c r="M89" s="120"/>
      <c r="N89" s="149"/>
      <c r="O89" s="137"/>
      <c r="P89" s="137" t="s">
        <v>1113</v>
      </c>
      <c r="Q89" s="205"/>
      <c r="R89" s="122">
        <v>1</v>
      </c>
      <c r="S89" s="120">
        <v>300</v>
      </c>
      <c r="T89" s="120">
        <v>1000</v>
      </c>
      <c r="U89" s="120">
        <v>180</v>
      </c>
      <c r="V89" s="362" t="s">
        <v>1326</v>
      </c>
      <c r="W89" s="120"/>
      <c r="X89" s="149"/>
      <c r="Y89" s="137"/>
      <c r="Z89" s="137"/>
      <c r="AA89" s="137" t="s">
        <v>1164</v>
      </c>
      <c r="AB89" s="205"/>
      <c r="AC89" s="87">
        <v>1</v>
      </c>
      <c r="AD89" s="120">
        <v>250</v>
      </c>
      <c r="AE89" s="120"/>
      <c r="AF89" s="120"/>
      <c r="AG89" s="120"/>
      <c r="AH89" s="120"/>
      <c r="AI89" s="120"/>
      <c r="AJ89" s="149"/>
      <c r="AK89" s="202"/>
      <c r="AL89" s="137"/>
      <c r="AM89" s="137"/>
      <c r="AN89" s="137"/>
      <c r="AO89" s="137"/>
      <c r="AP89" s="137"/>
      <c r="AQ89" s="137"/>
      <c r="AR89" s="137"/>
      <c r="AS89" s="137"/>
      <c r="AT89" s="137"/>
      <c r="AU89" s="137"/>
      <c r="AV89" s="137"/>
      <c r="AW89" s="137"/>
      <c r="AX89" s="137"/>
      <c r="AY89" s="137"/>
      <c r="AZ89" s="137"/>
      <c r="BA89" s="137"/>
      <c r="BB89" s="137"/>
      <c r="BC89" s="137"/>
      <c r="BD89" s="137"/>
      <c r="BE89" s="137"/>
      <c r="BF89" s="137"/>
      <c r="BG89" s="137"/>
      <c r="BH89" s="137"/>
      <c r="BI89" s="137"/>
      <c r="BJ89" s="137"/>
      <c r="BK89" s="137"/>
      <c r="BL89" s="137"/>
      <c r="BM89" s="137"/>
      <c r="BN89" s="137"/>
      <c r="BO89" s="137"/>
      <c r="BP89" s="137"/>
      <c r="BQ89" s="137"/>
    </row>
    <row r="90" spans="1:69">
      <c r="A90" s="137"/>
      <c r="B90" s="137"/>
      <c r="C90" s="137"/>
      <c r="D90" s="137"/>
      <c r="E90" s="137"/>
      <c r="F90" s="140" t="s">
        <v>951</v>
      </c>
      <c r="G90" s="207"/>
      <c r="H90" s="121">
        <v>2</v>
      </c>
      <c r="I90" s="120">
        <v>300</v>
      </c>
      <c r="J90" s="120">
        <v>120</v>
      </c>
      <c r="K90" s="362">
        <v>0.35</v>
      </c>
      <c r="L90" s="362">
        <v>0.35</v>
      </c>
      <c r="M90" s="150">
        <v>8500000</v>
      </c>
      <c r="N90" s="149">
        <v>8.5</v>
      </c>
      <c r="O90" s="137"/>
      <c r="P90" s="140" t="s">
        <v>951</v>
      </c>
      <c r="Q90" s="207"/>
      <c r="R90" s="122">
        <v>2</v>
      </c>
      <c r="S90" s="120">
        <v>310</v>
      </c>
      <c r="T90" s="120">
        <v>1000</v>
      </c>
      <c r="U90" s="120">
        <v>180</v>
      </c>
      <c r="V90" s="362" t="s">
        <v>1326</v>
      </c>
      <c r="W90" s="150">
        <v>8500000</v>
      </c>
      <c r="X90" s="149">
        <v>8.5</v>
      </c>
      <c r="Y90" s="137"/>
      <c r="Z90" s="137"/>
      <c r="AA90" s="137" t="s">
        <v>1327</v>
      </c>
      <c r="AB90" s="205"/>
      <c r="AC90" s="121">
        <v>2</v>
      </c>
      <c r="AD90" s="120">
        <v>1000</v>
      </c>
      <c r="AE90" s="120">
        <v>80</v>
      </c>
      <c r="AF90" s="120">
        <f>AE90*0.4</f>
        <v>32</v>
      </c>
      <c r="AG90" s="120">
        <v>50</v>
      </c>
      <c r="AH90" s="151">
        <f>AG90*0.75</f>
        <v>37.5</v>
      </c>
      <c r="AI90" s="150">
        <v>9000000</v>
      </c>
      <c r="AJ90" s="149">
        <v>9.5</v>
      </c>
      <c r="AK90" s="202"/>
      <c r="AL90" s="137"/>
      <c r="AM90" s="137" t="s">
        <v>1328</v>
      </c>
      <c r="AN90" s="202"/>
      <c r="AO90" s="202"/>
      <c r="AP90" s="202"/>
      <c r="AQ90" s="202"/>
      <c r="AR90" s="202"/>
      <c r="AS90" s="202"/>
      <c r="AT90" s="137"/>
      <c r="AU90" s="137"/>
      <c r="AV90" s="137"/>
      <c r="AW90" s="137"/>
      <c r="AX90" s="137"/>
      <c r="AY90" s="137"/>
      <c r="AZ90" s="137"/>
      <c r="BA90" s="137"/>
      <c r="BB90" s="137"/>
      <c r="BC90" s="137"/>
      <c r="BD90" s="137"/>
      <c r="BE90" s="137"/>
      <c r="BF90" s="137"/>
      <c r="BG90" s="137"/>
      <c r="BH90" s="137"/>
      <c r="BI90" s="137"/>
      <c r="BJ90" s="137"/>
      <c r="BK90" s="137"/>
      <c r="BL90" s="137"/>
      <c r="BM90" s="137"/>
      <c r="BN90" s="137"/>
      <c r="BO90" s="137"/>
      <c r="BP90" s="137"/>
      <c r="BQ90" s="137"/>
    </row>
    <row r="91" spans="1:69">
      <c r="A91" s="137"/>
      <c r="B91" s="137"/>
      <c r="C91" s="137"/>
      <c r="D91" s="137"/>
      <c r="E91" s="137"/>
      <c r="F91" s="134" t="s">
        <v>1329</v>
      </c>
      <c r="G91" s="203"/>
      <c r="H91" s="121">
        <v>3</v>
      </c>
      <c r="I91" s="120">
        <v>300</v>
      </c>
      <c r="J91" s="120">
        <v>140</v>
      </c>
      <c r="K91" s="362">
        <v>0.4</v>
      </c>
      <c r="L91" s="362">
        <v>0.4</v>
      </c>
      <c r="M91" s="150">
        <v>10500000</v>
      </c>
      <c r="N91" s="149">
        <v>10.5</v>
      </c>
      <c r="O91" s="137"/>
      <c r="P91" s="134" t="s">
        <v>1330</v>
      </c>
      <c r="Q91" s="203"/>
      <c r="R91" s="122">
        <v>3</v>
      </c>
      <c r="S91" s="120">
        <v>310</v>
      </c>
      <c r="T91" s="120">
        <v>1100</v>
      </c>
      <c r="U91" s="120">
        <v>180</v>
      </c>
      <c r="V91" s="362" t="s">
        <v>1326</v>
      </c>
      <c r="W91" s="150">
        <v>10500000</v>
      </c>
      <c r="X91" s="149">
        <v>10.5</v>
      </c>
      <c r="Y91" s="137"/>
      <c r="Z91" s="137"/>
      <c r="AA91" s="140" t="s">
        <v>1331</v>
      </c>
      <c r="AB91" s="207"/>
      <c r="AC91" s="121">
        <v>3</v>
      </c>
      <c r="AD91" s="120">
        <v>1300</v>
      </c>
      <c r="AE91" s="120">
        <v>100</v>
      </c>
      <c r="AF91" s="120">
        <f>AE91*0.4</f>
        <v>40</v>
      </c>
      <c r="AG91" s="120">
        <v>55</v>
      </c>
      <c r="AH91" s="151">
        <f>AG91*0.75</f>
        <v>41.25</v>
      </c>
      <c r="AI91" s="150">
        <v>12000000</v>
      </c>
      <c r="AJ91" s="149">
        <v>11.2083333333333</v>
      </c>
      <c r="AK91" s="202"/>
      <c r="AL91" s="137"/>
      <c r="AM91" s="134" t="s">
        <v>1107</v>
      </c>
      <c r="AN91" s="203"/>
      <c r="AO91" s="204" t="s">
        <v>243</v>
      </c>
      <c r="AP91" s="136" t="s">
        <v>244</v>
      </c>
      <c r="AQ91" s="136" t="s">
        <v>1332</v>
      </c>
      <c r="AR91" s="136" t="s">
        <v>1091</v>
      </c>
      <c r="AS91" s="136" t="s">
        <v>1092</v>
      </c>
      <c r="AT91" s="120"/>
      <c r="AU91" s="137"/>
      <c r="AV91" s="137"/>
      <c r="AW91" s="137"/>
      <c r="AX91" s="137"/>
      <c r="AY91" s="137"/>
      <c r="AZ91" s="137"/>
      <c r="BA91" s="137"/>
      <c r="BB91" s="137"/>
      <c r="BC91" s="137"/>
      <c r="BD91" s="137"/>
      <c r="BE91" s="137"/>
      <c r="BF91" s="137"/>
      <c r="BG91" s="137"/>
      <c r="BH91" s="137"/>
      <c r="BI91" s="137"/>
      <c r="BJ91" s="137"/>
      <c r="BK91" s="137"/>
      <c r="BL91" s="137"/>
      <c r="BM91" s="137"/>
      <c r="BN91" s="137"/>
      <c r="BO91" s="137"/>
      <c r="BP91" s="137"/>
      <c r="BQ91" s="137"/>
    </row>
    <row r="92" spans="1:69">
      <c r="A92" s="137"/>
      <c r="B92" s="137"/>
      <c r="C92" s="137"/>
      <c r="D92" s="137"/>
      <c r="E92" s="137"/>
      <c r="F92" s="137" t="s">
        <v>1305</v>
      </c>
      <c r="G92" s="205"/>
      <c r="H92" s="121">
        <v>4</v>
      </c>
      <c r="I92" s="120">
        <v>300</v>
      </c>
      <c r="J92" s="120">
        <v>160</v>
      </c>
      <c r="K92" s="362">
        <v>0.45</v>
      </c>
      <c r="L92" s="362">
        <v>0.45</v>
      </c>
      <c r="M92" s="150">
        <v>12300000</v>
      </c>
      <c r="N92" s="149">
        <v>12.25</v>
      </c>
      <c r="O92" s="137"/>
      <c r="P92" s="137" t="s">
        <v>1305</v>
      </c>
      <c r="Q92" s="205"/>
      <c r="R92" s="122">
        <v>4</v>
      </c>
      <c r="S92" s="120">
        <v>320</v>
      </c>
      <c r="T92" s="120">
        <v>1100</v>
      </c>
      <c r="U92" s="120">
        <v>180</v>
      </c>
      <c r="V92" s="362" t="s">
        <v>1326</v>
      </c>
      <c r="W92" s="150">
        <v>12300000</v>
      </c>
      <c r="X92" s="149">
        <v>12.25</v>
      </c>
      <c r="Y92" s="137"/>
      <c r="Z92" s="137"/>
      <c r="AA92" s="134" t="s">
        <v>1126</v>
      </c>
      <c r="AB92" s="203"/>
      <c r="AC92" s="121">
        <v>4</v>
      </c>
      <c r="AD92" s="120">
        <v>1600</v>
      </c>
      <c r="AE92" s="120">
        <v>120</v>
      </c>
      <c r="AF92" s="120">
        <f>AE92*0.4</f>
        <v>48</v>
      </c>
      <c r="AG92" s="120">
        <v>60</v>
      </c>
      <c r="AH92" s="151">
        <f>AG92*0.75</f>
        <v>45</v>
      </c>
      <c r="AI92" s="150">
        <v>14500000</v>
      </c>
      <c r="AJ92" s="149">
        <v>13.25</v>
      </c>
      <c r="AK92" s="137"/>
      <c r="AL92" s="137"/>
      <c r="AM92" s="140" t="s">
        <v>1106</v>
      </c>
      <c r="AN92" s="207"/>
      <c r="AO92" s="121">
        <v>1</v>
      </c>
      <c r="AP92" s="120">
        <v>700</v>
      </c>
      <c r="AQ92" s="120" t="s">
        <v>119</v>
      </c>
      <c r="AR92" s="150">
        <v>14000000</v>
      </c>
      <c r="AS92" s="149">
        <v>12.25</v>
      </c>
      <c r="AT92" s="120"/>
      <c r="AU92" s="137"/>
      <c r="AV92" s="137"/>
      <c r="AW92" s="137"/>
      <c r="AX92" s="137"/>
      <c r="AY92" s="137"/>
      <c r="AZ92" s="137"/>
      <c r="BA92" s="137"/>
      <c r="BB92" s="137"/>
      <c r="BC92" s="137"/>
      <c r="BD92" s="137"/>
      <c r="BE92" s="137"/>
      <c r="BF92" s="137"/>
      <c r="BG92" s="137"/>
      <c r="BH92" s="137"/>
      <c r="BI92" s="137"/>
      <c r="BJ92" s="137"/>
      <c r="BK92" s="137"/>
      <c r="BL92" s="137"/>
      <c r="BM92" s="137"/>
      <c r="BN92" s="137"/>
      <c r="BO92" s="137"/>
      <c r="BP92" s="137"/>
      <c r="BQ92" s="137"/>
    </row>
    <row r="93" spans="1:69">
      <c r="A93" s="137"/>
      <c r="B93" s="137"/>
      <c r="C93" s="137"/>
      <c r="D93" s="137"/>
      <c r="E93" s="137"/>
      <c r="F93" s="137" t="s">
        <v>1306</v>
      </c>
      <c r="G93" s="205"/>
      <c r="H93" s="121">
        <v>5</v>
      </c>
      <c r="I93" s="120">
        <v>300</v>
      </c>
      <c r="J93" s="120">
        <v>180</v>
      </c>
      <c r="K93" s="362">
        <v>0.5</v>
      </c>
      <c r="L93" s="362">
        <v>0.5</v>
      </c>
      <c r="M93" s="150">
        <v>14200000</v>
      </c>
      <c r="N93" s="149">
        <v>13.25</v>
      </c>
      <c r="O93" s="137"/>
      <c r="P93" s="137" t="s">
        <v>1306</v>
      </c>
      <c r="Q93" s="205"/>
      <c r="R93" s="122">
        <v>5</v>
      </c>
      <c r="S93" s="120">
        <v>320</v>
      </c>
      <c r="T93" s="120">
        <v>1100</v>
      </c>
      <c r="U93" s="120">
        <v>180</v>
      </c>
      <c r="V93" s="362" t="s">
        <v>1333</v>
      </c>
      <c r="W93" s="150">
        <v>14200000</v>
      </c>
      <c r="X93" s="149">
        <v>13.25</v>
      </c>
      <c r="Y93" s="137"/>
      <c r="Z93" s="137"/>
      <c r="AA93" s="137" t="s">
        <v>1223</v>
      </c>
      <c r="AB93" s="205"/>
      <c r="AC93" s="137" t="s">
        <v>1334</v>
      </c>
      <c r="AD93" s="137"/>
      <c r="AE93" s="137"/>
      <c r="AF93" s="137"/>
      <c r="AG93" s="137"/>
      <c r="AH93" s="137"/>
      <c r="AI93" s="137"/>
      <c r="AJ93" s="137"/>
      <c r="AK93" s="137"/>
      <c r="AL93" s="137"/>
      <c r="AM93" s="134"/>
      <c r="AN93" s="203"/>
      <c r="AO93" s="121">
        <v>2</v>
      </c>
      <c r="AP93" s="120">
        <v>800</v>
      </c>
      <c r="AQ93" s="120" t="s">
        <v>125</v>
      </c>
      <c r="AR93" s="150">
        <v>16500000</v>
      </c>
      <c r="AS93" s="149">
        <v>14.25</v>
      </c>
      <c r="AT93" s="120"/>
      <c r="AU93" s="137"/>
      <c r="AV93" s="137"/>
      <c r="AW93" s="137"/>
      <c r="AX93" s="137"/>
      <c r="AY93" s="137"/>
      <c r="AZ93" s="137"/>
      <c r="BA93" s="137"/>
      <c r="BB93" s="137"/>
      <c r="BC93" s="137"/>
      <c r="BD93" s="137"/>
      <c r="BE93" s="137"/>
      <c r="BF93" s="137"/>
      <c r="BG93" s="137"/>
      <c r="BH93" s="137"/>
      <c r="BI93" s="137"/>
      <c r="BJ93" s="137"/>
      <c r="BK93" s="137"/>
      <c r="BL93" s="137"/>
      <c r="BM93" s="137"/>
      <c r="BN93" s="137"/>
      <c r="BO93" s="137"/>
      <c r="BP93" s="137"/>
      <c r="BQ93" s="137"/>
    </row>
    <row r="94" spans="1:69">
      <c r="A94" s="137"/>
      <c r="B94" s="137"/>
      <c r="C94" s="137"/>
      <c r="D94" s="137"/>
      <c r="E94" s="137"/>
      <c r="F94" s="137" t="s">
        <v>1335</v>
      </c>
      <c r="G94" s="409">
        <v>1000</v>
      </c>
      <c r="H94" s="137" t="s">
        <v>1336</v>
      </c>
      <c r="I94" s="137"/>
      <c r="J94" s="137"/>
      <c r="K94" s="202"/>
      <c r="L94" s="202"/>
      <c r="M94" s="137"/>
      <c r="N94" s="137"/>
      <c r="O94" s="137"/>
      <c r="P94" s="137"/>
      <c r="Q94" s="409"/>
      <c r="R94" s="137" t="s">
        <v>1337</v>
      </c>
      <c r="S94" s="137"/>
      <c r="T94" s="137"/>
      <c r="U94" s="202"/>
      <c r="V94" s="202"/>
      <c r="W94" s="137"/>
      <c r="X94" s="137"/>
      <c r="Y94" s="137"/>
      <c r="Z94" s="137"/>
      <c r="AA94" s="137" t="s">
        <v>1120</v>
      </c>
      <c r="AB94" s="205"/>
      <c r="AC94" s="137"/>
      <c r="AD94" s="137"/>
      <c r="AE94" s="137"/>
      <c r="AF94" s="137"/>
      <c r="AG94" s="137"/>
      <c r="AH94" s="137"/>
      <c r="AI94" s="137"/>
      <c r="AJ94" s="137"/>
      <c r="AK94" s="137"/>
      <c r="AL94" s="137"/>
      <c r="AM94" s="137" t="s">
        <v>1129</v>
      </c>
      <c r="AN94" s="205"/>
      <c r="AO94" s="121">
        <v>3</v>
      </c>
      <c r="AP94" s="120">
        <v>900</v>
      </c>
      <c r="AQ94" s="120" t="s">
        <v>122</v>
      </c>
      <c r="AR94" s="150">
        <v>17500000</v>
      </c>
      <c r="AS94" s="149">
        <v>16</v>
      </c>
      <c r="AT94" s="120"/>
      <c r="AU94" s="137"/>
      <c r="AV94" s="137"/>
      <c r="AW94" s="137"/>
      <c r="AX94" s="137"/>
      <c r="AY94" s="137"/>
      <c r="AZ94" s="137"/>
      <c r="BA94" s="137"/>
      <c r="BB94" s="137"/>
      <c r="BC94" s="137"/>
      <c r="BD94" s="137"/>
      <c r="BE94" s="137"/>
      <c r="BF94" s="137"/>
      <c r="BG94" s="137"/>
      <c r="BH94" s="137"/>
      <c r="BI94" s="137"/>
      <c r="BJ94" s="137"/>
      <c r="BK94" s="137"/>
      <c r="BL94" s="137"/>
      <c r="BM94" s="137"/>
      <c r="BN94" s="137"/>
      <c r="BO94" s="137"/>
      <c r="BP94" s="137"/>
      <c r="BQ94" s="137"/>
    </row>
    <row r="95" spans="1:69">
      <c r="A95" s="137"/>
      <c r="B95" s="137"/>
      <c r="C95" s="137"/>
      <c r="D95" s="137"/>
      <c r="E95" s="137"/>
      <c r="F95" s="137"/>
      <c r="G95" s="137"/>
      <c r="H95" s="137"/>
      <c r="I95" s="137"/>
      <c r="J95" s="137"/>
      <c r="K95" s="202"/>
      <c r="L95" s="202"/>
      <c r="M95" s="137"/>
      <c r="N95" s="137"/>
      <c r="O95" s="137"/>
      <c r="P95" s="137"/>
      <c r="Q95" s="137"/>
      <c r="R95" s="365" t="s">
        <v>1338</v>
      </c>
      <c r="S95" s="137"/>
      <c r="T95" s="137"/>
      <c r="U95" s="137"/>
      <c r="V95" s="137"/>
      <c r="W95" s="137"/>
      <c r="X95" s="137"/>
      <c r="Y95" s="137"/>
      <c r="Z95" s="137"/>
      <c r="AA95" s="137"/>
      <c r="AB95" s="137"/>
      <c r="AC95" s="137"/>
      <c r="AD95" s="137"/>
      <c r="AE95" s="137"/>
      <c r="AF95" s="137"/>
      <c r="AG95" s="137"/>
      <c r="AH95" s="137"/>
      <c r="AI95" s="137"/>
      <c r="AJ95" s="202"/>
      <c r="AK95" s="137"/>
      <c r="AL95" s="137"/>
      <c r="AM95" s="202"/>
      <c r="AN95" s="205"/>
      <c r="AO95" s="121">
        <v>4</v>
      </c>
      <c r="AP95" s="120">
        <v>1000</v>
      </c>
      <c r="AQ95" s="120" t="s">
        <v>128</v>
      </c>
      <c r="AR95" s="150">
        <v>18500000</v>
      </c>
      <c r="AS95" s="149">
        <v>18</v>
      </c>
      <c r="AT95" s="120"/>
      <c r="AU95" s="137"/>
      <c r="AV95" s="137"/>
      <c r="AW95" s="137"/>
      <c r="AX95" s="137"/>
      <c r="AY95" s="137"/>
      <c r="AZ95" s="137"/>
      <c r="BA95" s="137"/>
      <c r="BB95" s="137"/>
      <c r="BC95" s="137"/>
      <c r="BD95" s="137"/>
      <c r="BE95" s="137"/>
      <c r="BF95" s="137"/>
      <c r="BG95" s="137"/>
      <c r="BH95" s="137"/>
      <c r="BI95" s="137"/>
      <c r="BJ95" s="137"/>
      <c r="BK95" s="137"/>
      <c r="BL95" s="137"/>
      <c r="BM95" s="137"/>
      <c r="BN95" s="137"/>
      <c r="BO95" s="137"/>
      <c r="BP95" s="137"/>
      <c r="BQ95" s="137"/>
    </row>
    <row r="96" spans="1:69">
      <c r="A96" s="137"/>
      <c r="B96" s="137"/>
      <c r="C96" s="137"/>
      <c r="D96" s="137"/>
      <c r="E96" s="137"/>
      <c r="F96" s="137" t="s">
        <v>1339</v>
      </c>
      <c r="G96" s="137"/>
      <c r="H96" s="137"/>
      <c r="I96" s="137"/>
      <c r="J96" s="137"/>
      <c r="K96" s="137"/>
      <c r="L96" s="137"/>
      <c r="M96" s="137"/>
      <c r="N96" s="137"/>
      <c r="O96" s="137"/>
      <c r="P96" s="137"/>
      <c r="Q96" s="137"/>
      <c r="R96" s="137"/>
      <c r="S96" s="137"/>
      <c r="T96" s="137"/>
      <c r="U96" s="137"/>
      <c r="V96" s="137"/>
      <c r="W96" s="137"/>
      <c r="X96" s="137"/>
      <c r="Y96" s="137"/>
      <c r="Z96" s="137"/>
      <c r="AA96" s="137"/>
      <c r="AB96" s="137"/>
      <c r="AC96" s="137"/>
      <c r="AD96" s="137"/>
      <c r="AE96" s="137"/>
      <c r="AF96" s="137"/>
      <c r="AG96" s="137"/>
      <c r="AH96" s="137"/>
      <c r="AI96" s="137"/>
      <c r="AJ96" s="202"/>
      <c r="AK96" s="137"/>
      <c r="AL96" s="137"/>
      <c r="AM96" s="137"/>
      <c r="AN96" s="205"/>
      <c r="AO96" s="122">
        <v>5</v>
      </c>
      <c r="AP96" s="120">
        <v>1050</v>
      </c>
      <c r="AQ96" s="120" t="s">
        <v>129</v>
      </c>
      <c r="AR96" s="150">
        <v>19750000</v>
      </c>
      <c r="AS96" s="149">
        <v>19</v>
      </c>
      <c r="AT96" s="120"/>
      <c r="AU96" s="137"/>
      <c r="AV96" s="137"/>
      <c r="AW96" s="137"/>
      <c r="AX96" s="137"/>
      <c r="AY96" s="137"/>
      <c r="AZ96" s="137"/>
      <c r="BA96" s="137"/>
      <c r="BB96" s="137"/>
      <c r="BC96" s="137"/>
      <c r="BD96" s="137"/>
      <c r="BE96" s="137"/>
      <c r="BF96" s="137"/>
      <c r="BG96" s="137"/>
      <c r="BH96" s="137"/>
      <c r="BI96" s="137"/>
      <c r="BJ96" s="137"/>
      <c r="BK96" s="137"/>
      <c r="BL96" s="137"/>
      <c r="BM96" s="137"/>
      <c r="BN96" s="137"/>
      <c r="BO96" s="137"/>
      <c r="BP96" s="137"/>
      <c r="BQ96" s="137"/>
    </row>
    <row r="97" spans="1:69">
      <c r="A97" s="137"/>
      <c r="B97" s="137"/>
      <c r="C97" s="137"/>
      <c r="D97" s="137"/>
      <c r="E97" s="137"/>
      <c r="F97" s="134" t="s">
        <v>1340</v>
      </c>
      <c r="G97" s="203"/>
      <c r="H97" s="204" t="s">
        <v>243</v>
      </c>
      <c r="I97" s="136" t="s">
        <v>244</v>
      </c>
      <c r="J97" s="136" t="s">
        <v>1091</v>
      </c>
      <c r="K97" s="136" t="s">
        <v>1092</v>
      </c>
      <c r="L97" s="136" t="s">
        <v>1202</v>
      </c>
      <c r="M97" s="136" t="s">
        <v>1341</v>
      </c>
      <c r="N97" s="136" t="s">
        <v>931</v>
      </c>
      <c r="O97" s="136" t="s">
        <v>879</v>
      </c>
      <c r="P97" s="136" t="s">
        <v>1342</v>
      </c>
      <c r="Q97" s="137"/>
      <c r="R97" s="137"/>
      <c r="S97" s="137"/>
      <c r="T97" s="137"/>
      <c r="U97" s="137"/>
      <c r="V97" s="137"/>
      <c r="W97" s="137"/>
      <c r="X97" s="137"/>
      <c r="Y97" s="137"/>
      <c r="Z97" s="137"/>
      <c r="AA97" s="137"/>
      <c r="AB97" s="137"/>
      <c r="AC97" s="137"/>
      <c r="AD97" s="137"/>
      <c r="AE97" s="137"/>
      <c r="AF97" s="137"/>
      <c r="AG97" s="137"/>
      <c r="AH97" s="137"/>
      <c r="AI97" s="137"/>
      <c r="AJ97" s="202"/>
      <c r="AK97" s="137"/>
      <c r="AL97" s="137"/>
      <c r="AM97" s="137"/>
      <c r="AN97" s="205"/>
      <c r="AO97" s="122">
        <v>6</v>
      </c>
      <c r="AP97" s="120">
        <v>1100</v>
      </c>
      <c r="AQ97" s="120" t="s">
        <v>131</v>
      </c>
      <c r="AR97" s="150">
        <v>20000000</v>
      </c>
      <c r="AS97" s="149">
        <v>19.25</v>
      </c>
      <c r="AT97" s="120"/>
      <c r="AU97" s="137"/>
      <c r="AV97" s="137"/>
      <c r="AW97" s="137"/>
      <c r="AX97" s="137"/>
      <c r="AY97" s="137"/>
      <c r="AZ97" s="137"/>
      <c r="BA97" s="137"/>
      <c r="BB97" s="137"/>
      <c r="BC97" s="137"/>
      <c r="BD97" s="137"/>
      <c r="BE97" s="137"/>
      <c r="BF97" s="137"/>
      <c r="BG97" s="137"/>
      <c r="BH97" s="137"/>
      <c r="BI97" s="137"/>
      <c r="BJ97" s="137"/>
      <c r="BK97" s="137"/>
      <c r="BL97" s="137"/>
      <c r="BM97" s="137"/>
      <c r="BN97" s="137"/>
      <c r="BO97" s="137"/>
      <c r="BP97" s="137"/>
      <c r="BQ97" s="137"/>
    </row>
    <row r="98" spans="1:69">
      <c r="A98" s="137"/>
      <c r="B98" s="137"/>
      <c r="C98" s="137"/>
      <c r="D98" s="137"/>
      <c r="E98" s="137"/>
      <c r="F98" s="137" t="s">
        <v>1223</v>
      </c>
      <c r="G98" s="205"/>
      <c r="H98" s="122">
        <v>1</v>
      </c>
      <c r="I98" s="120">
        <v>2500</v>
      </c>
      <c r="J98" s="150">
        <v>14000000</v>
      </c>
      <c r="K98" s="149">
        <v>14</v>
      </c>
      <c r="L98" s="120" t="s">
        <v>17</v>
      </c>
      <c r="M98" s="120" t="s">
        <v>309</v>
      </c>
      <c r="N98" s="120" t="s">
        <v>563</v>
      </c>
      <c r="O98" s="120" t="s">
        <v>1343</v>
      </c>
      <c r="P98" s="120" t="s">
        <v>1344</v>
      </c>
      <c r="Q98" s="137"/>
      <c r="R98" s="137"/>
      <c r="S98" s="137"/>
      <c r="T98" s="137"/>
      <c r="U98" s="137"/>
      <c r="V98" s="137"/>
      <c r="W98" s="137"/>
      <c r="X98" s="137"/>
      <c r="Y98" s="137"/>
      <c r="Z98" s="137"/>
      <c r="AA98" s="137"/>
      <c r="AB98" s="137"/>
      <c r="AC98" s="137"/>
      <c r="AD98" s="137"/>
      <c r="AE98" s="137"/>
      <c r="AF98" s="137"/>
      <c r="AG98" s="137"/>
      <c r="AH98" s="137"/>
      <c r="AI98" s="137"/>
      <c r="AJ98" s="202"/>
      <c r="AK98" s="137"/>
      <c r="AL98" s="137"/>
      <c r="AM98" s="137"/>
      <c r="AN98" s="205"/>
      <c r="AO98" s="122">
        <v>7</v>
      </c>
      <c r="AP98" s="120">
        <v>1150</v>
      </c>
      <c r="AQ98" s="120" t="s">
        <v>133</v>
      </c>
      <c r="AR98" s="150">
        <v>20250000</v>
      </c>
      <c r="AS98" s="149">
        <v>19.5</v>
      </c>
      <c r="AT98" s="120"/>
      <c r="AU98" s="137"/>
      <c r="AV98" s="137"/>
      <c r="AW98" s="137"/>
      <c r="AX98" s="137"/>
      <c r="AY98" s="137"/>
      <c r="AZ98" s="137"/>
      <c r="BA98" s="137"/>
      <c r="BB98" s="137"/>
      <c r="BC98" s="137"/>
      <c r="BD98" s="137"/>
      <c r="BE98" s="137"/>
      <c r="BF98" s="137"/>
      <c r="BG98" s="137"/>
      <c r="BH98" s="137"/>
      <c r="BI98" s="137"/>
      <c r="BJ98" s="137"/>
      <c r="BK98" s="137"/>
      <c r="BL98" s="137"/>
      <c r="BM98" s="137"/>
      <c r="BN98" s="137"/>
      <c r="BO98" s="137"/>
      <c r="BP98" s="137"/>
      <c r="BQ98" s="137"/>
    </row>
    <row r="99" spans="1:69">
      <c r="A99" s="137"/>
      <c r="B99" s="137"/>
      <c r="C99" s="137"/>
      <c r="D99" s="137"/>
      <c r="E99" s="137"/>
      <c r="F99" s="137" t="s">
        <v>1120</v>
      </c>
      <c r="G99" s="205"/>
      <c r="H99" s="122">
        <v>2</v>
      </c>
      <c r="I99" s="120">
        <v>2800</v>
      </c>
      <c r="J99" s="150">
        <v>16000000</v>
      </c>
      <c r="K99" s="149">
        <v>16</v>
      </c>
      <c r="L99" s="120" t="s">
        <v>57</v>
      </c>
      <c r="M99" s="120" t="s">
        <v>309</v>
      </c>
      <c r="N99" s="120" t="s">
        <v>1345</v>
      </c>
      <c r="O99" s="120" t="s">
        <v>1346</v>
      </c>
      <c r="P99" s="120" t="s">
        <v>1344</v>
      </c>
      <c r="Q99" s="137"/>
      <c r="R99" s="137"/>
      <c r="S99" s="137"/>
      <c r="T99" s="137"/>
      <c r="U99" s="137"/>
      <c r="V99" s="137"/>
      <c r="W99" s="137"/>
      <c r="X99" s="137"/>
      <c r="Y99" s="137"/>
      <c r="Z99" s="137"/>
      <c r="AA99" s="137"/>
      <c r="AB99" s="137"/>
      <c r="AC99" s="137"/>
      <c r="AD99" s="137"/>
      <c r="AE99" s="137"/>
      <c r="AF99" s="137"/>
      <c r="AG99" s="137"/>
      <c r="AH99" s="137"/>
      <c r="AI99" s="137"/>
      <c r="AJ99" s="202"/>
      <c r="AK99" s="137"/>
      <c r="AL99" s="137"/>
      <c r="AM99" s="137"/>
      <c r="AN99" s="205"/>
      <c r="AO99" s="122">
        <v>8</v>
      </c>
      <c r="AP99" s="120">
        <v>1200</v>
      </c>
      <c r="AQ99" s="120" t="s">
        <v>135</v>
      </c>
      <c r="AR99" s="150">
        <v>20500000</v>
      </c>
      <c r="AS99" s="149">
        <v>19.75</v>
      </c>
      <c r="AT99" s="120"/>
      <c r="AU99" s="137"/>
      <c r="AV99" s="137"/>
      <c r="AW99" s="137"/>
      <c r="AX99" s="137"/>
      <c r="AY99" s="137"/>
      <c r="AZ99" s="137"/>
      <c r="BA99" s="137"/>
      <c r="BB99" s="137"/>
      <c r="BC99" s="137"/>
      <c r="BD99" s="137"/>
      <c r="BE99" s="137"/>
      <c r="BF99" s="137"/>
      <c r="BG99" s="137"/>
      <c r="BH99" s="137"/>
      <c r="BI99" s="137"/>
      <c r="BJ99" s="137"/>
      <c r="BK99" s="137"/>
      <c r="BL99" s="137"/>
      <c r="BM99" s="137"/>
      <c r="BN99" s="137"/>
      <c r="BO99" s="137"/>
      <c r="BP99" s="137"/>
      <c r="BQ99" s="137"/>
    </row>
    <row r="100" spans="1:69">
      <c r="A100" s="137"/>
      <c r="B100" s="137"/>
      <c r="C100" s="137"/>
      <c r="D100" s="137"/>
      <c r="E100" s="137"/>
      <c r="F100" s="137"/>
      <c r="G100" s="205"/>
      <c r="H100" s="122">
        <v>3</v>
      </c>
      <c r="I100" s="120">
        <v>3100</v>
      </c>
      <c r="J100" s="150">
        <v>18000000</v>
      </c>
      <c r="K100" s="149">
        <v>18</v>
      </c>
      <c r="L100" s="120" t="s">
        <v>41</v>
      </c>
      <c r="M100" s="120" t="s">
        <v>1333</v>
      </c>
      <c r="N100" s="120" t="s">
        <v>1333</v>
      </c>
      <c r="O100" s="120" t="s">
        <v>1347</v>
      </c>
      <c r="P100" s="120" t="s">
        <v>1348</v>
      </c>
      <c r="Q100" s="137"/>
      <c r="R100" s="137"/>
      <c r="S100" s="137"/>
      <c r="T100" s="137"/>
      <c r="U100" s="137"/>
      <c r="V100" s="137"/>
      <c r="W100" s="137"/>
      <c r="X100" s="137"/>
      <c r="Y100" s="137"/>
      <c r="Z100" s="137"/>
      <c r="AA100" s="137"/>
      <c r="AB100" s="137"/>
      <c r="AC100" s="137"/>
      <c r="AD100" s="137"/>
      <c r="AE100" s="137"/>
      <c r="AF100" s="137"/>
      <c r="AG100" s="137"/>
      <c r="AH100" s="137"/>
      <c r="AI100" s="137"/>
      <c r="AJ100" s="202"/>
      <c r="AK100" s="137"/>
      <c r="AL100" s="137"/>
      <c r="AM100" s="137"/>
      <c r="AN100" s="137"/>
      <c r="AO100" s="137"/>
      <c r="AP100" s="137"/>
      <c r="AQ100" s="137"/>
      <c r="AR100" s="137"/>
      <c r="AS100" s="137"/>
      <c r="AT100" s="137"/>
      <c r="AU100" s="137"/>
      <c r="AV100" s="137"/>
      <c r="AW100" s="137"/>
      <c r="AX100" s="137"/>
      <c r="AY100" s="137"/>
      <c r="AZ100" s="137"/>
      <c r="BA100" s="137"/>
      <c r="BB100" s="137"/>
      <c r="BC100" s="137"/>
      <c r="BD100" s="137"/>
      <c r="BE100" s="137"/>
      <c r="BF100" s="137"/>
      <c r="BG100" s="137"/>
      <c r="BH100" s="137"/>
      <c r="BI100" s="137"/>
      <c r="BJ100" s="137"/>
      <c r="BK100" s="137"/>
      <c r="BL100" s="137"/>
      <c r="BM100" s="137"/>
      <c r="BN100" s="137"/>
      <c r="BO100" s="137"/>
      <c r="BP100" s="137"/>
      <c r="BQ100" s="137"/>
    </row>
    <row r="101" spans="1:69">
      <c r="A101" s="137"/>
      <c r="B101" s="137"/>
      <c r="C101" s="137"/>
      <c r="D101" s="137"/>
      <c r="E101" s="137"/>
      <c r="F101" s="137"/>
      <c r="G101" s="137"/>
      <c r="H101" s="410"/>
      <c r="I101" s="120"/>
      <c r="J101" s="120"/>
      <c r="K101" s="120"/>
      <c r="L101" s="120"/>
      <c r="M101" s="120"/>
      <c r="N101" s="149"/>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137"/>
      <c r="AM101" s="137"/>
      <c r="AN101" s="137"/>
      <c r="AO101" s="137"/>
      <c r="AP101" s="137"/>
      <c r="AQ101" s="137"/>
      <c r="AR101" s="137"/>
      <c r="AS101" s="137"/>
      <c r="AT101" s="137"/>
      <c r="AU101" s="137"/>
      <c r="AV101" s="137"/>
      <c r="AW101" s="137"/>
      <c r="AX101" s="137"/>
      <c r="AY101" s="137"/>
      <c r="AZ101" s="137"/>
      <c r="BA101" s="137"/>
      <c r="BB101" s="137"/>
      <c r="BC101" s="137"/>
      <c r="BD101" s="137"/>
      <c r="BE101" s="137"/>
      <c r="BF101" s="137"/>
      <c r="BG101" s="137"/>
      <c r="BH101" s="137"/>
      <c r="BI101" s="137"/>
      <c r="BJ101" s="137"/>
      <c r="BK101" s="137"/>
      <c r="BL101" s="137"/>
      <c r="BM101" s="137"/>
      <c r="BN101" s="137"/>
      <c r="BO101" s="137"/>
      <c r="BP101" s="137"/>
      <c r="BQ101" s="137"/>
    </row>
    <row r="102" spans="1:69">
      <c r="A102" s="137"/>
      <c r="B102" s="137"/>
      <c r="C102" s="137"/>
      <c r="D102" s="137"/>
      <c r="E102" s="137"/>
      <c r="F102" s="137"/>
      <c r="G102" s="137"/>
      <c r="H102" s="137"/>
      <c r="I102" s="120"/>
      <c r="J102" s="120"/>
      <c r="K102" s="120"/>
      <c r="L102" s="120"/>
      <c r="M102" s="120"/>
      <c r="N102" s="149"/>
      <c r="O102" s="137"/>
      <c r="P102" s="137"/>
      <c r="Q102" s="137"/>
      <c r="R102" s="137"/>
      <c r="S102" s="137"/>
      <c r="T102" s="137"/>
      <c r="U102" s="137"/>
      <c r="V102" s="137"/>
      <c r="W102" s="137"/>
      <c r="X102" s="137"/>
      <c r="Y102" s="137"/>
      <c r="Z102" s="137"/>
      <c r="AA102" s="137"/>
      <c r="AB102" s="137"/>
      <c r="AC102" s="137"/>
      <c r="AD102" s="137"/>
      <c r="AE102" s="137"/>
      <c r="AF102" s="137"/>
      <c r="AG102" s="137"/>
      <c r="AH102" s="137"/>
      <c r="AI102" s="137"/>
      <c r="AJ102" s="137"/>
      <c r="AK102" s="530" t="s">
        <v>1349</v>
      </c>
      <c r="AL102" s="530"/>
      <c r="AM102" s="137"/>
      <c r="AN102" s="137"/>
      <c r="AO102" s="137"/>
      <c r="AP102" s="137"/>
      <c r="AQ102" s="137"/>
      <c r="AR102" s="202"/>
      <c r="AS102" s="202"/>
      <c r="AT102" s="137"/>
      <c r="AU102" s="137"/>
      <c r="AV102" s="137"/>
      <c r="AW102" s="137"/>
      <c r="AX102" s="137"/>
      <c r="AY102" s="137"/>
      <c r="AZ102" s="137"/>
      <c r="BA102" s="137"/>
      <c r="BB102" s="137"/>
      <c r="BC102" s="137"/>
      <c r="BD102" s="137"/>
      <c r="BE102" s="137"/>
      <c r="BF102" s="137"/>
      <c r="BG102" s="137"/>
      <c r="BH102" s="137"/>
      <c r="BI102" s="137"/>
      <c r="BJ102" s="137"/>
      <c r="BK102" s="137"/>
      <c r="BL102" s="137"/>
      <c r="BM102" s="137"/>
      <c r="BN102" s="137"/>
      <c r="BO102" s="137"/>
      <c r="BP102" s="137"/>
      <c r="BQ102" s="137"/>
    </row>
    <row r="103" spans="1:69">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c r="AA103" s="137"/>
      <c r="AB103" s="137"/>
      <c r="AC103" s="137"/>
      <c r="AD103" s="137"/>
      <c r="AE103" s="137"/>
      <c r="AF103" s="137"/>
      <c r="AG103" s="137"/>
      <c r="AH103" s="137"/>
      <c r="AI103" s="137"/>
      <c r="AJ103" s="137"/>
      <c r="AK103" s="533"/>
      <c r="AL103" s="533"/>
      <c r="AM103" s="383" t="s">
        <v>1350</v>
      </c>
      <c r="AN103" s="383"/>
      <c r="AO103" s="383"/>
      <c r="AP103" s="383"/>
      <c r="AQ103" s="383"/>
      <c r="AR103" s="383"/>
      <c r="AS103" s="383"/>
      <c r="AT103" s="383"/>
      <c r="AU103" s="383"/>
      <c r="AV103" s="383"/>
      <c r="AW103" s="383"/>
      <c r="AX103" s="383"/>
      <c r="AY103" s="383"/>
      <c r="AZ103" s="383"/>
      <c r="BA103" s="383"/>
      <c r="BB103" s="383"/>
      <c r="BC103" s="383"/>
      <c r="BD103" s="383"/>
      <c r="BE103" s="383"/>
      <c r="BF103" s="383"/>
      <c r="BG103" s="383"/>
      <c r="BH103" s="137"/>
      <c r="BI103" s="137"/>
      <c r="BJ103" s="137"/>
      <c r="BK103" s="137"/>
      <c r="BL103" s="137"/>
      <c r="BM103" s="202"/>
      <c r="BN103" s="137"/>
      <c r="BO103" s="137"/>
      <c r="BP103" s="137"/>
      <c r="BQ103" s="137"/>
    </row>
    <row r="104" spans="1:69">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c r="AA104" s="137"/>
      <c r="AB104" s="137"/>
      <c r="AC104" s="137"/>
      <c r="AD104" s="137"/>
      <c r="AE104" s="137"/>
      <c r="AF104" s="137"/>
      <c r="AG104" s="137"/>
      <c r="AH104" s="137"/>
      <c r="AI104" s="137"/>
      <c r="AJ104" s="137"/>
      <c r="AK104" s="137" t="s">
        <v>231</v>
      </c>
      <c r="AL104" s="137"/>
      <c r="AM104" s="137"/>
      <c r="AN104" s="137"/>
      <c r="AO104" s="137"/>
      <c r="AP104" s="137"/>
      <c r="AQ104" s="137"/>
      <c r="AR104" s="137"/>
      <c r="AS104" s="137"/>
      <c r="AT104" s="137"/>
      <c r="AU104" s="137"/>
      <c r="AV104" s="137"/>
      <c r="AW104" s="137"/>
      <c r="AX104" s="137"/>
      <c r="AY104" s="137"/>
      <c r="AZ104" s="137"/>
      <c r="BA104" s="137"/>
      <c r="BB104" s="137"/>
      <c r="BC104" s="137"/>
      <c r="BD104" s="137"/>
      <c r="BE104" s="137"/>
      <c r="BF104" s="137"/>
      <c r="BG104" s="137"/>
      <c r="BH104" s="137"/>
      <c r="BI104" s="137"/>
      <c r="BJ104" s="137"/>
      <c r="BK104" s="137"/>
      <c r="BL104" s="137"/>
      <c r="BM104" s="137"/>
      <c r="BN104" s="137"/>
      <c r="BO104" s="137"/>
      <c r="BP104" s="137"/>
      <c r="BQ104" s="137"/>
    </row>
    <row r="105" spans="1:69">
      <c r="A105" s="137"/>
      <c r="B105" s="137"/>
      <c r="C105" s="137"/>
      <c r="D105" s="137"/>
      <c r="E105" s="137"/>
      <c r="F105" s="137" t="s">
        <v>1351</v>
      </c>
      <c r="G105" s="137"/>
      <c r="H105" s="137"/>
      <c r="I105" s="137"/>
      <c r="J105" s="137"/>
      <c r="K105" s="137"/>
      <c r="L105" s="120"/>
      <c r="M105" s="120"/>
      <c r="N105" s="120"/>
      <c r="O105" s="120"/>
      <c r="P105" s="120"/>
      <c r="Q105" s="137"/>
      <c r="R105" s="137"/>
      <c r="S105" s="137"/>
      <c r="T105" s="137"/>
      <c r="U105" s="137"/>
      <c r="V105" s="137"/>
      <c r="W105" s="137"/>
      <c r="X105" s="137"/>
      <c r="Y105" s="137"/>
      <c r="Z105" s="137"/>
      <c r="AA105" s="137"/>
      <c r="AB105" s="137"/>
      <c r="AC105" s="137"/>
      <c r="AD105" s="137"/>
      <c r="AE105" s="137"/>
      <c r="AF105" s="137"/>
      <c r="AG105" s="137"/>
      <c r="AH105" s="137"/>
      <c r="AI105" s="137"/>
      <c r="AJ105" s="137"/>
      <c r="AK105" s="163" t="s">
        <v>1352</v>
      </c>
      <c r="AL105" s="137"/>
      <c r="AM105" s="137" t="s">
        <v>1353</v>
      </c>
      <c r="AN105" s="202"/>
      <c r="AO105" s="120"/>
      <c r="AP105" s="120"/>
      <c r="AQ105" s="120"/>
      <c r="AR105" s="120"/>
      <c r="AS105" s="137"/>
      <c r="AT105" s="137" t="s">
        <v>1354</v>
      </c>
      <c r="AU105" s="202"/>
      <c r="AV105" s="120"/>
      <c r="AW105" s="120"/>
      <c r="AX105" s="120"/>
      <c r="AY105" s="120"/>
      <c r="AZ105" s="137"/>
      <c r="BA105" s="137"/>
      <c r="BB105" s="137"/>
      <c r="BC105" s="137"/>
      <c r="BD105" s="137"/>
      <c r="BE105" s="137"/>
      <c r="BF105" s="137"/>
      <c r="BG105" s="137"/>
      <c r="BH105" s="137"/>
      <c r="BI105" s="137"/>
      <c r="BJ105" s="137"/>
      <c r="BK105" s="137"/>
      <c r="BL105" s="137"/>
      <c r="BM105" s="137"/>
      <c r="BN105" s="137"/>
      <c r="BO105" s="137"/>
      <c r="BP105" s="137"/>
      <c r="BQ105" s="137"/>
    </row>
    <row r="106" spans="1:69">
      <c r="A106" s="137"/>
      <c r="B106" s="137"/>
      <c r="C106" s="137"/>
      <c r="D106" s="137"/>
      <c r="E106" s="137"/>
      <c r="F106" s="134" t="s">
        <v>1340</v>
      </c>
      <c r="G106" s="203"/>
      <c r="H106" s="204" t="s">
        <v>243</v>
      </c>
      <c r="I106" s="136" t="s">
        <v>244</v>
      </c>
      <c r="J106" s="136" t="s">
        <v>1355</v>
      </c>
      <c r="K106" s="136" t="s">
        <v>1356</v>
      </c>
      <c r="L106" s="136" t="s">
        <v>244</v>
      </c>
      <c r="M106" s="136" t="s">
        <v>1091</v>
      </c>
      <c r="N106" s="136" t="s">
        <v>1092</v>
      </c>
      <c r="O106" s="120"/>
      <c r="P106" s="120"/>
      <c r="Q106" s="137"/>
      <c r="R106" s="137"/>
      <c r="S106" s="137"/>
      <c r="T106" s="137"/>
      <c r="U106" s="137"/>
      <c r="V106" s="137"/>
      <c r="W106" s="137"/>
      <c r="X106" s="137"/>
      <c r="Y106" s="137"/>
      <c r="Z106" s="137"/>
      <c r="AA106" s="137"/>
      <c r="AB106" s="137"/>
      <c r="AC106" s="137"/>
      <c r="AD106" s="137"/>
      <c r="AE106" s="137"/>
      <c r="AF106" s="137"/>
      <c r="AG106" s="137"/>
      <c r="AH106" s="137"/>
      <c r="AI106" s="137"/>
      <c r="AJ106" s="137"/>
      <c r="AK106" s="163" t="s">
        <v>1357</v>
      </c>
      <c r="AL106" s="137"/>
      <c r="AM106" s="134" t="s">
        <v>1358</v>
      </c>
      <c r="AN106" s="203"/>
      <c r="AO106" s="136" t="s">
        <v>243</v>
      </c>
      <c r="AP106" s="136" t="s">
        <v>1359</v>
      </c>
      <c r="AQ106" s="136" t="s">
        <v>1091</v>
      </c>
      <c r="AR106" s="136" t="s">
        <v>1092</v>
      </c>
      <c r="AS106" s="137"/>
      <c r="AT106" s="134" t="s">
        <v>1360</v>
      </c>
      <c r="AU106" s="203"/>
      <c r="AV106" s="204" t="s">
        <v>243</v>
      </c>
      <c r="AW106" s="136" t="s">
        <v>1361</v>
      </c>
      <c r="AX106" s="136" t="s">
        <v>1091</v>
      </c>
      <c r="AY106" s="136" t="s">
        <v>1092</v>
      </c>
      <c r="AZ106" s="137"/>
      <c r="BA106" s="137" t="s">
        <v>1362</v>
      </c>
      <c r="BB106" s="95"/>
      <c r="BC106" s="424"/>
      <c r="BD106" s="424"/>
      <c r="BE106" s="424"/>
      <c r="BF106" s="424"/>
      <c r="BG106" s="424"/>
      <c r="BH106" s="137"/>
      <c r="BI106" s="137"/>
      <c r="BJ106" s="137"/>
      <c r="BK106" s="137"/>
      <c r="BL106" s="137"/>
      <c r="BM106" s="137"/>
      <c r="BN106" s="137"/>
      <c r="BO106" s="137"/>
      <c r="BP106" s="137"/>
      <c r="BQ106" s="137"/>
    </row>
    <row r="107" spans="1:69">
      <c r="A107" s="137"/>
      <c r="B107" s="137"/>
      <c r="C107" s="137"/>
      <c r="D107" s="137"/>
      <c r="E107" s="137"/>
      <c r="F107" s="137" t="s">
        <v>287</v>
      </c>
      <c r="G107" s="205"/>
      <c r="H107" s="122">
        <v>1</v>
      </c>
      <c r="I107" s="120">
        <v>4747</v>
      </c>
      <c r="J107" s="120">
        <v>150</v>
      </c>
      <c r="K107" s="362">
        <v>0.12</v>
      </c>
      <c r="L107" s="120">
        <v>4747</v>
      </c>
      <c r="M107" s="150">
        <v>300000</v>
      </c>
      <c r="N107" s="149">
        <v>18</v>
      </c>
      <c r="O107" s="120"/>
      <c r="P107" s="120"/>
      <c r="Q107" s="137"/>
      <c r="R107" s="137"/>
      <c r="S107" s="137"/>
      <c r="T107" s="137"/>
      <c r="U107" s="137"/>
      <c r="V107" s="137"/>
      <c r="W107" s="137"/>
      <c r="X107" s="137"/>
      <c r="Y107" s="137"/>
      <c r="Z107" s="137"/>
      <c r="AA107" s="137"/>
      <c r="AB107" s="137"/>
      <c r="AC107" s="137"/>
      <c r="AD107" s="137"/>
      <c r="AE107" s="137"/>
      <c r="AF107" s="137"/>
      <c r="AG107" s="137"/>
      <c r="AH107" s="137"/>
      <c r="AI107" s="137"/>
      <c r="AJ107" s="137"/>
      <c r="AK107" s="163" t="s">
        <v>1363</v>
      </c>
      <c r="AL107" s="137"/>
      <c r="AM107" s="137" t="s">
        <v>1364</v>
      </c>
      <c r="AN107" s="205"/>
      <c r="AO107" s="87">
        <v>1</v>
      </c>
      <c r="AP107" s="120">
        <v>20</v>
      </c>
      <c r="AQ107" s="120">
        <v>400</v>
      </c>
      <c r="AR107" s="407">
        <v>0</v>
      </c>
      <c r="AS107" s="120"/>
      <c r="AT107" s="137" t="s">
        <v>1365</v>
      </c>
      <c r="AU107" s="318"/>
      <c r="AV107" s="87">
        <v>1</v>
      </c>
      <c r="AW107" s="120">
        <v>10</v>
      </c>
      <c r="AX107" s="120">
        <v>2000</v>
      </c>
      <c r="AY107" s="407">
        <v>0</v>
      </c>
      <c r="AZ107" s="137"/>
      <c r="BA107" s="134" t="s">
        <v>1358</v>
      </c>
      <c r="BB107" s="203"/>
      <c r="BC107" s="136" t="s">
        <v>243</v>
      </c>
      <c r="BD107" s="136" t="s">
        <v>1359</v>
      </c>
      <c r="BE107" s="136" t="s">
        <v>1323</v>
      </c>
      <c r="BF107" s="426" t="s">
        <v>1091</v>
      </c>
      <c r="BG107" s="426" t="s">
        <v>1092</v>
      </c>
      <c r="BH107" s="137"/>
      <c r="BI107" s="137"/>
      <c r="BJ107" s="137"/>
      <c r="BK107" s="137"/>
      <c r="BL107" s="137"/>
      <c r="BM107" s="137"/>
      <c r="BN107" s="137"/>
      <c r="BO107" s="137"/>
      <c r="BP107" s="137"/>
      <c r="BQ107" s="137"/>
    </row>
    <row r="108" spans="1:69">
      <c r="A108" s="137"/>
      <c r="B108" s="137"/>
      <c r="C108" s="137"/>
      <c r="D108" s="137"/>
      <c r="E108" s="137"/>
      <c r="F108" s="366" t="s">
        <v>1107</v>
      </c>
      <c r="G108" s="411"/>
      <c r="H108" s="122">
        <v>2</v>
      </c>
      <c r="I108" s="120">
        <v>5050</v>
      </c>
      <c r="J108" s="120">
        <v>200</v>
      </c>
      <c r="K108" s="362">
        <v>0.13</v>
      </c>
      <c r="L108" s="120">
        <v>5050</v>
      </c>
      <c r="M108" s="150">
        <v>360000</v>
      </c>
      <c r="N108" s="149">
        <v>19</v>
      </c>
      <c r="O108" s="120"/>
      <c r="P108" s="120"/>
      <c r="Q108" s="137"/>
      <c r="R108" s="137"/>
      <c r="S108" s="137"/>
      <c r="T108" s="137"/>
      <c r="U108" s="137"/>
      <c r="V108" s="137"/>
      <c r="W108" s="137"/>
      <c r="X108" s="137"/>
      <c r="Y108" s="137"/>
      <c r="Z108" s="137"/>
      <c r="AA108" s="137"/>
      <c r="AB108" s="137"/>
      <c r="AC108" s="137"/>
      <c r="AD108" s="137"/>
      <c r="AE108" s="137"/>
      <c r="AF108" s="137"/>
      <c r="AG108" s="137"/>
      <c r="AH108" s="137"/>
      <c r="AI108" s="137"/>
      <c r="AJ108" s="137"/>
      <c r="AK108" s="163" t="s">
        <v>1366</v>
      </c>
      <c r="AL108" s="137"/>
      <c r="AM108" s="140" t="s">
        <v>1367</v>
      </c>
      <c r="AN108" s="207"/>
      <c r="AO108" s="87">
        <v>2</v>
      </c>
      <c r="AP108" s="120">
        <v>24</v>
      </c>
      <c r="AQ108" s="120">
        <v>1000</v>
      </c>
      <c r="AR108" s="407">
        <v>4.1666666666666701E-3</v>
      </c>
      <c r="AS108" s="120"/>
      <c r="AT108" s="140" t="s">
        <v>1368</v>
      </c>
      <c r="AU108" s="319"/>
      <c r="AV108" s="99">
        <v>2</v>
      </c>
      <c r="AW108" s="120">
        <v>12</v>
      </c>
      <c r="AX108" s="150">
        <v>300000</v>
      </c>
      <c r="AY108" s="407">
        <v>0.5</v>
      </c>
      <c r="AZ108" s="137"/>
      <c r="BA108" s="137" t="s">
        <v>1369</v>
      </c>
      <c r="BB108" s="318"/>
      <c r="BC108" s="87">
        <v>1</v>
      </c>
      <c r="BD108" s="120">
        <v>175</v>
      </c>
      <c r="BE108" s="120" t="s">
        <v>294</v>
      </c>
      <c r="BF108" s="120">
        <v>12500</v>
      </c>
      <c r="BG108" s="120">
        <v>0</v>
      </c>
      <c r="BH108" s="137"/>
      <c r="BI108" s="137"/>
      <c r="BJ108" s="137"/>
      <c r="BK108" s="137"/>
      <c r="BL108" s="137"/>
      <c r="BM108" s="137"/>
      <c r="BN108" s="137"/>
      <c r="BO108" s="137"/>
      <c r="BP108" s="137"/>
      <c r="BQ108" s="137"/>
    </row>
    <row r="109" spans="1:69">
      <c r="A109" s="137"/>
      <c r="B109" s="137"/>
      <c r="C109" s="137"/>
      <c r="D109" s="137"/>
      <c r="E109" s="137"/>
      <c r="F109" s="137" t="s">
        <v>1117</v>
      </c>
      <c r="G109" s="205"/>
      <c r="H109" s="412"/>
      <c r="I109" s="120"/>
      <c r="J109" s="150"/>
      <c r="K109" s="149"/>
      <c r="L109" s="120"/>
      <c r="M109" s="120"/>
      <c r="N109" s="120"/>
      <c r="O109" s="120"/>
      <c r="P109" s="120"/>
      <c r="Q109" s="137"/>
      <c r="R109" s="137"/>
      <c r="S109" s="137"/>
      <c r="T109" s="137"/>
      <c r="U109" s="137"/>
      <c r="V109" s="137"/>
      <c r="W109" s="137"/>
      <c r="X109" s="137"/>
      <c r="Y109" s="137"/>
      <c r="Z109" s="137"/>
      <c r="AA109" s="137"/>
      <c r="AB109" s="137"/>
      <c r="AC109" s="137"/>
      <c r="AD109" s="137"/>
      <c r="AE109" s="137"/>
      <c r="AF109" s="137"/>
      <c r="AG109" s="137"/>
      <c r="AH109" s="137"/>
      <c r="AI109" s="137"/>
      <c r="AJ109" s="137"/>
      <c r="AK109" s="163" t="s">
        <v>1370</v>
      </c>
      <c r="AL109" s="137"/>
      <c r="AM109" s="134" t="s">
        <v>1114</v>
      </c>
      <c r="AN109" s="203"/>
      <c r="AO109" s="87">
        <v>3</v>
      </c>
      <c r="AP109" s="120">
        <v>29</v>
      </c>
      <c r="AQ109" s="150">
        <v>10000</v>
      </c>
      <c r="AR109" s="407">
        <v>8.3333333333333301E-2</v>
      </c>
      <c r="AS109" s="120"/>
      <c r="AT109" s="137" t="s">
        <v>1114</v>
      </c>
      <c r="AU109" s="320"/>
      <c r="AV109" s="90">
        <v>3</v>
      </c>
      <c r="AW109" s="120">
        <v>14</v>
      </c>
      <c r="AX109" s="150">
        <v>500000</v>
      </c>
      <c r="AY109" s="407">
        <v>0.75</v>
      </c>
      <c r="AZ109" s="137"/>
      <c r="BA109" s="140" t="s">
        <v>1371</v>
      </c>
      <c r="BB109" s="319"/>
      <c r="BC109" s="87">
        <v>2</v>
      </c>
      <c r="BD109" s="120">
        <v>200</v>
      </c>
      <c r="BE109" s="120" t="s">
        <v>1372</v>
      </c>
      <c r="BF109" s="150">
        <v>75000</v>
      </c>
      <c r="BG109" s="407">
        <v>0.25</v>
      </c>
      <c r="BH109" s="137"/>
      <c r="BI109" s="137"/>
      <c r="BJ109" s="137"/>
      <c r="BK109" s="137"/>
      <c r="BL109" s="137"/>
      <c r="BM109" s="137"/>
      <c r="BN109" s="137"/>
      <c r="BO109" s="137"/>
      <c r="BP109" s="137"/>
      <c r="BQ109" s="137"/>
    </row>
    <row r="110" spans="1:69">
      <c r="A110" s="137"/>
      <c r="B110" s="137"/>
      <c r="C110" s="137"/>
      <c r="D110" s="137"/>
      <c r="E110" s="137"/>
      <c r="F110" s="366" t="s">
        <v>1373</v>
      </c>
      <c r="G110" s="366"/>
      <c r="H110" s="365"/>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137"/>
      <c r="AF110" s="137"/>
      <c r="AG110" s="137"/>
      <c r="AH110" s="137"/>
      <c r="AI110" s="137"/>
      <c r="AJ110" s="137"/>
      <c r="AK110" s="163" t="s">
        <v>1374</v>
      </c>
      <c r="AL110" s="137"/>
      <c r="AM110" s="137" t="s">
        <v>1375</v>
      </c>
      <c r="AN110" s="205"/>
      <c r="AO110" s="99">
        <v>4</v>
      </c>
      <c r="AP110" s="120">
        <v>35</v>
      </c>
      <c r="AQ110" s="150">
        <v>100000</v>
      </c>
      <c r="AR110" s="407">
        <v>0.33333333333333298</v>
      </c>
      <c r="AS110" s="120"/>
      <c r="AT110" s="137" t="s">
        <v>1376</v>
      </c>
      <c r="AU110" s="318"/>
      <c r="AV110" s="91">
        <v>4</v>
      </c>
      <c r="AW110" s="120">
        <v>16</v>
      </c>
      <c r="AX110" s="150">
        <v>800000</v>
      </c>
      <c r="AY110" s="407">
        <v>1.5</v>
      </c>
      <c r="AZ110" s="137"/>
      <c r="BA110" s="134" t="s">
        <v>1223</v>
      </c>
      <c r="BB110" s="320"/>
      <c r="BC110" s="90">
        <v>3</v>
      </c>
      <c r="BD110" s="120">
        <v>225</v>
      </c>
      <c r="BE110" s="120" t="s">
        <v>1372</v>
      </c>
      <c r="BF110" s="150">
        <v>600000</v>
      </c>
      <c r="BG110" s="407">
        <v>1</v>
      </c>
      <c r="BH110" s="137"/>
      <c r="BI110" s="137"/>
      <c r="BJ110" s="137"/>
      <c r="BK110" s="137"/>
      <c r="BL110" s="137"/>
      <c r="BM110" s="137"/>
      <c r="BN110" s="137"/>
      <c r="BO110" s="137"/>
      <c r="BP110" s="137"/>
      <c r="BQ110" s="137"/>
    </row>
    <row r="111" spans="1:69">
      <c r="A111" s="137"/>
      <c r="B111" s="137"/>
      <c r="C111" s="137"/>
      <c r="D111" s="137"/>
      <c r="E111" s="137"/>
      <c r="F111" s="137" t="s">
        <v>1377</v>
      </c>
      <c r="G111" s="137"/>
      <c r="H111" s="365" t="s">
        <v>1378</v>
      </c>
      <c r="I111" s="137"/>
      <c r="J111" s="137"/>
      <c r="K111" s="137"/>
      <c r="L111" s="137"/>
      <c r="M111" s="137"/>
      <c r="N111" s="137"/>
      <c r="O111" s="137"/>
      <c r="P111" s="137"/>
      <c r="Q111" s="137"/>
      <c r="R111" s="137"/>
      <c r="S111" s="137"/>
      <c r="T111" s="137"/>
      <c r="U111" s="137"/>
      <c r="V111" s="137"/>
      <c r="W111" s="137"/>
      <c r="X111" s="137"/>
      <c r="Y111" s="137"/>
      <c r="Z111" s="137"/>
      <c r="AA111" s="137"/>
      <c r="AB111" s="137"/>
      <c r="AC111" s="137"/>
      <c r="AD111" s="137"/>
      <c r="AE111" s="137"/>
      <c r="AF111" s="137"/>
      <c r="AG111" s="137"/>
      <c r="AH111" s="137"/>
      <c r="AI111" s="137"/>
      <c r="AJ111" s="137"/>
      <c r="AK111" s="163" t="s">
        <v>1379</v>
      </c>
      <c r="AL111" s="137"/>
      <c r="AM111" s="202"/>
      <c r="AN111" s="205"/>
      <c r="AO111" s="90">
        <v>5</v>
      </c>
      <c r="AP111" s="120">
        <v>42</v>
      </c>
      <c r="AQ111" s="150">
        <v>300000</v>
      </c>
      <c r="AR111" s="407">
        <v>0.75</v>
      </c>
      <c r="AS111" s="120"/>
      <c r="AT111" s="202"/>
      <c r="AU111" s="318"/>
      <c r="AV111" s="92">
        <v>5</v>
      </c>
      <c r="AW111" s="120">
        <v>18</v>
      </c>
      <c r="AX111" s="150">
        <v>1000000</v>
      </c>
      <c r="AY111" s="407">
        <v>3</v>
      </c>
      <c r="AZ111" s="137"/>
      <c r="BA111" s="137" t="s">
        <v>1380</v>
      </c>
      <c r="BB111" s="318"/>
      <c r="BC111" s="92">
        <v>4</v>
      </c>
      <c r="BD111" s="120">
        <v>250</v>
      </c>
      <c r="BE111" s="120" t="s">
        <v>1326</v>
      </c>
      <c r="BF111" s="150">
        <v>2000000</v>
      </c>
      <c r="BG111" s="407">
        <v>3</v>
      </c>
      <c r="BH111" s="137"/>
      <c r="BI111" s="137"/>
      <c r="BJ111" s="137"/>
      <c r="BK111" s="137"/>
      <c r="BL111" s="137"/>
      <c r="BM111" s="137"/>
      <c r="BN111" s="137"/>
      <c r="BO111" s="137"/>
      <c r="BP111" s="137"/>
      <c r="BQ111" s="137"/>
    </row>
    <row r="112" spans="1:69">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c r="X112" s="137"/>
      <c r="Y112" s="137"/>
      <c r="Z112" s="137"/>
      <c r="AA112" s="137"/>
      <c r="AB112" s="137"/>
      <c r="AC112" s="137"/>
      <c r="AD112" s="137"/>
      <c r="AE112" s="137"/>
      <c r="AF112" s="137"/>
      <c r="AG112" s="137"/>
      <c r="AH112" s="137"/>
      <c r="AI112" s="137"/>
      <c r="AJ112" s="137"/>
      <c r="AK112" s="137"/>
      <c r="AL112" s="137"/>
      <c r="AM112" s="120"/>
      <c r="AN112" s="422"/>
      <c r="AO112" s="91">
        <v>6</v>
      </c>
      <c r="AP112" s="120">
        <v>54</v>
      </c>
      <c r="AQ112" s="150">
        <v>500000</v>
      </c>
      <c r="AR112" s="407">
        <v>1.5</v>
      </c>
      <c r="AS112" s="120"/>
      <c r="AT112" s="137"/>
      <c r="AU112" s="137"/>
      <c r="AV112" s="137"/>
      <c r="AW112" s="137"/>
      <c r="AX112" s="137"/>
      <c r="AY112" s="137"/>
      <c r="AZ112" s="137"/>
      <c r="BA112" s="123"/>
      <c r="BB112" s="425"/>
      <c r="BC112" s="93">
        <v>5</v>
      </c>
      <c r="BD112" s="120">
        <v>275</v>
      </c>
      <c r="BE112" s="120" t="s">
        <v>1326</v>
      </c>
      <c r="BF112" s="150">
        <v>2500000</v>
      </c>
      <c r="BG112" s="407">
        <v>3.5</v>
      </c>
      <c r="BH112" s="137"/>
      <c r="BI112" s="137"/>
      <c r="BJ112" s="137"/>
      <c r="BK112" s="137"/>
      <c r="BL112" s="137"/>
      <c r="BM112" s="137"/>
      <c r="BN112" s="137"/>
      <c r="BO112" s="137"/>
      <c r="BP112" s="137"/>
      <c r="BQ112" s="137"/>
    </row>
    <row r="113" spans="1:69">
      <c r="A113" s="137"/>
      <c r="B113" s="137"/>
      <c r="C113" s="137"/>
      <c r="D113" s="137"/>
      <c r="E113" s="137"/>
      <c r="F113" s="137" t="s">
        <v>1381</v>
      </c>
      <c r="G113" s="137"/>
      <c r="H113" s="137"/>
      <c r="I113" s="137"/>
      <c r="J113" s="137"/>
      <c r="K113" s="137"/>
      <c r="L113" s="137"/>
      <c r="M113" s="137"/>
      <c r="N113" s="419"/>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7"/>
      <c r="AJ113" s="137"/>
      <c r="AK113" s="142" t="s">
        <v>1173</v>
      </c>
      <c r="AL113" s="137"/>
      <c r="AM113" s="120"/>
      <c r="AN113" s="422"/>
      <c r="AO113" s="92">
        <v>7</v>
      </c>
      <c r="AP113" s="120">
        <v>72</v>
      </c>
      <c r="AQ113" s="150">
        <v>850000</v>
      </c>
      <c r="AR113" s="407">
        <v>2.5</v>
      </c>
      <c r="AS113" s="120"/>
      <c r="AT113" s="137"/>
      <c r="AU113" s="137"/>
      <c r="AV113" s="137"/>
      <c r="AW113" s="137"/>
      <c r="AX113" s="137"/>
      <c r="AY113" s="137"/>
      <c r="AZ113" s="137"/>
      <c r="BA113" s="123"/>
      <c r="BB113" s="425"/>
      <c r="BC113" s="100">
        <v>6</v>
      </c>
      <c r="BD113" s="120">
        <v>325</v>
      </c>
      <c r="BE113" s="120" t="s">
        <v>1326</v>
      </c>
      <c r="BF113" s="150">
        <v>3800000</v>
      </c>
      <c r="BG113" s="407">
        <v>5.25</v>
      </c>
      <c r="BH113" s="137"/>
      <c r="BI113" s="137"/>
      <c r="BJ113" s="137"/>
      <c r="BK113" s="137"/>
      <c r="BL113" s="137"/>
      <c r="BM113" s="137"/>
      <c r="BN113" s="137"/>
      <c r="BO113" s="137"/>
      <c r="BP113" s="137"/>
      <c r="BQ113" s="137"/>
    </row>
    <row r="114" spans="1:69">
      <c r="A114" s="137"/>
      <c r="B114" s="137"/>
      <c r="C114" s="137"/>
      <c r="D114" s="137"/>
      <c r="E114" s="137"/>
      <c r="F114" s="413" t="s">
        <v>1382</v>
      </c>
      <c r="G114" s="414">
        <v>1</v>
      </c>
      <c r="H114" s="413">
        <v>2</v>
      </c>
      <c r="I114" s="413">
        <v>3</v>
      </c>
      <c r="J114" s="420">
        <v>4</v>
      </c>
      <c r="K114" s="420">
        <v>5</v>
      </c>
      <c r="L114" s="413">
        <v>6</v>
      </c>
      <c r="M114" s="413">
        <v>7</v>
      </c>
      <c r="N114" s="120">
        <v>8</v>
      </c>
      <c r="O114" s="137"/>
      <c r="P114" s="137"/>
      <c r="Q114" s="137"/>
      <c r="R114" s="137"/>
      <c r="S114" s="137"/>
      <c r="T114" s="137"/>
      <c r="U114" s="137"/>
      <c r="V114" s="137"/>
      <c r="W114" s="137"/>
      <c r="X114" s="137"/>
      <c r="Y114" s="137"/>
      <c r="Z114" s="137"/>
      <c r="AA114" s="137"/>
      <c r="AB114" s="137"/>
      <c r="AC114" s="137"/>
      <c r="AD114" s="137"/>
      <c r="AE114" s="137"/>
      <c r="AF114" s="137"/>
      <c r="AG114" s="137"/>
      <c r="AH114" s="137"/>
      <c r="AI114" s="137"/>
      <c r="AJ114" s="137"/>
      <c r="AK114" s="142" t="s">
        <v>1183</v>
      </c>
      <c r="AL114" s="137"/>
      <c r="AM114" s="120"/>
      <c r="AN114" s="422"/>
      <c r="AO114" s="93">
        <v>8</v>
      </c>
      <c r="AP114" s="120">
        <v>92</v>
      </c>
      <c r="AQ114" s="150">
        <v>1400000</v>
      </c>
      <c r="AR114" s="407">
        <v>2.75</v>
      </c>
      <c r="AS114" s="120"/>
      <c r="AT114" s="137"/>
      <c r="AU114" s="137"/>
      <c r="AV114" s="137"/>
      <c r="AW114" s="137"/>
      <c r="AX114" s="137"/>
      <c r="AY114" s="137"/>
      <c r="AZ114" s="137"/>
      <c r="BA114" s="123"/>
      <c r="BB114" s="425"/>
      <c r="BC114" s="100">
        <v>7</v>
      </c>
      <c r="BD114" s="120">
        <v>375</v>
      </c>
      <c r="BE114" s="120" t="s">
        <v>1326</v>
      </c>
      <c r="BF114" s="150">
        <v>5200000</v>
      </c>
      <c r="BG114" s="407">
        <v>6.75</v>
      </c>
      <c r="BH114" s="137"/>
      <c r="BI114" s="137"/>
      <c r="BJ114" s="137"/>
      <c r="BK114" s="137"/>
      <c r="BL114" s="137"/>
      <c r="BM114" s="137"/>
      <c r="BN114" s="137"/>
      <c r="BO114" s="137"/>
      <c r="BP114" s="137"/>
      <c r="BQ114" s="137"/>
    </row>
    <row r="115" spans="1:69">
      <c r="A115" s="137"/>
      <c r="B115" s="137"/>
      <c r="C115" s="137"/>
      <c r="D115" s="137"/>
      <c r="E115" s="137"/>
      <c r="F115" s="415" t="s">
        <v>1383</v>
      </c>
      <c r="G115" s="416" t="s">
        <v>1384</v>
      </c>
      <c r="H115" s="416" t="s">
        <v>1385</v>
      </c>
      <c r="I115" s="416" t="s">
        <v>1386</v>
      </c>
      <c r="J115" s="384" t="s">
        <v>1387</v>
      </c>
      <c r="K115" s="384" t="s">
        <v>1388</v>
      </c>
      <c r="L115" s="416" t="s">
        <v>1389</v>
      </c>
      <c r="M115" s="416" t="s">
        <v>1390</v>
      </c>
      <c r="N115" s="416" t="s">
        <v>1391</v>
      </c>
      <c r="O115" s="137"/>
      <c r="P115" s="137"/>
      <c r="Q115" s="137"/>
      <c r="R115" s="137"/>
      <c r="S115" s="137"/>
      <c r="T115" s="137"/>
      <c r="U115" s="137"/>
      <c r="V115" s="137"/>
      <c r="W115" s="137"/>
      <c r="X115" s="137"/>
      <c r="Y115" s="137"/>
      <c r="Z115" s="137"/>
      <c r="AA115" s="137"/>
      <c r="AB115" s="137"/>
      <c r="AC115" s="137"/>
      <c r="AD115" s="137"/>
      <c r="AE115" s="137"/>
      <c r="AF115" s="137"/>
      <c r="AG115" s="137"/>
      <c r="AH115" s="137"/>
      <c r="AI115" s="137"/>
      <c r="AJ115" s="137"/>
      <c r="AK115" s="142" t="s">
        <v>307</v>
      </c>
      <c r="AL115" s="137"/>
      <c r="AM115" s="120"/>
      <c r="AN115" s="422"/>
      <c r="AO115" s="100">
        <v>9</v>
      </c>
      <c r="AP115" s="120">
        <v>125</v>
      </c>
      <c r="AQ115" s="150">
        <v>3000000</v>
      </c>
      <c r="AR115" s="407">
        <v>4.5</v>
      </c>
      <c r="AS115" s="120"/>
      <c r="AT115" s="137" t="s">
        <v>1392</v>
      </c>
      <c r="AU115" s="137"/>
      <c r="AV115" s="137" t="s">
        <v>1393</v>
      </c>
      <c r="AW115" s="202"/>
      <c r="AX115" s="202"/>
      <c r="AY115" s="202"/>
      <c r="AZ115" s="120"/>
      <c r="BA115" s="123"/>
      <c r="BB115" s="425"/>
      <c r="BC115" s="121">
        <v>8</v>
      </c>
      <c r="BD115" s="120">
        <v>400</v>
      </c>
      <c r="BE115" s="120" t="s">
        <v>1326</v>
      </c>
      <c r="BF115" s="150">
        <v>8500000</v>
      </c>
      <c r="BG115" s="407">
        <v>10.5</v>
      </c>
      <c r="BH115" s="137"/>
      <c r="BI115" s="137"/>
      <c r="BJ115" s="137"/>
      <c r="BK115" s="137"/>
      <c r="BL115" s="137"/>
      <c r="BM115" s="137"/>
      <c r="BN115" s="137"/>
      <c r="BO115" s="137"/>
      <c r="BP115" s="137"/>
      <c r="BQ115" s="137"/>
    </row>
    <row r="116" spans="1:69">
      <c r="A116" s="137"/>
      <c r="B116" s="137"/>
      <c r="C116" s="137"/>
      <c r="D116" s="137"/>
      <c r="E116" s="137"/>
      <c r="F116" s="120" t="s">
        <v>1394</v>
      </c>
      <c r="G116" s="417" t="s">
        <v>1395</v>
      </c>
      <c r="H116" s="384" t="s">
        <v>1396</v>
      </c>
      <c r="I116" s="384" t="s">
        <v>1397</v>
      </c>
      <c r="J116" s="384" t="s">
        <v>1398</v>
      </c>
      <c r="K116" s="384" t="s">
        <v>1399</v>
      </c>
      <c r="L116" s="384" t="s">
        <v>1400</v>
      </c>
      <c r="M116" s="384" t="s">
        <v>1401</v>
      </c>
      <c r="N116" s="120" t="s">
        <v>1402</v>
      </c>
      <c r="O116" s="137"/>
      <c r="P116" s="137"/>
      <c r="Q116" s="137"/>
      <c r="R116" s="137"/>
      <c r="S116" s="137"/>
      <c r="T116" s="137"/>
      <c r="U116" s="137"/>
      <c r="V116" s="137"/>
      <c r="W116" s="137"/>
      <c r="X116" s="137"/>
      <c r="Y116" s="137"/>
      <c r="Z116" s="137"/>
      <c r="AA116" s="137"/>
      <c r="AB116" s="137"/>
      <c r="AC116" s="137"/>
      <c r="AD116" s="137"/>
      <c r="AE116" s="137"/>
      <c r="AF116" s="137"/>
      <c r="AG116" s="137"/>
      <c r="AH116" s="137"/>
      <c r="AI116" s="137"/>
      <c r="AJ116" s="137"/>
      <c r="AK116" s="137"/>
      <c r="AL116" s="137"/>
      <c r="AM116" s="120"/>
      <c r="AN116" s="422"/>
      <c r="AO116" s="121">
        <v>10</v>
      </c>
      <c r="AP116" s="120">
        <v>140</v>
      </c>
      <c r="AQ116" s="150">
        <v>5500000</v>
      </c>
      <c r="AR116" s="407">
        <v>7.5</v>
      </c>
      <c r="AS116" s="120"/>
      <c r="AT116" s="134" t="s">
        <v>1191</v>
      </c>
      <c r="AU116" s="203"/>
      <c r="AV116" s="204" t="s">
        <v>243</v>
      </c>
      <c r="AW116" s="136" t="s">
        <v>353</v>
      </c>
      <c r="AX116" s="136" t="s">
        <v>1091</v>
      </c>
      <c r="AY116" s="136" t="s">
        <v>1092</v>
      </c>
      <c r="AZ116" s="137"/>
      <c r="BA116" s="137"/>
      <c r="BB116" s="137"/>
      <c r="BC116" s="123"/>
      <c r="BD116" s="123"/>
      <c r="BE116" s="137"/>
      <c r="BF116" s="137"/>
      <c r="BG116" s="137"/>
      <c r="BH116" s="137"/>
      <c r="BI116" s="137"/>
      <c r="BJ116" s="137"/>
      <c r="BK116" s="137"/>
      <c r="BL116" s="137"/>
      <c r="BM116" s="137"/>
      <c r="BN116" s="137"/>
      <c r="BO116" s="137"/>
      <c r="BP116" s="137"/>
      <c r="BQ116" s="137"/>
    </row>
    <row r="117" spans="1:69">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c r="AA117" s="137"/>
      <c r="AB117" s="137"/>
      <c r="AC117" s="137"/>
      <c r="AD117" s="137"/>
      <c r="AE117" s="137"/>
      <c r="AF117" s="137"/>
      <c r="AG117" s="137"/>
      <c r="AH117" s="137"/>
      <c r="AI117" s="137"/>
      <c r="AJ117" s="137"/>
      <c r="AK117" s="137"/>
      <c r="AL117" s="137"/>
      <c r="AM117" s="120"/>
      <c r="AN117" s="120"/>
      <c r="AO117" s="113">
        <v>11</v>
      </c>
      <c r="AP117" s="120">
        <v>155</v>
      </c>
      <c r="AQ117" s="150">
        <v>8000000</v>
      </c>
      <c r="AR117" s="407">
        <v>8</v>
      </c>
      <c r="AS117" s="120"/>
      <c r="AT117" s="137" t="s">
        <v>1403</v>
      </c>
      <c r="AU117" s="205"/>
      <c r="AV117" s="99">
        <v>1</v>
      </c>
      <c r="AW117" s="120">
        <v>1500</v>
      </c>
      <c r="AX117" s="150">
        <v>15000</v>
      </c>
      <c r="AY117" s="120">
        <v>0</v>
      </c>
      <c r="AZ117" s="137"/>
      <c r="BA117" s="137"/>
      <c r="BB117" s="137"/>
      <c r="BC117" s="123"/>
      <c r="BD117" s="123"/>
      <c r="BE117" s="137"/>
      <c r="BF117" s="137"/>
      <c r="BG117" s="137"/>
      <c r="BH117" s="137"/>
      <c r="BI117" s="137"/>
      <c r="BJ117" s="137"/>
      <c r="BK117" s="137"/>
      <c r="BL117" s="137"/>
      <c r="BM117" s="137"/>
      <c r="BN117" s="137"/>
      <c r="BO117" s="137"/>
      <c r="BP117" s="137"/>
      <c r="BQ117" s="137"/>
    </row>
    <row r="118" spans="1:69">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c r="X118" s="137"/>
      <c r="Y118" s="137"/>
      <c r="Z118" s="137"/>
      <c r="AA118" s="137"/>
      <c r="AB118" s="137"/>
      <c r="AC118" s="137"/>
      <c r="AD118" s="137"/>
      <c r="AE118" s="137"/>
      <c r="AF118" s="137"/>
      <c r="AG118" s="137"/>
      <c r="AH118" s="137"/>
      <c r="AI118" s="137"/>
      <c r="AJ118" s="137"/>
      <c r="AK118" s="137"/>
      <c r="AL118" s="137"/>
      <c r="AM118" s="137"/>
      <c r="AN118" s="137"/>
      <c r="AO118" s="137"/>
      <c r="AP118" s="137"/>
      <c r="AQ118" s="137"/>
      <c r="AR118" s="137"/>
      <c r="AS118" s="120"/>
      <c r="AT118" s="137" t="s">
        <v>1126</v>
      </c>
      <c r="AU118" s="205"/>
      <c r="AV118" s="91">
        <v>2</v>
      </c>
      <c r="AW118" s="120">
        <v>1800</v>
      </c>
      <c r="AX118" s="150">
        <v>1000000</v>
      </c>
      <c r="AY118" s="407">
        <v>1</v>
      </c>
      <c r="AZ118" s="137"/>
      <c r="BA118" s="137"/>
      <c r="BB118" s="137"/>
      <c r="BC118" s="123"/>
      <c r="BD118" s="123"/>
      <c r="BE118" s="137"/>
      <c r="BF118" s="137"/>
      <c r="BG118" s="137"/>
      <c r="BH118" s="137"/>
      <c r="BI118" s="137"/>
      <c r="BJ118" s="137"/>
      <c r="BK118" s="137"/>
      <c r="BL118" s="137"/>
      <c r="BM118" s="137"/>
      <c r="BN118" s="137"/>
      <c r="BO118" s="137"/>
      <c r="BP118" s="137"/>
      <c r="BQ118" s="137"/>
    </row>
    <row r="119" spans="1:69" ht="17.600000000000001">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7"/>
      <c r="AJ119" s="137"/>
      <c r="AK119" s="137"/>
      <c r="AL119" s="137"/>
      <c r="AM119" s="137"/>
      <c r="AN119" s="137"/>
      <c r="AO119" s="137"/>
      <c r="AP119" s="137"/>
      <c r="AQ119" s="137"/>
      <c r="AR119" s="137"/>
      <c r="AS119" s="137"/>
      <c r="AT119" s="95" t="s">
        <v>897</v>
      </c>
      <c r="AU119" s="138"/>
      <c r="AV119" s="92">
        <v>3</v>
      </c>
      <c r="AW119" s="120">
        <v>2100</v>
      </c>
      <c r="AX119" s="150">
        <v>2100000</v>
      </c>
      <c r="AY119" s="407">
        <v>3</v>
      </c>
      <c r="AZ119" s="137"/>
      <c r="BA119" s="137" t="s">
        <v>1404</v>
      </c>
      <c r="BB119" s="137"/>
      <c r="BC119" s="137"/>
      <c r="BD119" s="137"/>
      <c r="BE119" s="137"/>
      <c r="BF119" s="137"/>
      <c r="BG119" s="137"/>
      <c r="BH119" s="137" t="s">
        <v>1405</v>
      </c>
      <c r="BI119" s="427"/>
      <c r="BJ119" s="137"/>
      <c r="BK119" s="137"/>
      <c r="BL119" s="137"/>
      <c r="BM119" s="137"/>
      <c r="BN119" s="137"/>
      <c r="BO119" s="137"/>
      <c r="BP119" s="137"/>
      <c r="BQ119" s="137"/>
    </row>
    <row r="120" spans="1:69">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c r="AA120" s="137"/>
      <c r="AB120" s="137"/>
      <c r="AC120" s="137"/>
      <c r="AD120" s="137"/>
      <c r="AE120" s="137"/>
      <c r="AF120" s="137"/>
      <c r="AG120" s="137"/>
      <c r="AH120" s="137"/>
      <c r="AI120" s="137"/>
      <c r="AJ120" s="137"/>
      <c r="AK120" s="137"/>
      <c r="AL120" s="137"/>
      <c r="AM120" s="137"/>
      <c r="AN120" s="137"/>
      <c r="AO120" s="137"/>
      <c r="AP120" s="137"/>
      <c r="AQ120" s="137"/>
      <c r="AR120" s="137"/>
      <c r="AS120" s="137"/>
      <c r="AT120" s="134" t="s">
        <v>1114</v>
      </c>
      <c r="AU120" s="203"/>
      <c r="AV120" s="100">
        <v>4</v>
      </c>
      <c r="AW120" s="120">
        <v>2500</v>
      </c>
      <c r="AX120" s="150">
        <v>4500000</v>
      </c>
      <c r="AY120" s="407">
        <v>5.25</v>
      </c>
      <c r="AZ120" s="137"/>
      <c r="BA120" s="134" t="s">
        <v>1406</v>
      </c>
      <c r="BB120" s="203"/>
      <c r="BC120" s="204" t="s">
        <v>243</v>
      </c>
      <c r="BD120" s="136" t="s">
        <v>267</v>
      </c>
      <c r="BE120" s="136" t="s">
        <v>1091</v>
      </c>
      <c r="BF120" s="136" t="s">
        <v>1092</v>
      </c>
      <c r="BG120" s="137"/>
      <c r="BH120" s="366" t="s">
        <v>1009</v>
      </c>
      <c r="BI120" s="137"/>
      <c r="BJ120" s="137"/>
      <c r="BK120" s="137"/>
      <c r="BL120" s="137"/>
      <c r="BM120" s="137"/>
      <c r="BN120" s="137"/>
      <c r="BO120" s="137"/>
      <c r="BP120" s="137"/>
      <c r="BQ120" s="137"/>
    </row>
    <row r="121" spans="1:69">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c r="AA121" s="137"/>
      <c r="AB121" s="137"/>
      <c r="AC121" s="137"/>
      <c r="AD121" s="137"/>
      <c r="AE121" s="137"/>
      <c r="AF121" s="137"/>
      <c r="AG121" s="137"/>
      <c r="AH121" s="137"/>
      <c r="AI121" s="137"/>
      <c r="AJ121" s="137"/>
      <c r="AK121" s="137"/>
      <c r="AL121" s="137"/>
      <c r="AM121" s="140" t="s">
        <v>1407</v>
      </c>
      <c r="AN121" s="140"/>
      <c r="AO121" s="137" t="s">
        <v>1408</v>
      </c>
      <c r="AP121" s="202"/>
      <c r="AQ121" s="202"/>
      <c r="AR121" s="202"/>
      <c r="AS121" s="137"/>
      <c r="AT121" s="137" t="s">
        <v>1409</v>
      </c>
      <c r="AU121" s="138"/>
      <c r="AV121" s="137" t="s">
        <v>1410</v>
      </c>
      <c r="AW121" s="137"/>
      <c r="AX121" s="137"/>
      <c r="AY121" s="137"/>
      <c r="AZ121" s="137"/>
      <c r="BA121" s="137" t="s">
        <v>1411</v>
      </c>
      <c r="BB121" s="205"/>
      <c r="BC121" s="90">
        <v>1</v>
      </c>
      <c r="BD121" s="120">
        <v>2</v>
      </c>
      <c r="BE121" s="120">
        <v>6000</v>
      </c>
      <c r="BF121" s="120">
        <v>0</v>
      </c>
      <c r="BG121" s="137"/>
      <c r="BH121" s="140" t="s">
        <v>592</v>
      </c>
      <c r="BI121" s="137"/>
      <c r="BJ121" s="137"/>
      <c r="BK121" s="137"/>
      <c r="BL121" s="137"/>
      <c r="BM121" s="137"/>
      <c r="BN121" s="137"/>
      <c r="BO121" s="137"/>
      <c r="BP121" s="137"/>
      <c r="BQ121" s="137"/>
    </row>
    <row r="122" spans="1:69" ht="17.600000000000001">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c r="X122" s="137"/>
      <c r="Y122" s="137"/>
      <c r="Z122" s="137"/>
      <c r="AA122" s="137"/>
      <c r="AB122" s="137"/>
      <c r="AC122" s="137"/>
      <c r="AD122" s="137"/>
      <c r="AE122" s="137"/>
      <c r="AF122" s="137"/>
      <c r="AG122" s="137"/>
      <c r="AH122" s="137"/>
      <c r="AI122" s="137"/>
      <c r="AJ122" s="137"/>
      <c r="AK122" s="137"/>
      <c r="AL122" s="137"/>
      <c r="AM122" s="137" t="s">
        <v>1403</v>
      </c>
      <c r="AN122" s="205"/>
      <c r="AO122" s="204" t="s">
        <v>243</v>
      </c>
      <c r="AP122" s="136" t="s">
        <v>1359</v>
      </c>
      <c r="AQ122" s="136" t="s">
        <v>1091</v>
      </c>
      <c r="AR122" s="136" t="s">
        <v>1092</v>
      </c>
      <c r="AS122" s="137"/>
      <c r="AT122" s="137"/>
      <c r="AU122" s="138"/>
      <c r="AV122" s="137" t="s">
        <v>1412</v>
      </c>
      <c r="AW122" s="137"/>
      <c r="AX122" s="137"/>
      <c r="AY122" s="137"/>
      <c r="AZ122" s="137"/>
      <c r="BA122" s="140" t="s">
        <v>1413</v>
      </c>
      <c r="BB122" s="207"/>
      <c r="BC122" s="90">
        <v>2</v>
      </c>
      <c r="BD122" s="120">
        <v>3</v>
      </c>
      <c r="BE122" s="150">
        <v>450000</v>
      </c>
      <c r="BF122" s="407">
        <v>0.20833333333333301</v>
      </c>
      <c r="BG122" s="137"/>
      <c r="BH122" s="134" t="s">
        <v>1414</v>
      </c>
      <c r="BI122" s="137"/>
      <c r="BJ122" s="137"/>
      <c r="BK122" s="137"/>
      <c r="BL122" s="137"/>
      <c r="BM122" s="137"/>
      <c r="BN122" s="137"/>
      <c r="BO122" s="137"/>
      <c r="BP122" s="137"/>
      <c r="BQ122" s="137"/>
    </row>
    <row r="123" spans="1:69" ht="17.600000000000001">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c r="AA123" s="137"/>
      <c r="AB123" s="137"/>
      <c r="AC123" s="137"/>
      <c r="AD123" s="137"/>
      <c r="AE123" s="137"/>
      <c r="AF123" s="137"/>
      <c r="AG123" s="137"/>
      <c r="AH123" s="137"/>
      <c r="AI123" s="137"/>
      <c r="AJ123" s="137"/>
      <c r="AK123" s="137"/>
      <c r="AL123" s="137"/>
      <c r="AM123" s="137" t="s">
        <v>1367</v>
      </c>
      <c r="AN123" s="205"/>
      <c r="AO123" s="87">
        <v>1</v>
      </c>
      <c r="AP123" s="120">
        <v>100</v>
      </c>
      <c r="AQ123" s="120">
        <v>4000</v>
      </c>
      <c r="AR123" s="120">
        <v>0</v>
      </c>
      <c r="AS123" s="137"/>
      <c r="AT123" s="137"/>
      <c r="AU123" s="137"/>
      <c r="AV123" s="137"/>
      <c r="AW123" s="137"/>
      <c r="AX123" s="137"/>
      <c r="AY123" s="137"/>
      <c r="AZ123" s="137"/>
      <c r="BA123" s="134" t="s">
        <v>1114</v>
      </c>
      <c r="BB123" s="203"/>
      <c r="BC123" s="91">
        <v>3</v>
      </c>
      <c r="BD123" s="120">
        <v>4</v>
      </c>
      <c r="BE123" s="150">
        <v>900000</v>
      </c>
      <c r="BF123" s="407">
        <v>0.83333333333333304</v>
      </c>
      <c r="BG123" s="137"/>
      <c r="BH123" s="137" t="s">
        <v>1415</v>
      </c>
      <c r="BI123" s="137"/>
      <c r="BJ123" s="137"/>
      <c r="BK123" s="137"/>
      <c r="BL123" s="137"/>
      <c r="BM123" s="137"/>
      <c r="BN123" s="137"/>
      <c r="BO123" s="137"/>
      <c r="BP123" s="137"/>
      <c r="BQ123" s="137"/>
    </row>
    <row r="124" spans="1:69">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7"/>
      <c r="AJ124" s="137"/>
      <c r="AK124" s="137"/>
      <c r="AL124" s="137"/>
      <c r="AM124" s="95" t="s">
        <v>445</v>
      </c>
      <c r="AN124" s="205"/>
      <c r="AO124" s="87">
        <v>2</v>
      </c>
      <c r="AP124" s="120">
        <v>120</v>
      </c>
      <c r="AQ124" s="150">
        <v>20000</v>
      </c>
      <c r="AR124" s="407">
        <v>0.16666666666666699</v>
      </c>
      <c r="AS124" s="120"/>
      <c r="AT124" s="137"/>
      <c r="AU124" s="137"/>
      <c r="AV124" s="137"/>
      <c r="AW124" s="137"/>
      <c r="AX124" s="137"/>
      <c r="AY124" s="137"/>
      <c r="AZ124" s="137"/>
      <c r="BA124" s="137" t="s">
        <v>1416</v>
      </c>
      <c r="BB124" s="138"/>
      <c r="BC124" s="92">
        <v>4</v>
      </c>
      <c r="BD124" s="120">
        <v>5</v>
      </c>
      <c r="BE124" s="150">
        <v>1500000</v>
      </c>
      <c r="BF124" s="407">
        <v>1.6666666666666701</v>
      </c>
      <c r="BG124" s="137"/>
      <c r="BH124" s="137" t="s">
        <v>419</v>
      </c>
      <c r="BI124" s="137"/>
      <c r="BJ124" s="137"/>
      <c r="BK124" s="137"/>
      <c r="BL124" s="137"/>
      <c r="BM124" s="137"/>
      <c r="BN124" s="137"/>
      <c r="BO124" s="137"/>
      <c r="BP124" s="137"/>
      <c r="BQ124" s="137"/>
    </row>
    <row r="125" spans="1:69" ht="17.600000000000001">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c r="AD125" s="137"/>
      <c r="AE125" s="137"/>
      <c r="AF125" s="137"/>
      <c r="AG125" s="137"/>
      <c r="AH125" s="137"/>
      <c r="AI125" s="137"/>
      <c r="AJ125" s="137"/>
      <c r="AK125" s="137"/>
      <c r="AL125" s="137"/>
      <c r="AM125" s="134" t="s">
        <v>1114</v>
      </c>
      <c r="AN125" s="203"/>
      <c r="AO125" s="99">
        <v>3</v>
      </c>
      <c r="AP125" s="120">
        <v>144</v>
      </c>
      <c r="AQ125" s="150">
        <v>200000</v>
      </c>
      <c r="AR125" s="407">
        <v>0.5</v>
      </c>
      <c r="AS125" s="120"/>
      <c r="AT125" s="137"/>
      <c r="AU125" s="137"/>
      <c r="AV125" s="137"/>
      <c r="AW125" s="137"/>
      <c r="AX125" s="137"/>
      <c r="AY125" s="137"/>
      <c r="AZ125" s="137"/>
      <c r="BA125" s="137" t="s">
        <v>1417</v>
      </c>
      <c r="BB125" s="138"/>
      <c r="BC125" s="137" t="s">
        <v>1418</v>
      </c>
      <c r="BD125" s="137"/>
      <c r="BE125" s="137"/>
      <c r="BF125" s="137"/>
      <c r="BG125" s="137"/>
      <c r="BH125" s="140" t="s">
        <v>1419</v>
      </c>
      <c r="BI125" s="137"/>
      <c r="BJ125" s="137"/>
      <c r="BK125" s="137"/>
      <c r="BL125" s="137"/>
      <c r="BM125" s="137"/>
      <c r="BN125" s="137"/>
      <c r="BO125" s="137"/>
      <c r="BP125" s="137"/>
      <c r="BQ125" s="137"/>
    </row>
    <row r="126" spans="1:69">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c r="AA126" s="137"/>
      <c r="AB126" s="137"/>
      <c r="AC126" s="137"/>
      <c r="AD126" s="137"/>
      <c r="AE126" s="137"/>
      <c r="AF126" s="137"/>
      <c r="AG126" s="137"/>
      <c r="AH126" s="137"/>
      <c r="AI126" s="137"/>
      <c r="AJ126" s="137"/>
      <c r="AK126" s="137"/>
      <c r="AL126" s="137"/>
      <c r="AM126" s="137" t="s">
        <v>1409</v>
      </c>
      <c r="AN126" s="205"/>
      <c r="AO126" s="91">
        <v>4</v>
      </c>
      <c r="AP126" s="120">
        <v>173</v>
      </c>
      <c r="AQ126" s="150">
        <v>600000</v>
      </c>
      <c r="AR126" s="407">
        <v>1</v>
      </c>
      <c r="AS126" s="120"/>
      <c r="AT126" s="137"/>
      <c r="AU126" s="137"/>
      <c r="AV126" s="137"/>
      <c r="AW126" s="137"/>
      <c r="AX126" s="137"/>
      <c r="AY126" s="137"/>
      <c r="AZ126" s="137"/>
      <c r="BA126" s="137"/>
      <c r="BB126" s="137"/>
      <c r="BC126" s="137"/>
      <c r="BD126" s="137"/>
      <c r="BE126" s="137"/>
      <c r="BF126" s="137"/>
      <c r="BG126" s="137"/>
      <c r="BH126" s="134" t="s">
        <v>287</v>
      </c>
      <c r="BI126" s="137"/>
      <c r="BJ126" s="137"/>
      <c r="BK126" s="137"/>
      <c r="BL126" s="137"/>
      <c r="BM126" s="137"/>
      <c r="BN126" s="137"/>
      <c r="BO126" s="137"/>
      <c r="BP126" s="137"/>
      <c r="BQ126" s="137"/>
    </row>
    <row r="127" spans="1:69" ht="17.600000000000001">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c r="AC127" s="137"/>
      <c r="AD127" s="137"/>
      <c r="AE127" s="137"/>
      <c r="AF127" s="137"/>
      <c r="AG127" s="137"/>
      <c r="AH127" s="137"/>
      <c r="AI127" s="137"/>
      <c r="AJ127" s="137"/>
      <c r="AK127" s="137"/>
      <c r="AL127" s="137"/>
      <c r="AM127" s="137"/>
      <c r="AN127" s="138"/>
      <c r="AO127" s="93">
        <v>5</v>
      </c>
      <c r="AP127" s="120">
        <v>200</v>
      </c>
      <c r="AQ127" s="150">
        <v>1400000</v>
      </c>
      <c r="AR127" s="407">
        <v>2</v>
      </c>
      <c r="AS127" s="120"/>
      <c r="AT127" s="137"/>
      <c r="AU127" s="137"/>
      <c r="AV127" s="137"/>
      <c r="AW127" s="137"/>
      <c r="AX127" s="137"/>
      <c r="AY127" s="137"/>
      <c r="AZ127" s="137"/>
      <c r="BA127" s="137"/>
      <c r="BB127" s="137"/>
      <c r="BC127" s="137"/>
      <c r="BD127" s="137"/>
      <c r="BE127" s="137"/>
      <c r="BF127" s="137"/>
      <c r="BG127" s="137"/>
      <c r="BH127" s="137" t="s">
        <v>1420</v>
      </c>
      <c r="BI127" s="137"/>
      <c r="BJ127" s="137"/>
      <c r="BK127" s="137"/>
      <c r="BL127" s="137"/>
      <c r="BM127" s="137"/>
      <c r="BN127" s="137"/>
      <c r="BO127" s="171"/>
      <c r="BP127" s="137"/>
      <c r="BQ127" s="137"/>
    </row>
    <row r="128" spans="1:69" ht="17.600000000000001">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c r="AC128" s="137"/>
      <c r="AD128" s="137"/>
      <c r="AE128" s="137"/>
      <c r="AF128" s="137"/>
      <c r="AG128" s="137"/>
      <c r="AH128" s="137"/>
      <c r="AI128" s="137"/>
      <c r="AJ128" s="137"/>
      <c r="AK128" s="137"/>
      <c r="AL128" s="137"/>
      <c r="AM128" s="120"/>
      <c r="AN128" s="422"/>
      <c r="AO128" s="94">
        <v>6</v>
      </c>
      <c r="AP128" s="120">
        <v>228</v>
      </c>
      <c r="AQ128" s="150">
        <v>2100000</v>
      </c>
      <c r="AR128" s="407">
        <v>3</v>
      </c>
      <c r="AS128" s="120"/>
      <c r="AT128" s="137" t="s">
        <v>1421</v>
      </c>
      <c r="AU128" s="137"/>
      <c r="AV128" s="202"/>
      <c r="AW128" s="202"/>
      <c r="AX128" s="202"/>
      <c r="AY128" s="202"/>
      <c r="AZ128" s="202"/>
      <c r="BA128" s="137"/>
      <c r="BB128" s="137"/>
      <c r="BC128" s="137"/>
      <c r="BD128" s="137"/>
      <c r="BE128" s="137"/>
      <c r="BF128" s="137"/>
      <c r="BG128" s="137"/>
      <c r="BH128" s="95" t="s">
        <v>1422</v>
      </c>
      <c r="BI128" s="137"/>
      <c r="BJ128" s="137"/>
      <c r="BK128" s="137"/>
      <c r="BL128" s="137"/>
      <c r="BM128" s="137"/>
      <c r="BN128" s="137"/>
      <c r="BO128" s="171"/>
      <c r="BP128" s="171"/>
      <c r="BQ128" s="171"/>
    </row>
    <row r="129" spans="1:69">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c r="AA129" s="137"/>
      <c r="AB129" s="137"/>
      <c r="AC129" s="137"/>
      <c r="AD129" s="137"/>
      <c r="AE129" s="137"/>
      <c r="AF129" s="137"/>
      <c r="AG129" s="137"/>
      <c r="AH129" s="137"/>
      <c r="AI129" s="137"/>
      <c r="AJ129" s="137"/>
      <c r="AK129" s="137"/>
      <c r="AL129" s="137"/>
      <c r="AM129" s="120"/>
      <c r="AN129" s="422"/>
      <c r="AO129" s="100">
        <v>7</v>
      </c>
      <c r="AP129" s="120">
        <v>248</v>
      </c>
      <c r="AQ129" s="150">
        <v>3000000</v>
      </c>
      <c r="AR129" s="407">
        <v>4.5</v>
      </c>
      <c r="AS129" s="120"/>
      <c r="AT129" s="134" t="s">
        <v>1423</v>
      </c>
      <c r="AU129" s="203"/>
      <c r="AV129" s="204" t="s">
        <v>243</v>
      </c>
      <c r="AW129" s="136" t="s">
        <v>1424</v>
      </c>
      <c r="AX129" s="136" t="s">
        <v>245</v>
      </c>
      <c r="AY129" s="136" t="s">
        <v>1091</v>
      </c>
      <c r="AZ129" s="136" t="s">
        <v>1092</v>
      </c>
      <c r="BA129" s="137"/>
      <c r="BB129" s="137"/>
      <c r="BC129" s="137"/>
      <c r="BD129" s="137"/>
      <c r="BE129" s="137"/>
      <c r="BF129" s="137"/>
      <c r="BG129" s="137"/>
      <c r="BH129" s="137"/>
      <c r="BI129" s="137"/>
      <c r="BJ129" s="137"/>
      <c r="BK129" s="137"/>
      <c r="BL129" s="137"/>
      <c r="BM129" s="137"/>
      <c r="BN129" s="137"/>
      <c r="BO129" s="171"/>
      <c r="BP129" s="171"/>
      <c r="BQ129" s="171"/>
    </row>
    <row r="130" spans="1:69">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c r="AA130" s="137"/>
      <c r="AB130" s="137"/>
      <c r="AC130" s="137"/>
      <c r="AD130" s="137"/>
      <c r="AE130" s="137"/>
      <c r="AF130" s="137"/>
      <c r="AG130" s="137"/>
      <c r="AH130" s="137"/>
      <c r="AI130" s="137"/>
      <c r="AJ130" s="137"/>
      <c r="AK130" s="137"/>
      <c r="AL130" s="137"/>
      <c r="AM130" s="120"/>
      <c r="AN130" s="422"/>
      <c r="AO130" s="100">
        <v>8</v>
      </c>
      <c r="AP130" s="120">
        <v>270</v>
      </c>
      <c r="AQ130" s="150">
        <v>3800000</v>
      </c>
      <c r="AR130" s="407">
        <v>5.25</v>
      </c>
      <c r="AS130" s="120"/>
      <c r="AT130" s="137" t="s">
        <v>1425</v>
      </c>
      <c r="AU130" s="205"/>
      <c r="AV130" s="93">
        <v>1</v>
      </c>
      <c r="AW130" s="139">
        <v>5</v>
      </c>
      <c r="AX130" s="120">
        <v>8</v>
      </c>
      <c r="AY130" s="150">
        <v>1800000</v>
      </c>
      <c r="AZ130" s="407">
        <v>1</v>
      </c>
      <c r="BA130" s="137"/>
      <c r="BB130" s="137"/>
      <c r="BC130" s="137"/>
      <c r="BD130" s="137"/>
      <c r="BE130" s="137"/>
      <c r="BF130" s="137"/>
      <c r="BG130" s="137"/>
      <c r="BH130" s="137"/>
      <c r="BI130" s="137"/>
      <c r="BJ130" s="137"/>
      <c r="BK130" s="137"/>
      <c r="BL130" s="137"/>
      <c r="BM130" s="137"/>
      <c r="BN130" s="171"/>
      <c r="BO130" s="171"/>
      <c r="BP130" s="171"/>
      <c r="BQ130" s="171"/>
    </row>
    <row r="131" spans="1:69">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c r="AA131" s="137"/>
      <c r="AB131" s="137"/>
      <c r="AC131" s="137"/>
      <c r="AD131" s="137"/>
      <c r="AE131" s="137"/>
      <c r="AF131" s="137"/>
      <c r="AG131" s="137"/>
      <c r="AH131" s="137"/>
      <c r="AI131" s="137"/>
      <c r="AJ131" s="137"/>
      <c r="AK131" s="137"/>
      <c r="AL131" s="137"/>
      <c r="AM131" s="120"/>
      <c r="AN131" s="422"/>
      <c r="AO131" s="121">
        <v>9</v>
      </c>
      <c r="AP131" s="120">
        <v>290</v>
      </c>
      <c r="AQ131" s="150">
        <v>6500000</v>
      </c>
      <c r="AR131" s="407">
        <v>8.5</v>
      </c>
      <c r="AS131" s="120"/>
      <c r="AT131" s="140" t="s">
        <v>1426</v>
      </c>
      <c r="AU131" s="207"/>
      <c r="AV131" s="93">
        <v>2</v>
      </c>
      <c r="AW131" s="139">
        <v>6</v>
      </c>
      <c r="AX131" s="120">
        <v>8</v>
      </c>
      <c r="AY131" s="150">
        <v>2800000</v>
      </c>
      <c r="AZ131" s="407">
        <v>2</v>
      </c>
      <c r="BA131" s="137"/>
      <c r="BB131" s="137"/>
      <c r="BC131" s="137"/>
      <c r="BD131" s="137"/>
      <c r="BE131" s="137"/>
      <c r="BF131" s="137"/>
      <c r="BG131" s="137"/>
      <c r="BH131" s="137"/>
      <c r="BI131" s="137"/>
      <c r="BJ131" s="137"/>
      <c r="BK131" s="137"/>
      <c r="BL131" s="137"/>
      <c r="BM131" s="137"/>
      <c r="BN131" s="171"/>
      <c r="BO131" s="171"/>
      <c r="BP131" s="171"/>
      <c r="BQ131" s="171"/>
    </row>
    <row r="132" spans="1:69">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c r="AA132" s="137"/>
      <c r="AB132" s="137"/>
      <c r="AC132" s="137"/>
      <c r="AD132" s="137"/>
      <c r="AE132" s="137"/>
      <c r="AF132" s="137"/>
      <c r="AG132" s="137"/>
      <c r="AH132" s="137"/>
      <c r="AI132" s="137"/>
      <c r="AJ132" s="137"/>
      <c r="AK132" s="137"/>
      <c r="AL132" s="137"/>
      <c r="AM132" s="120"/>
      <c r="AN132" s="422"/>
      <c r="AO132" s="122">
        <v>10</v>
      </c>
      <c r="AP132" s="120">
        <v>290</v>
      </c>
      <c r="AQ132" s="150">
        <v>9000000</v>
      </c>
      <c r="AR132" s="407">
        <v>9</v>
      </c>
      <c r="AS132" s="120"/>
      <c r="AT132" s="134" t="s">
        <v>1427</v>
      </c>
      <c r="AU132" s="203"/>
      <c r="AV132" s="94">
        <v>3</v>
      </c>
      <c r="AW132" s="139">
        <v>7</v>
      </c>
      <c r="AX132" s="120">
        <v>8</v>
      </c>
      <c r="AY132" s="150">
        <v>3500000</v>
      </c>
      <c r="AZ132" s="407">
        <v>3</v>
      </c>
      <c r="BA132" s="137"/>
      <c r="BB132" s="137"/>
      <c r="BC132" s="137"/>
      <c r="BD132" s="137"/>
      <c r="BE132" s="137"/>
      <c r="BF132" s="137"/>
      <c r="BG132" s="137"/>
      <c r="BH132" s="137"/>
      <c r="BI132" s="137"/>
      <c r="BJ132" s="137"/>
      <c r="BK132" s="137"/>
      <c r="BL132" s="137"/>
      <c r="BM132" s="137"/>
      <c r="BN132" s="171"/>
      <c r="BO132" s="171"/>
      <c r="BP132" s="171"/>
      <c r="BQ132" s="171"/>
    </row>
    <row r="133" spans="1:69">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c r="AA133" s="137"/>
      <c r="AB133" s="137"/>
      <c r="AC133" s="137"/>
      <c r="AD133" s="137"/>
      <c r="AE133" s="137"/>
      <c r="AF133" s="137"/>
      <c r="AG133" s="137"/>
      <c r="AH133" s="137"/>
      <c r="AI133" s="137"/>
      <c r="AJ133" s="137"/>
      <c r="AK133" s="137"/>
      <c r="AL133" s="137"/>
      <c r="AM133" s="120"/>
      <c r="AN133" s="120"/>
      <c r="AO133" s="137" t="s">
        <v>1428</v>
      </c>
      <c r="AP133" s="137"/>
      <c r="AQ133" s="137"/>
      <c r="AR133" s="137"/>
      <c r="AS133" s="120"/>
      <c r="AT133" s="137" t="s">
        <v>1429</v>
      </c>
      <c r="AU133" s="137"/>
      <c r="AV133" s="137"/>
      <c r="AW133" s="137"/>
      <c r="AX133" s="137"/>
      <c r="AY133" s="202"/>
      <c r="AZ133" s="137"/>
      <c r="BA133" s="137"/>
      <c r="BB133" s="137"/>
      <c r="BC133" s="137"/>
      <c r="BD133" s="137"/>
      <c r="BE133" s="137"/>
      <c r="BF133" s="137"/>
      <c r="BG133" s="137"/>
      <c r="BH133" s="137"/>
      <c r="BI133" s="137"/>
      <c r="BJ133" s="137"/>
      <c r="BK133" s="137"/>
      <c r="BL133" s="137"/>
      <c r="BM133" s="137"/>
      <c r="BN133" s="171"/>
      <c r="BO133" s="171"/>
      <c r="BP133" s="171"/>
      <c r="BQ133" s="171"/>
    </row>
    <row r="134" spans="1:69">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c r="AA134" s="137"/>
      <c r="AB134" s="137"/>
      <c r="AC134" s="137"/>
      <c r="AD134" s="137"/>
      <c r="AE134" s="137"/>
      <c r="AF134" s="137"/>
      <c r="AG134" s="137"/>
      <c r="AH134" s="137"/>
      <c r="AI134" s="137"/>
      <c r="AJ134" s="137"/>
      <c r="AK134" s="137"/>
      <c r="AL134" s="137"/>
      <c r="AM134" s="137"/>
      <c r="AN134" s="137"/>
      <c r="AO134" s="120"/>
      <c r="AP134" s="137"/>
      <c r="AQ134" s="137"/>
      <c r="AR134" s="137"/>
      <c r="AS134" s="137"/>
      <c r="AT134" s="137"/>
      <c r="AU134" s="137"/>
      <c r="AV134" s="137"/>
      <c r="AW134" s="137"/>
      <c r="AX134" s="137"/>
      <c r="AY134" s="137"/>
      <c r="AZ134" s="137"/>
      <c r="BA134" s="137"/>
      <c r="BB134" s="137"/>
      <c r="BC134" s="137"/>
      <c r="BD134" s="137"/>
      <c r="BE134" s="137"/>
      <c r="BF134" s="137"/>
      <c r="BG134" s="137"/>
      <c r="BH134" s="137"/>
      <c r="BI134" s="137"/>
      <c r="BJ134" s="137"/>
      <c r="BK134" s="137"/>
      <c r="BL134" s="137"/>
      <c r="BM134" s="137"/>
      <c r="BN134" s="171"/>
      <c r="BO134" s="171"/>
      <c r="BP134" s="171"/>
      <c r="BQ134" s="171"/>
    </row>
  </sheetData>
  <mergeCells count="5">
    <mergeCell ref="AK1:AL2"/>
    <mergeCell ref="A1:C2"/>
    <mergeCell ref="D1:E2"/>
    <mergeCell ref="A3:C4"/>
    <mergeCell ref="AK102:AL103"/>
  </mergeCells>
  <conditionalFormatting sqref="A1:BQ134">
    <cfRule type="expression" dxfId="41" priority="2">
      <formula>颜色主题="魔法"</formula>
    </cfRule>
  </conditionalFormatting>
  <dataValidations count="93">
    <dataValidation allowBlank="1" showInputMessage="1" showErrorMessage="1" promptTitle="===========加农炮===========" prompt="炮管+炮弹+转向装置+底座=无坚不摧的加农炮_x000a_问炮弹哪里来？就说无限弹药制。_x000a_问为什么，其他防御不都是如此么？_x000a_加农炮可以改装成双管加农炮，采用更加先进的供弹机制，一个炮弹可以发射两发炮弹，总而一轮射击4发。不过装弹就略显麻烦了呢。_x000a__x000a_" sqref="F5" xr:uid="{00000000-0002-0000-0300-000000000000}"/>
    <dataValidation allowBlank="1" showInputMessage="1" showErrorMessage="1" promptTitle="======================" prompt="攻速代表每次攻击所需要的时间。_x000a_防御建筑的实际伤害=秒伤*攻速_x000a_很多时候会写好每次伤害..._x000a_天鹰火炮的实际攻速约为11.5秒3发" sqref="AA65" xr:uid="{00000000-0002-0000-0300-000001000000}"/>
    <dataValidation allowBlank="1" showInputMessage="1" showErrorMessage="1" prompt="城堡存储资源不考虑部落特权" sqref="AU5:AV5" xr:uid="{00000000-0002-0000-0300-000002000000}"/>
    <dataValidation allowBlank="1" showInputMessage="1" showErrorMessage="1" promptTitle="====================" prompt="飞行速度：5格/秒_x000a_可否追踪：不能_x000a_弹道轨迹：抛物线_x000a_参考时间：2.2秒_x000a_" sqref="H30" xr:uid="{00000000-0002-0000-0300-000003000000}"/>
    <dataValidation allowBlank="1" showInputMessage="1" showErrorMessage="1" promptTitle="===========城墙===========" prompt="论城墙为何被区别对待？_x000a_一方面无法直接伤害敌军，另一方面在于极高的强度和极高的数量，不低的总升级成本也让人十分头疼。_x000a_然而城墙天敌的诞生让它再也过不上好日子了。_x000a_" sqref="AA5" xr:uid="{00000000-0002-0000-0300-000004000000}"/>
    <dataValidation allowBlank="1" showInputMessage="1" showErrorMessage="1" promptTitle="====================" prompt="飞行速度：12格/秒_x000a_可否追踪：可以_x000a_弹道轨迹：直线_x000a_参考时间：0.75秒_x000a_" sqref="H5" xr:uid="{00000000-0002-0000-0300-000005000000}"/>
    <dataValidation allowBlank="1" showInputMessage="1" showErrorMessage="1" promptTitle="部分可升级" prompt="可升级的16级墙_x000a_200个" sqref="AH22" xr:uid="{00000000-0002-0000-0300-000006000000}"/>
    <dataValidation allowBlank="1" showInputMessage="1" showErrorMessage="1" promptTitle="======================" prompt="抵御+军队类型_x000a_代表防御建筑能攻击的对象。_x000a_" sqref="F6 P6 AA29 P30 F31 AA46 P63 AA63 AA78 AA88 F97 F106" xr:uid="{00000000-0002-0000-0300-000007000000}"/>
    <dataValidation allowBlank="1" showInputMessage="1" showErrorMessage="1" promptTitle="===========箭塔===========" prompt="能够登上箭塔的弓箭手至少要通过九九八十一道测试。这些受过专门训练的弓箭手使用性能更强的复合弓，居高临下精准射击每一个目标。_x000a_经过改装的箭塔可以降落，弓箭手可以不再需要长时间的瞄准，从而射速更快了。_x000a_" sqref="P5" xr:uid="{00000000-0002-0000-0300-000008000000}"/>
    <dataValidation allowBlank="1" showInputMessage="1" showErrorMessage="1" promptTitle="======================" prompt="射程的含义是防御建筑所能攻击到的最远距离。_x000a_射程范围的圆心在占地面积的中心点！_x000a_" sqref="P69 P72" xr:uid="{00000000-0002-0000-0300-000009000000}"/>
    <dataValidation allowBlank="1" showInputMessage="1" showErrorMessage="1" promptTitle="====================" prompt="飞行速度：14格/秒_x000a_可否追踪：可以_x000a_弹道轨迹：抛物线_x000a_参考时间：0.71秒_x000a_" sqref="R5" xr:uid="{00000000-0002-0000-0300-00000A000000}"/>
    <dataValidation allowBlank="1" showInputMessage="1" showErrorMessage="1" promptTitle="======================" prompt="炸弹伤害的溅射范围" sqref="AM108 BA109 AM123" xr:uid="{00000000-0002-0000-0300-00000B000000}"/>
    <dataValidation allowBlank="1" showInputMessage="1" showErrorMessage="1" promptTitle="======================" prompt="“占地面积”指的是这个建筑的占用面积和可以受到伤害的区域（非陷阱）。_x000a_进攻时无法在可见建筑的“占地面积”以及外面一圈的范围内下兵。_x000a_" sqref="AM5 AX6 BI6 AA7 F10 P10 AM23 AW23 BG23 AA33 P34 F35 AW41 BG41 AM43 P50 AA50 AW51 BG51 F53 AM53 F66 P66 AA68 AM72 AW72 BG72 AA84 AM91 AA93 F98 F108 AM109 AT109 BA110 AT120 BA123 AM125" xr:uid="{00000000-0002-0000-0300-00000C000000}"/>
    <dataValidation allowBlank="1" showInputMessage="1" showErrorMessage="1" promptTitle="====================" prompt="飞行速度：8格/秒_x000a_可否追踪：可以_x000a_弹道轨迹：抛物线_x000a_参考时间：1.25秒_x000a_" sqref="R29 AC87" xr:uid="{00000000-0002-0000-0300-00000D000000}"/>
    <dataValidation allowBlank="1" showInputMessage="1" showErrorMessage="1" promptTitle="====================" prompt="夜本对地防御_x000a_擅长消灭高血量单位_x000a_但是射程和射速偏低" sqref="F14" xr:uid="{00000000-0002-0000-0300-00000E000000}"/>
    <dataValidation allowBlank="1" showInputMessage="1" showErrorMessage="1" promptTitle="======================" prompt="你对城墙很头疼吗？如果是的，恭喜你，你是陆军。_x000a_如果你没有矿工的铲子，或者狂暴的猪猪，那么借助于炸弹人，弹跳或者攻城吧。要不然只能暴力砸墙了..._x000a_" sqref="AA6" xr:uid="{00000000-0002-0000-0300-00000F000000}"/>
    <dataValidation allowBlank="1" showInputMessage="1" showErrorMessage="1" promptTitle="======================" prompt="判定面积指兵种可以看到的面积，而军队只能直接攻击此区域。_x000a_一般情况下：判定面积比占地面积小一圈。_x000a_" sqref="AM6 AX7 BI7 AA8 F11 P11 AM24 AW24 BG24 AA34 P35 F36 AW42 BG42 AM44 P51 AA51 AW52 BG52 F54 AM54 F67 P67 AA69 AM73 AW73 BG73 AA85 AM92 AA94 F99 F109" xr:uid="{00000000-0002-0000-0300-000010000000}"/>
    <dataValidation allowBlank="1" showInputMessage="1" showErrorMessage="1" promptTitle="======================" prompt="射程的含义是防御建筑所能攻击到的最远距离。_x000a_射程的圆心在占地面积的中心点！_x000a_" sqref="F7 P7 P19 F20 AA30 P31 F32 P47 AA47 F51 AA64 F69 F72 F79 P79 AA79 F89 P89 AA89" xr:uid="{00000000-0002-0000-0300-000011000000}"/>
    <dataValidation allowBlank="1" showInputMessage="1" showErrorMessage="1" promptTitle="======================" prompt="建造和升级都消耗金币" sqref="AM7 AW54 AW75" xr:uid="{00000000-0002-0000-0300-000012000000}"/>
    <dataValidation allowBlank="1" showInputMessage="1" showErrorMessage="1" promptTitle="======================" prompt="攻速代表每次攻击所需要的时间。_x000a_防御建筑的实际伤害=秒伤*攻速_x000a_很多时候会写好每次伤害..._x000a_" sqref="F8 P8 P18 F19 AA31 P32 F33 P48 AA48 F52 F63 P64 F80 P80 AA80 F90 P90 AA90" xr:uid="{00000000-0002-0000-0300-000013000000}"/>
    <dataValidation allowBlank="1" showInputMessage="1" showErrorMessage="1" promptTitle="=====================" prompt="敌人的部队一旦踏入这个范围，能够攻击这个单位的军队都会出击。_x000a_" sqref="AX8" xr:uid="{00000000-0002-0000-0300-000014000000}"/>
    <dataValidation allowBlank="1" showInputMessage="1" showErrorMessage="1" promptTitle="====================" prompt="飞行速度：2.5格_x000a_可否追踪：可以_x000a_弹道轨迹：直线_x000a_参考时间：1.2秒_x000a_" sqref="AV115" xr:uid="{00000000-0002-0000-0300-000015000000}"/>
    <dataValidation allowBlank="1" showInputMessage="1" showErrorMessage="1" promptTitle="======================" prompt="一次攻击一个单位，绝不击空！_x000a_" sqref="F9 P9 P33 P49 F64 P65 AA92 AT118" xr:uid="{00000000-0002-0000-0300-000016000000}"/>
    <dataValidation allowBlank="1" showInputMessage="1" showErrorMessage="1" promptTitle="=====================" prompt="利用这一点可以延缓致命援军出击的时间，有利于打乱敌人的攻击计划。" sqref="AX9" xr:uid="{00000000-0002-0000-0300-000017000000}"/>
    <dataValidation allowBlank="1" showInputMessage="1" showErrorMessage="1" promptTitle="=====================" prompt="一次同时攻击射程内最近的5个目标" sqref="P73" xr:uid="{00000000-0002-0000-0300-000018000000}"/>
    <dataValidation allowBlank="1" showInputMessage="1" showErrorMessage="1" promptTitle="===========天鹰火炮===========" prompt="天鹰火炮本身可以被理解为超大的迫击炮，不同的地方在于它可以射的非常高，从而几乎垂直向下攻击单位，即使是飞行单位也无法躲开。_x000a_这种犯规的武器却只能在一定的部队入侵之后才会被启动，乃君子之炮。_x000a_" sqref="AA62" xr:uid="{00000000-0002-0000-0300-000019000000}"/>
    <dataValidation allowBlank="1" showInputMessage="1" showErrorMessage="1" promptTitle="=====================" prompt="升级和建造都使用圣水_x000a_" sqref="BI9 AM26 AW26 BG26 AW44 BG44 AM46 BG54 AM56 AM75 BG75 AM94" xr:uid="{00000000-0002-0000-0300-00001A000000}"/>
    <dataValidation allowBlank="1" showInputMessage="1" showErrorMessage="1" promptTitle="======================" prompt="建造和升级都消耗圣水" sqref="AX10" xr:uid="{00000000-0002-0000-0300-00001B000000}"/>
    <dataValidation allowBlank="1" showInputMessage="1" showErrorMessage="1" promptTitle="======================" prompt="为了带来不一样的玩法，我们请来了建筑大师..._x000a_但是建筑大师改装是需要条件滴。_x000a_" sqref="F13 P13 F38" xr:uid="{00000000-0002-0000-0300-00001C000000}"/>
    <dataValidation allowBlank="1" showInputMessage="1" showErrorMessage="1" promptTitle="===========巨型电磁组件===========" prompt="升级了大本营之后，村民们意识到大本营本身也需要防御，当成千上万的防御被摧毁后谁还能保护大本营？_x000a_可轻易折叠的伏击电塔成为了大本营自带防御第一个选择，不需要时可以随时收回，兼顾实用和美观。_x000a_大本营本身可以提供大量能源，使得巨型电塔的威力远远高于以往，而被摧毁导致的过载也会重创敌军。_x000a__x000a_" sqref="F77" xr:uid="{00000000-0002-0000-0300-00001D000000}"/>
    <dataValidation allowBlank="1" showInputMessage="1" showErrorMessage="1" promptTitle="======================" prompt="从最初伤害提高到2阶伤害所需要的时间。" sqref="P70" xr:uid="{00000000-0002-0000-0300-00001E000000}"/>
    <dataValidation allowBlank="1" showInputMessage="1" showErrorMessage="1" promptTitle="====================" prompt="飞行速度：9格/秒（低级为5格/秒）_x000a_可否追踪：不能_x000a_弹道轨迹：直线_x000a_参考时间：0.78秒_x000a_" sqref="AC28" xr:uid="{00000000-0002-0000-0300-00001F000000}"/>
    <dataValidation allowBlank="1" showInputMessage="1" showErrorMessage="1" promptTitle="======================" prompt="夜本地空基础防御_x000a_可以通过下降来提高射速_x000a_或者上升来提高覆盖范围" sqref="P14" xr:uid="{00000000-0002-0000-0300-000020000000}"/>
    <dataValidation allowBlank="1" showInputMessage="1" showErrorMessage="1" promptTitle="======================" prompt="其他防御切换目标时都需要额外的0.2秒瞄准，_x000a_就这个不需要那么长，所以可以快速的克制大量的脆皮单位。_x000a_" sqref="P74" xr:uid="{00000000-0002-0000-0300-000021000000}"/>
    <dataValidation allowBlank="1" showInputMessage="1" showErrorMessage="1" promptTitle="=====================" prompt="从2阶伤害提高到3阶伤害所需要的时间。_x000a_这代表了一个单位的毁灭..._x000a_" sqref="P71" xr:uid="{00000000-0002-0000-0300-000022000000}"/>
    <dataValidation allowBlank="1" showInputMessage="1" showErrorMessage="1" promptTitle="===========地狱之塔===========" prompt="点燃的暗黑重油是非常可怕的，地狱之塔因为使用这一种不人道的弹药从而臭名昭著。_x000a_但是用过的都说“真香”，尤其是攻击野猪骑士之后。_x000a__x000a_" sqref="P62" xr:uid="{00000000-0002-0000-0300-000023000000}"/>
    <dataValidation allowBlank="1" showInputMessage="1" showErrorMessage="1" promptTitle="======================" prompt="改装所需要消耗的金币" sqref="F15 P15 F40" xr:uid="{00000000-0002-0000-0300-000024000000}"/>
    <dataValidation allowBlank="1" showInputMessage="1" showErrorMessage="1" promptTitle="======================" prompt="改装时建筑大师必须前往村庄；_x000a_在此期间，夜本的建筑物无法升级直到他返回。" sqref="F16 P16 F41" xr:uid="{00000000-0002-0000-0300-000025000000}"/>
    <dataValidation allowBlank="1" showInputMessage="1" showErrorMessage="1" promptTitle="====================" prompt="这些建筑被改装成他喜欢的效果，不如看看有什么变化吧！" sqref="F17 P17 F42" xr:uid="{00000000-0002-0000-0300-000026000000}"/>
    <dataValidation allowBlank="1" showInputMessage="1" showErrorMessage="1" promptTitle="=====================" prompt="连发是特殊的攻击模式，一次攻击射出多发子弹。有利于快速消灭目标，但是可能需要更多的装填时间。" sqref="F18 F43" xr:uid="{00000000-0002-0000-0300-000027000000}"/>
    <dataValidation allowBlank="1" showInputMessage="1" showErrorMessage="1" promptTitle="==========法师塔===========" prompt="严格上说这是法师自己的家，只需要出勤的时候站在塔的顶端。_x000a_在高处的法师可以攻击更远的目标，只是需要在长距离内发射火球，所以伤害也变低了一些。_x000a_" sqref="AA28" xr:uid="{00000000-0002-0000-0300-000028000000}"/>
    <dataValidation allowBlank="1" showInputMessage="1" showErrorMessage="1" promptTitle="===========防空火箭===========" prompt="会飞的军队可都不是什么好东西，会飞的烟花是个不错的武器。_x000a_防空火箭的烟花弹针对空军设计，不仅伤害爆炸，同时也有美丽的烟花。_x000a_有人提出为什么不把火箭转个90°去打地面目标呢？_x000a_" sqref="P29" xr:uid="{00000000-0002-0000-0300-000029000000}"/>
    <dataValidation allowBlank="1" showInputMessage="1" showErrorMessage="1" promptTitle="===========迫击炮===========" prompt="想看流星么？迫击炮是一个不错的低配选择。_x000a_朝上的炮管可以射出优美的弧线。再加上比普通加农炮弹更大的重型炮弹，使得观赏性更强了。_x000a_唯一遭殃的是在迫击炮落点的地面部队，对于他们，这个流星简直是一场灾难。_x000a_" sqref="F30" xr:uid="{00000000-0002-0000-0300-00002A000000}"/>
    <dataValidation allowBlank="1" showInputMessage="1" showErrorMessage="1" promptTitle="====================" prompt="飞行速度：25格/秒(1级和2级分别为23 24)_x000a_可否追踪：可以_x000a_弹道轨迹：直线_x000a_参考时间：0.44秒(兼顾)/0.56秒(地面)_x000a_" sqref="H62" xr:uid="{00000000-0002-0000-0300-00002B000000}"/>
    <dataValidation allowBlank="1" showInputMessage="1" showErrorMessage="1" promptTitle="======================" prompt="溅射伤害对其范围内的单位都有全额伤害_x000a_有可能会因为过快的移速而被闪避。_x000a_" sqref="AA32 F34 AA49 AA82" xr:uid="{00000000-0002-0000-0300-00002C000000}"/>
    <dataValidation allowBlank="1" showInputMessage="1" showErrorMessage="1" promptTitle="======================" prompt="待击发状态下攻击目标所需要的时间。_x000a_当停火超过&quot;攻速与出手时间的时间差&quot;后进入“待击发”状态。_x000a_" sqref="AA83" xr:uid="{00000000-0002-0000-0300-00002D000000}"/>
    <dataValidation allowBlank="1" showInputMessage="1" showErrorMessage="1" promptTitle="======================" prompt="带有伏击特性，只有敌军威胁到村庄，才会挺身而出。" sqref="P46 F78 P78 F88 P88" xr:uid="{00000000-0002-0000-0300-00002E000000}"/>
    <dataValidation allowBlank="1" showInputMessage="1" showErrorMessage="1" promptTitle="===========炸弹塔===========" prompt="站在炸弹塔上的都是身强力壮的骷髅，比起冲上前线开墙，它们更专注于投掷炸弹伤害附近的部队。_x000a_骷髅兵们仍然崇尚玉石俱焚的精神，在炸弹塔被摧毁的时候还会引爆藏在炸弹塔下的巨型炸弹，以表达对部落的忠诚！_x000a_" sqref="AA45" xr:uid="{00000000-0002-0000-0300-00002F000000}"/>
    <dataValidation allowBlank="1" showInputMessage="1" showErrorMessage="1" promptTitle="======================" prompt="击退距离只对占用&lt;=2的单位有效。_x000a_具体指：野蛮人、弓箭手、哥布林、炸弹人" sqref="F37 AA70" xr:uid="{00000000-0002-0000-0300-000030000000}"/>
    <dataValidation allowBlank="1" showInputMessage="1" showErrorMessage="1" promptTitle="===========X连弩===========" prompt="X连弩是第二次部落革命的登峰造极产物。_x000a_在机器大规模应用的大背景下，设计一台超高射速武器的疯狂想法在建筑工人的脑海里浮现。_x000a_经过精密的自动化机器设计，这种原型武器最终问世。自动化武器拥有很多箭塔没有的优点：超长射程，超快射速以及不俗的伤害。而这位X连弩的发明者则拿着专利带来的大量宝石离开了家乡，并自称建筑大师。_x000a_" sqref="F62" xr:uid="{00000000-0002-0000-0300-000031000000}"/>
    <dataValidation allowBlank="1" showInputMessage="1" showErrorMessage="1" promptTitle="=====================" prompt="夜本群体对地防御_x000a_通过连发从而达到更广的打击效果_x000a_但失去了击退效果" sqref="F39" xr:uid="{00000000-0002-0000-0300-000032000000}"/>
    <dataValidation allowBlank="1" showInputMessage="1" showErrorMessage="1" promptTitle="===========空气炮===========" prompt="随着气球兵携带威力更大的炸弹，弓箭手愈发害怕它们了。_x000a_建筑工人们于是想到利用气压作为武器来应对新的威胁。只需要轻轻一击，气球就会被推向远方。_x000a_弓箭手可以更加从容地射击气球了。_x000a_" sqref="F49" xr:uid="{00000000-0002-0000-0300-000033000000}"/>
    <dataValidation allowBlank="1" showInputMessage="1" showErrorMessage="1" promptTitle="=======================" prompt="子弹：防御所能攻击的次数_x000a_但是由于上线自动装填，战斗无法一次性耗尽弹药，所以此项较为无用。_x000a_" sqref="F65 P68 AA81" xr:uid="{00000000-0002-0000-0300-000034000000}"/>
    <dataValidation allowBlank="1" showInputMessage="1" showErrorMessage="1" promptTitle="===========西瓜投手===========" prompt="西瓜投手是果农们为了应对产品滞销和缺乏防御的双重威胁想出的馊主意。_x000a_这座防御装填的是还未成熟的西瓜，表皮像石头一样坚硬。当敌军入侵的时候，通过弹簧机械将其快速弹出，这些西瓜绝对令敌军魂飞魄散。_x000a_因为这座防御，西瓜产量锐减，带动市场西瓜涨价，从而供不应求牟取暴利。_x000a_实在是高明之举！妙啊！妙啊！_x000a_" sqref="AA77" xr:uid="{00000000-0002-0000-0300-000035000000}"/>
    <dataValidation allowBlank="1" showInputMessage="1" showErrorMessage="1" promptTitle="==========伏击电塔===========" prompt="随着部落建设的日益强壮，村民们开始对电有一种渴望，这是进入第二次部落革命的主要推动力。_x000a_电原本只在天堂可以获得，为满足源源不断的电力需求，法师和建筑工人合作研发出了储存电能的强大装置，即伏打电堆。并深藏地底以免意外泄漏。而输电装置的发明让电能真正得到了使用。_x000a_备注：人体最大承受的电压为24伏。_x000a__x000a_" sqref="P45" xr:uid="{00000000-0002-0000-0300-000036000000}"/>
    <dataValidation allowBlank="1" showInputMessage="1" showErrorMessage="1" promptTitle="====================" prompt="弹道轨迹：直线_x000a_参考时间：瞬间_x000a_" sqref="R45 R62 H77 R77 H87 R87" xr:uid="{00000000-0002-0000-0300-000037000000}"/>
    <dataValidation allowBlank="1" showInputMessage="1" showErrorMessage="1" promptTitle="====================" prompt="飞行速度：8格/秒_x000a_可否追踪：不能_x000a_弹道轨迹：抛物线_x000a_参考时间：0.75秒_x000a_" sqref="AC45" xr:uid="{00000000-0002-0000-0300-000038000000}"/>
    <dataValidation allowBlank="1" showInputMessage="1" showErrorMessage="1" promptTitle="====================" prompt="飞行速度：未知_x000a_可否追踪：不能_x000a_弹道轨迹：直线_x000a_参考时间：未知_x000a_特殊子弹_x000a_" sqref="H49" xr:uid="{00000000-0002-0000-0300-000039000000}"/>
    <dataValidation allowBlank="1" showInputMessage="1" showErrorMessage="1" promptTitle="======================" prompt="麻麻说如果不及时躲开炸弹塔的大炸弹，可是会被炸到的；但如果躲开了自爆范围，就可以看最美的烟火了。_x000a_" sqref="AA52" xr:uid="{00000000-0002-0000-0300-00003A000000}"/>
    <dataValidation allowBlank="1" showInputMessage="1" showErrorMessage="1" promptTitle="======================" prompt="在达到所需要的效果前的一段时间，通常是准备时间。" sqref="AA53 AM110 AT110 BA111 AT121 BA124 AM126" xr:uid="{00000000-0002-0000-0300-00003B000000}"/>
    <dataValidation allowBlank="1" showInputMessage="1" showErrorMessage="1" promptTitle="=======================" prompt="造成直接伤害的溅射范围，伤害很高！" sqref="AA66" xr:uid="{00000000-0002-0000-0300-00003C000000}"/>
    <dataValidation allowBlank="1" showInputMessage="1" showErrorMessage="1" promptTitle="====================" prompt="飞行速度：2.5格_x000a_可否追踪：可以_x000a_弹道轨迹：直线_x000a_参考时间：1.6秒_x000a_" sqref="AO121" xr:uid="{00000000-0002-0000-0300-00003D000000}"/>
    <dataValidation allowBlank="1" showInputMessage="1" showErrorMessage="1" promptTitle="====================" prompt="飞行速度：5格/秒_x000a_可否追踪：不能_x000a_弹道轨迹：抛物线_x000a_参考时间：5秒_x000a_特殊子弹，命中目标时间固定_x000a_" sqref="AC62" xr:uid="{00000000-0002-0000-0300-00003E000000}"/>
    <dataValidation allowBlank="1" showInputMessage="1" showErrorMessage="1" promptTitle="======================" prompt="造成二次伤害的溅射范围，伤害较小。" sqref="AA67" xr:uid="{00000000-0002-0000-0300-00003F000000}"/>
    <dataValidation allowBlank="1" showInputMessage="1" showErrorMessage="1" promptTitle="===========冰爆地狱组件===========" prompt="魔高一尺，道高一丈。敌军很快找到了拿下12本的方法，首领急需更强的防御。_x000a_目光于是聚焦在地狱之塔上，可这远远不够。于是还想到了冰，在大本营旁铺冰可以在自爆后给敌军带来更大麻烦。_x000a_这种冰火的结合体随着13本的升级而诞生，继续成为敌军的噩梦。_x000a_" sqref="P77" xr:uid="{00000000-0002-0000-0300-000040000000}"/>
    <dataValidation allowBlank="1" showInputMessage="1" showErrorMessage="1" promptTitle="====================" prompt="飞行速度：12格/秒_x000a_可否追踪：可以_x000a_弹道轨迹：抛物线_x000a_参考时间：0.83秒" sqref="AC77" xr:uid="{00000000-0002-0000-0300-000041000000}"/>
    <dataValidation allowBlank="1" showInputMessage="1" showErrorMessage="1" promptTitle="===========毒爆地狱组件===========" prompt="现在连13本都成为了手下败将，那么升级14本之后要如何再度对敌人产生威胁呢？_x000a_村民求助于远古的阿兹特克遗迹，寻找了过期的毒药法术配方，将其塞入大本营作为最后的杀手锏，这就变成了现在臭名昭著的毒爆地狱组件了。" sqref="F87" xr:uid="{00000000-0002-0000-0300-000042000000}"/>
    <dataValidation allowBlank="1" showInputMessage="1" showErrorMessage="1" promptTitle="===========魔能地狱组件===========" prompt="15本是全新的时代，因此对大本营的升级也继续推进。_x000a_对魔法孜孜不倦地研究让大本营的防御能力得到了综合的提升，也就是所有属性的全方位提升。看上去只是轻微的数值提升所需要付出的代价则是大规模的重构，尤其是驱动大本营反击的能源，尽管还叫地狱组件，但已经变成了魔法的样子了。" sqref="P87" xr:uid="{00000000-0002-0000-0300-000043000000}"/>
    <dataValidation allowBlank="1" showInputMessage="1" showErrorMessage="1" promptTitle="===========连弩小屋组件===========" prompt="待补充" sqref="AA87" xr:uid="{00000000-0002-0000-0300-000044000000}"/>
    <dataValidation allowBlank="1" showInputMessage="1" showErrorMessage="1" promptTitle="======1级工人小屋宝石成本======" prompt="第1个   0   宝石_x000a_第2个 250 宝石_x000a_第3个1000宝石_x000a_第4个2000宝石" sqref="AI88" xr:uid="{00000000-0002-0000-0300-000045000000}"/>
    <dataValidation allowBlank="1" showInputMessage="1" showErrorMessage="1" prompt="可以在部署阵型时选择法术塔要释放的法术" sqref="F96 F105" xr:uid="{00000000-0002-0000-0300-000046000000}"/>
    <dataValidation allowBlank="1" showInputMessage="1" showErrorMessage="1" promptTitle="===作用===" prompt="输出伤害提升90%" sqref="L98" xr:uid="{00000000-0002-0000-0300-000047000000}"/>
    <dataValidation allowBlank="1" showInputMessage="1" showErrorMessage="1" promptTitle="===属性===" prompt="移动速度降低35%_x000a_攻击速度降低25%_x000a_最高秒伤60" sqref="L99" xr:uid="{00000000-0002-0000-0300-000048000000}"/>
    <dataValidation allowBlank="1" showInputMessage="1" showErrorMessage="1" promptTitle="==========隐形炸弹==========" prompt="我原先是被炸弹人抱着的一颗炸弹，只是炸弹人没有拿我开墙却被埋在了地下。_x000a_直到有一天炸弹人再次向城墙发起进攻，我醒来了，并引爆了自己。炸弹人被消灭了，而炸弹却被埋在了同一个地方。_x000a_一直下去......_x000a_" sqref="AM105" xr:uid="{00000000-0002-0000-0300-000049000000}"/>
    <dataValidation allowBlank="1" showInputMessage="1" showErrorMessage="1" promptTitle="===========隐形弹簧===========" prompt="我是陷阱中的春天(Spring)，为部落带来盎然的春意。_x000a_不！当愚蠢的村民踩上去可就是另一回事了。_x000a_免费出国机票，单程的！_x000a_" sqref="AT105" xr:uid="{00000000-0002-0000-0300-00004A000000}"/>
    <dataValidation allowBlank="1" showInputMessage="1" showErrorMessage="1" promptTitle="===额外伤害===" prompt="以被攻击者生命值为基数" sqref="K106" xr:uid="{00000000-0002-0000-0300-00004B000000}"/>
    <dataValidation allowBlank="1" showInputMessage="1" showErrorMessage="1" promptTitle="=====================" prompt="代表了陷阱可以作用的指定单位" sqref="AM106 AT106 BA107 AT116 AT129" xr:uid="{00000000-0002-0000-0300-00004C000000}"/>
    <dataValidation allowBlank="1" showInputMessage="1" showErrorMessage="1" promptTitle="==========巨型炸弹==========" prompt="一个炸弹有人嫌威力不够，那么做最简单的加法吧。将一群炸弹埋在一起，一个就可以引爆一群。不论是伤害还是效果都足够了。_x000a_" sqref="BA106" xr:uid="{00000000-0002-0000-0300-00004D000000}"/>
    <dataValidation allowBlank="1" showInputMessage="1" showErrorMessage="1" promptTitle="======================" prompt="指定军队到达这个范围后陷阱会弹出造成效果！" sqref="AT107 BA108 AT117 BA121 AM122 AT130" xr:uid="{00000000-0002-0000-0300-00004E000000}"/>
    <dataValidation allowBlank="1" showInputMessage="1" showErrorMessage="1" promptTitle="===========搜空地雷===========" prompt="同样也是空军的梦魇，可以一击消灭大量的空军。_x000a_为了防止攻击低价值的单位，搜空地雷内置价值判断芯片，只会被大型单位才会激活它。" sqref="AT115" xr:uid="{00000000-0002-0000-0300-00004F000000}"/>
    <dataValidation allowBlank="1" showInputMessage="1" showErrorMessage="1" promptTitle="========================" prompt="陷阱的移动速度，只有追上才可以造成伤害。_x000a__x000a__x000a_" sqref="AT119 AM124" xr:uid="{00000000-0002-0000-0300-000050000000}"/>
    <dataValidation allowBlank="1" showInputMessage="1" showErrorMessage="1" promptTitle="===========骷髅陷阱===========" prompt="挺身而出为部落争取仅有的几秒钟。_x000a_骷髅兵再次奉献自己的献身精神，而这么几秒往往非常关键。" sqref="BA119" xr:uid="{00000000-0002-0000-0300-000051000000}"/>
    <dataValidation allowBlank="1" showInputMessage="1" showErrorMessage="1" promptTitle="=====================" prompt="可任意根据你的需要让骷髅对空或者对地" sqref="BA120" xr:uid="{00000000-0002-0000-0300-000052000000}"/>
    <dataValidation allowBlank="1" showInputMessage="1" showErrorMessage="1" promptTitle="===========空中炸弹==========" prompt="炸弹不可怕，会飞的才可怕。_x000a_气球不破，炸到的是空军。气球破了，掉下来也能砸陆军，简直全能！_x000a_那么有谁能精准到射击快速飞行的气球呢？_x000a__x000a_" sqref="AM121" xr:uid="{00000000-0002-0000-0300-000053000000}"/>
    <dataValidation allowBlank="1" showInputMessage="1" showErrorMessage="1" promptTitle="=========================" prompt="此项目决定了兵种的攻击目标和偏好。_x000a_攻击任何目标，选择最近的攻击！_x000a__x000a_" sqref="BH122" xr:uid="{00000000-0002-0000-0300-000054000000}"/>
    <dataValidation allowBlank="1" showInputMessage="1" showErrorMessage="1" promptTitle="=================" prompt="射程指的是单位可以攻击到目标的最远距离" sqref="BH123" xr:uid="{00000000-0002-0000-0300-000055000000}"/>
    <dataValidation allowBlank="1" showInputMessage="1" showErrorMessage="1" promptTitle="=========================" prompt="攻速决定了单位开火所需要的时间，_x000a_每次伤害=攻速*每秒伤害。_x000a_" sqref="BH124" xr:uid="{00000000-0002-0000-0300-000056000000}"/>
    <dataValidation allowBlank="1" showInputMessage="1" showErrorMessage="1" promptTitle="=========================" prompt="移速的单位是：秒/格_x000a_与游戏显示的数值n的转换方法是：n/8_x000a__x000a_" sqref="BH125" xr:uid="{00000000-0002-0000-0300-000057000000}"/>
    <dataValidation allowBlank="1" showInputMessage="1" showErrorMessage="1" promptTitle="======================" prompt="在达到所需要的效果前的一段时间，通常是准备时间。_x000a_这里计算的是从陷阱触发到第一次受伤的时间。_x000a_" sqref="AT132" xr:uid="{00000000-0002-0000-0300-000058000000}"/>
    <dataValidation allowBlank="1" showInputMessage="1" showErrorMessage="1" promptTitle="==========================" prompt="单体攻击：一次攻击只击中一个目标，并且永远不会击空。_x000a_" sqref="BH126" xr:uid="{00000000-0002-0000-0300-000059000000}"/>
    <dataValidation allowBlank="1" showInputMessage="1" showErrorMessage="1" promptTitle="=======================" prompt="占用空间指的是兵种占用兵营的容量。_x000a_" sqref="BH127" xr:uid="{00000000-0002-0000-0300-00005A000000}"/>
    <dataValidation allowBlank="1" showInputMessage="1" showErrorMessage="1" promptTitle="===========飓风陷阱==========" prompt="埋在地下的风之笛子，演奏时引发强风。_x000a_被吸引至此，却从未迷失于彼。" sqref="AT128" xr:uid="{00000000-0002-0000-0300-00005B000000}"/>
    <dataValidation allowBlank="1" showInputMessage="1" showErrorMessage="1" promptTitle="========================" prompt="权重分为两个值，跟随权重和仇恨权重_x000a_“跟随权重”反应了兵种在大守护者眼中的重要性，锁定目标时对目标施加自身的跟随权重_x000a_“仇恨权重”反应了兵种在天鹰火炮范围内的威胁，该值越高则代表越容易被天鹰锁定_x000a_" sqref="BH128" xr:uid="{00000000-0002-0000-0300-00005C000000}"/>
  </dataValidations>
  <hyperlinks>
    <hyperlink ref="D4" location="'2.3家乡建筑'!F5:N27" tooltip="基础对地防御" display="01.加农炮" xr:uid="{00000000-0004-0000-0300-000000000000}"/>
    <hyperlink ref="D5" location="'2.3家乡建筑'!P5:X27" tooltip="可以地空兼顾的基础防御" display="02.箭塔" xr:uid="{00000000-0004-0000-0300-000001000000}"/>
    <hyperlink ref="D6" location="'2.3家乡建筑'!AA5:AF22" tooltip="令大多数陆军头疼的坚固阻碍" display="03.城墙" xr:uid="{00000000-0004-0000-0300-000002000000}"/>
    <hyperlink ref="D7" location="'2.3家乡建筑'!F30:N46" tooltip="远射程且带有溅射伤害的对地防御" display="04.迫击炮" xr:uid="{00000000-0004-0000-0300-000003000000}"/>
    <hyperlink ref="D8" location="'2.3家乡建筑'!P29:W43" tooltip="专职对空的空军克星" display="05.防空火箭" xr:uid="{00000000-0004-0000-0300-000004000000}"/>
    <hyperlink ref="D9" location="'2.3家乡建筑'!AA28:AH44" tooltip="射程短但陆空兼顾的溅射性防御" display="06.法师塔" xr:uid="{00000000-0004-0000-0300-000005000000}"/>
    <hyperlink ref="D10" location="'2.3家乡建筑'!F49:L58" tooltip="小巧的空军劝退利器，但只能攻击一个方向" display="07.空气炮" xr:uid="{00000000-0004-0000-0300-000006000000}"/>
    <hyperlink ref="D11" location="'2.3家乡建筑'!P45:W59" tooltip="只有敌军威胁才会出身的伏地魔" display="08.伏击电塔" xr:uid="{00000000-0004-0000-0300-000007000000}"/>
    <hyperlink ref="D12" location="'2.3家乡建筑'!AA45:AI56" tooltip="最可怕的莫过于最后的致命爆炸" display="09.炸弹塔" xr:uid="{00000000-0004-0000-0300-000008000000}"/>
    <hyperlink ref="D13" location="'2.3家乡建筑'!F62:M73" tooltip="生命极高，射速极快的核心防御" display="10.X连弩" xr:uid="{00000000-0004-0000-0300-000009000000}"/>
    <hyperlink ref="D14" location="'2.3家乡建筑'!P62:Y74" tooltip="对一个单位毁灭性伤害，或者对五个单位持续伤害？" display="11.地狱之塔" xr:uid="{00000000-0004-0000-0300-00000A000000}"/>
    <hyperlink ref="D15" location="'2.3家乡建筑'!AA62:AI71" tooltip="只有下了大量的军队，它才会苏醒" display="12.天鹰火炮" xr:uid="{00000000-0004-0000-0300-00000B000000}"/>
    <hyperlink ref="D16" location="'2.3家乡建筑'!F77:N85" tooltip="12级大本营附属防御" display="13.巨型电磁组件" xr:uid="{00000000-0004-0000-0300-00000C000000}"/>
    <hyperlink ref="AK105" location="'2.3家乡建筑'!AM105:AR117" tooltip="小型爆炸陷阱，克制炸弹人" display="01.隐形炸弹" xr:uid="{00000000-0004-0000-0300-00000D000000}"/>
    <hyperlink ref="AK106" location="'2.3家乡建筑'!AM121:AR133" tooltip="爆炸性空中陷阱，对大数量单位致命" display="02.空中炸弹" xr:uid="{00000000-0004-0000-0300-00000E000000}"/>
    <hyperlink ref="AK107" location="'2.3家乡建筑'!AT115:AY122" tooltip="致命的单体空中伤害" display="03.搜空地雷" xr:uid="{00000000-0004-0000-0300-00000F000000}"/>
    <hyperlink ref="AK108" location="'2.3家乡建筑'!AT105:AY111" tooltip="弹出陆军，直接秒杀" display="04.隐形弹簧" xr:uid="{00000000-0004-0000-0300-000010000000}"/>
    <hyperlink ref="AK109" location="'2.3家乡建筑'!BA106:BG115" tooltip="更大的体积，更高的伤害" display="05.巨型炸弹" xr:uid="{00000000-0004-0000-0300-000011000000}"/>
    <hyperlink ref="AK110" location="'2.3家乡建筑'!BA119:BF125" tooltip="召唤骷髅骚扰敌军" display="06.骷髅陷阱" xr:uid="{00000000-0004-0000-0300-000012000000}"/>
    <hyperlink ref="AK111" location="'2.3家乡建筑'!AT128:AZ133" tooltip="控制型陷阱，无...法...动...弹......" display="07.飓风陷阱" xr:uid="{00000000-0004-0000-0300-000013000000}"/>
    <hyperlink ref="AK4" location="'2.3家乡建筑'!AM5:AV21" tooltip="核心建筑，不要速本！" display="01.大本营" xr:uid="{00000000-0004-0000-0300-000014000000}"/>
    <hyperlink ref="AK5" location="'2.3家乡建筑'!AX5:BF20" tooltip="接收援军并储存额外奖励" display="02.部落城堡" xr:uid="{00000000-0004-0000-0300-000015000000}"/>
    <hyperlink ref="AK6" location="'2.3家乡建筑'!BI5:BN19" tooltip="研究以强化自己的部队" display="03.实验室" xr:uid="{00000000-0004-0000-0300-000016000000}"/>
    <hyperlink ref="AK7" location="'2.3家乡建筑'!AM22:AS39" tooltip="训练圣水军队" display="04.训练营" xr:uid="{00000000-0004-0000-0300-000017000000}"/>
    <hyperlink ref="AK8" location="'2.3家乡建筑'!AW22:BC32" tooltip="训练黑油军队" display="05.暗黑训练营" xr:uid="{00000000-0004-0000-0300-000018000000}"/>
    <hyperlink ref="AK9" location="'2.3家乡建筑'!BG22:BM35" tooltip="储存军队" display="06.兵营" xr:uid="{00000000-0004-0000-0300-000019000000}"/>
    <hyperlink ref="AK10" location="'2.3家乡建筑'!AM42:AT50" tooltip="配置圣水法术" display="07.法术工厂" xr:uid="{00000000-0004-0000-0300-00001A000000}"/>
    <hyperlink ref="AK11" location="'2.3家乡建筑'!AW40:BD46" tooltip="配置黑油法术" display="08.暗黑工厂" xr:uid="{00000000-0004-0000-0300-00001B000000}"/>
    <hyperlink ref="AK12" location="'2.3家乡建筑'!BG40:BN48" tooltip="铸造攻城载具" display="09.攻城工坊" xr:uid="{00000000-0004-0000-0300-00001C000000}"/>
    <hyperlink ref="AK15" location="'2.3家乡建筑'!AM52:AU69" tooltip="自动采集金币" display="12.采金场" xr:uid="{00000000-0004-0000-0300-00001D000000}"/>
    <hyperlink ref="AK13" location="'2.3家乡建筑'!AW50:BE67" tooltip="自动采集圣水" display="10.圣水泵" xr:uid="{00000000-0004-0000-0300-00001E000000}"/>
    <hyperlink ref="AK17" location="'2.3家乡建筑'!BG50:BO61" tooltip="自动采集暗黑重油" display="14.黑油钻井" xr:uid="{00000000-0004-0000-0300-00001F000000}"/>
    <hyperlink ref="AK14" location="'2.3家乡建筑'!AW71:BC88" tooltip="储存圣水" display="11.圣水瓶" xr:uid="{00000000-0004-0000-0300-000020000000}"/>
    <hyperlink ref="AK16" location="'2.3家乡建筑'!AM71:AS88" tooltip="储存金币" display="13.储金罐" xr:uid="{00000000-0004-0000-0300-000021000000}"/>
    <hyperlink ref="AK18" location="'2.3家乡建筑'!BG71:BM82" tooltip="储存暗黑重油" display="15.黑油罐" xr:uid="{00000000-0004-0000-0300-000022000000}"/>
    <hyperlink ref="D27" location="'2.3家乡建筑'!A1：C15" tooltip="返回主界面" display="○主界面" xr:uid="{00000000-0004-0000-0300-000023000000}"/>
    <hyperlink ref="AK23" location="'2.3家乡建筑'!A1：C15" tooltip="返回主界面" display="○主界面" xr:uid="{00000000-0004-0000-0300-000024000000}"/>
    <hyperlink ref="AK115" location="'2.3家乡建筑'!A1：C15" tooltip="返回主界面" display="○主界面" xr:uid="{00000000-0004-0000-0300-000025000000}"/>
    <hyperlink ref="AK114" location="'2.3家乡建筑'!AK1：BO91" tooltip="非攻击类建筑都归类于此" display="&gt;&gt;支援建筑" xr:uid="{00000000-0004-0000-0300-000026000000}"/>
    <hyperlink ref="AK113" location="'2.3家乡建筑'!D1:AH96" tooltip="反击敌人的核心" display="&gt;&gt;防御建筑" xr:uid="{00000000-0004-0000-0300-000027000000}"/>
    <hyperlink ref="D26" location="'2.3家乡建筑'!AK1：BO91" tooltip="非攻击类建筑都归类于此" display="&gt;&gt;支援建筑" xr:uid="{00000000-0004-0000-0300-000028000000}"/>
    <hyperlink ref="D17" location="'2.3家乡建筑'!P77:Y85" tooltip="13本附属防御" display="14.冰爆地狱组件" xr:uid="{00000000-0004-0000-0300-000029000000}"/>
    <hyperlink ref="D18" location="'2.3家乡建筑'!AA77:AI85" tooltip="投石散射对付后排部队" display="15.西瓜投手" xr:uid="{00000000-0004-0000-0300-00002A000000}"/>
    <hyperlink ref="AK22" location="'2.3家乡建筑'!D1:AH96" tooltip="反击敌人的核心" display="&gt;&gt;防御建筑" xr:uid="{00000000-0004-0000-0300-00002B000000}"/>
    <hyperlink ref="D19" location="'2.3家乡建筑'!F87:N94" tooltip="祸害遗千年" display="16.毒爆地狱组件" xr:uid="{00000000-0004-0000-0300-00002C000000}"/>
    <hyperlink ref="D20" location="'2.3家乡建筑'!AA87:AJ94" tooltip="建筑工人将自己的简陋小屋变成反击武器" display="17.连弩小屋组件" xr:uid="{00000000-0004-0000-0300-00002D000000}"/>
    <hyperlink ref="AK19" location="'2.3家乡建筑'!AM90:AS99" tooltip="与英雄并肩作战" display="16.战宠小屋" xr:uid="{00000000-0004-0000-0300-00002E000000}"/>
    <hyperlink ref="D23" location="'2.3家乡建筑'!F105:N116" tooltip="敌人的噩梦" display="20.巨石碑" xr:uid="{00000000-0004-0000-0300-00002F000000}"/>
    <hyperlink ref="D22" location="'2.3家乡建筑'!F96:P100" tooltip="魔法利器" display="19.法术塔" xr:uid="{00000000-0004-0000-0300-000030000000}"/>
    <hyperlink ref="D21" location="'2.3家乡建筑'!P87:X95" tooltip="更强大的地狱塔" display="18.魔能地狱组件" xr:uid="{00000000-0004-0000-0300-000031000000}"/>
    <hyperlink ref="AK21" location="'2.3家乡建筑'!AK102:BG133" tooltip="隐藏起来的小可爱们" display="&gt;&gt;隐秘陷阱" xr:uid="{00000000-0004-0000-0300-000032000000}"/>
    <hyperlink ref="D25" location="'2.3家乡建筑'!AK102:BG133" tooltip="隐藏起来的小可爱们" display="&gt;&gt;隐秘陷阱" xr:uid="{00000000-0004-0000-0300-000033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U142"/>
  <sheetViews>
    <sheetView workbookViewId="0">
      <selection sqref="A1:C2"/>
    </sheetView>
  </sheetViews>
  <sheetFormatPr defaultColWidth="9" defaultRowHeight="14.15"/>
  <cols>
    <col min="11" max="11" width="12.640625"/>
    <col min="15" max="15" width="9.5" customWidth="1"/>
    <col min="16" max="16" width="9.35546875"/>
    <col min="26" max="26" width="9.35546875"/>
    <col min="28" max="30" width="9.35546875"/>
    <col min="40" max="40" width="9.35546875"/>
  </cols>
  <sheetData>
    <row r="1" spans="1:47">
      <c r="A1" s="536" t="s">
        <v>1430</v>
      </c>
      <c r="B1" s="536"/>
      <c r="C1" s="536"/>
      <c r="D1" s="537" t="s">
        <v>1431</v>
      </c>
      <c r="E1" s="537"/>
      <c r="F1" s="49"/>
      <c r="G1" s="49"/>
      <c r="H1" s="49"/>
      <c r="I1" s="49"/>
      <c r="J1" s="49"/>
      <c r="K1" s="49"/>
      <c r="L1" s="49"/>
      <c r="M1" s="49"/>
      <c r="N1" s="49"/>
      <c r="O1" s="49"/>
      <c r="P1" s="49"/>
      <c r="Q1" s="49"/>
      <c r="R1" s="49"/>
      <c r="S1" s="49"/>
      <c r="T1" s="49"/>
      <c r="U1" s="49"/>
      <c r="V1" s="49"/>
      <c r="W1" s="49"/>
      <c r="X1" s="49"/>
      <c r="Y1" s="49"/>
      <c r="Z1" s="49"/>
      <c r="AA1" s="49"/>
      <c r="AB1" s="49"/>
      <c r="AC1" s="49"/>
      <c r="AD1" s="49"/>
      <c r="AE1" s="537" t="s">
        <v>165</v>
      </c>
      <c r="AF1" s="537"/>
      <c r="AG1" s="49"/>
      <c r="AH1" s="49"/>
      <c r="AI1" s="49"/>
      <c r="AJ1" s="49"/>
      <c r="AK1" s="49"/>
      <c r="AL1" s="49"/>
      <c r="AM1" s="49"/>
      <c r="AN1" s="49"/>
      <c r="AO1" s="49"/>
      <c r="AP1" s="49"/>
      <c r="AQ1" s="49"/>
      <c r="AR1" s="49"/>
      <c r="AS1" s="49"/>
      <c r="AT1" s="49"/>
      <c r="AU1" s="49"/>
    </row>
    <row r="2" spans="1:47">
      <c r="A2" s="536"/>
      <c r="B2" s="536"/>
      <c r="C2" s="536"/>
      <c r="D2" s="538"/>
      <c r="E2" s="538"/>
      <c r="F2" s="50"/>
      <c r="G2" s="50"/>
      <c r="H2" s="50"/>
      <c r="I2" s="50"/>
      <c r="J2" s="50"/>
      <c r="K2" s="50"/>
      <c r="L2" s="50"/>
      <c r="M2" s="50"/>
      <c r="N2" s="50"/>
      <c r="O2" s="50"/>
      <c r="P2" s="50"/>
      <c r="Q2" s="50"/>
      <c r="R2" s="50"/>
      <c r="S2" s="50"/>
      <c r="T2" s="50"/>
      <c r="U2" s="50"/>
      <c r="V2" s="50"/>
      <c r="W2" s="50"/>
      <c r="X2" s="50"/>
      <c r="Y2" s="50"/>
      <c r="Z2" s="50"/>
      <c r="AA2" s="50"/>
      <c r="AB2" s="50"/>
      <c r="AC2" s="49"/>
      <c r="AD2" s="49"/>
      <c r="AE2" s="538"/>
      <c r="AF2" s="538"/>
      <c r="AG2" s="50"/>
      <c r="AH2" s="50"/>
      <c r="AI2" s="50"/>
      <c r="AJ2" s="50"/>
      <c r="AK2" s="50"/>
      <c r="AL2" s="50"/>
      <c r="AM2" s="50"/>
      <c r="AN2" s="50"/>
      <c r="AO2" s="50"/>
      <c r="AP2" s="50"/>
      <c r="AQ2" s="50"/>
      <c r="AR2" s="50"/>
      <c r="AS2" s="50"/>
      <c r="AT2" s="50"/>
      <c r="AU2" s="49"/>
    </row>
    <row r="3" spans="1:47">
      <c r="A3" s="539" t="s">
        <v>1432</v>
      </c>
      <c r="B3" s="539"/>
      <c r="C3" s="539"/>
      <c r="D3" s="49" t="s">
        <v>1433</v>
      </c>
      <c r="E3" s="49"/>
      <c r="F3" s="49"/>
      <c r="G3" s="49"/>
      <c r="H3" s="49"/>
      <c r="I3" s="49"/>
      <c r="J3" s="49"/>
      <c r="K3" s="49"/>
      <c r="L3" s="49"/>
      <c r="M3" s="49"/>
      <c r="N3" s="49"/>
      <c r="O3" s="49"/>
      <c r="P3" s="49"/>
      <c r="Q3" s="49"/>
      <c r="R3" s="49"/>
      <c r="S3" s="49"/>
      <c r="T3" s="49"/>
      <c r="U3" s="49"/>
      <c r="V3" s="49"/>
      <c r="W3" s="49"/>
      <c r="X3" s="49"/>
      <c r="Y3" s="49"/>
      <c r="Z3" s="49"/>
      <c r="AA3" s="49"/>
      <c r="AB3" s="49"/>
      <c r="AC3" s="49"/>
      <c r="AD3" s="49"/>
      <c r="AE3" s="49" t="s">
        <v>231</v>
      </c>
      <c r="AF3" s="49"/>
      <c r="AG3" s="49"/>
      <c r="AH3" s="49"/>
      <c r="AI3" s="49"/>
      <c r="AJ3" s="49"/>
      <c r="AK3" s="49"/>
      <c r="AL3" s="49"/>
      <c r="AM3" s="49"/>
      <c r="AN3" s="49"/>
      <c r="AO3" s="49"/>
      <c r="AP3" s="49"/>
      <c r="AQ3" s="49"/>
      <c r="AR3" s="49"/>
      <c r="AS3" s="49"/>
      <c r="AT3" s="49"/>
      <c r="AU3" s="49"/>
    </row>
    <row r="4" spans="1:47">
      <c r="A4" s="539"/>
      <c r="B4" s="539"/>
      <c r="C4" s="539"/>
      <c r="D4" s="216" t="s">
        <v>1434</v>
      </c>
      <c r="E4" s="49"/>
      <c r="F4" s="49"/>
      <c r="G4" s="49"/>
      <c r="H4" s="49"/>
      <c r="I4" s="49"/>
      <c r="J4" s="49"/>
      <c r="K4" s="49"/>
      <c r="L4" s="49"/>
      <c r="M4" s="49"/>
      <c r="N4" s="49"/>
      <c r="O4" s="49"/>
      <c r="P4" s="49"/>
      <c r="Q4" s="49"/>
      <c r="R4" s="49"/>
      <c r="S4" s="49"/>
      <c r="T4" s="49"/>
      <c r="U4" s="49"/>
      <c r="V4" s="49"/>
      <c r="W4" s="49"/>
      <c r="X4" s="49"/>
      <c r="Y4" s="49"/>
      <c r="Z4" s="49"/>
      <c r="AA4" s="49"/>
      <c r="AB4" s="49"/>
      <c r="AC4" s="49"/>
      <c r="AD4" s="49"/>
      <c r="AE4" s="54" t="s">
        <v>1435</v>
      </c>
      <c r="AF4" s="49"/>
      <c r="AG4" s="49"/>
      <c r="AH4" s="49"/>
      <c r="AI4" s="49"/>
      <c r="AJ4" s="49"/>
      <c r="AK4" s="49"/>
      <c r="AL4" s="49"/>
      <c r="AM4" s="49"/>
      <c r="AN4" s="49"/>
      <c r="AO4" s="49"/>
      <c r="AP4" s="49"/>
      <c r="AQ4" s="49"/>
      <c r="AR4" s="49"/>
      <c r="AS4" s="49"/>
      <c r="AT4" s="49"/>
      <c r="AU4" s="49"/>
    </row>
    <row r="5" spans="1:47">
      <c r="A5" s="62" t="s">
        <v>238</v>
      </c>
      <c r="B5" s="62" t="s">
        <v>239</v>
      </c>
      <c r="C5" s="62" t="s">
        <v>240</v>
      </c>
      <c r="D5" s="216" t="s">
        <v>1436</v>
      </c>
      <c r="E5" s="49"/>
      <c r="F5" s="49" t="s">
        <v>1437</v>
      </c>
      <c r="G5" s="49"/>
      <c r="H5" s="49" t="s">
        <v>1438</v>
      </c>
      <c r="I5" s="49"/>
      <c r="J5" s="49"/>
      <c r="K5" s="49"/>
      <c r="L5" s="49"/>
      <c r="M5" s="49"/>
      <c r="N5" s="49"/>
      <c r="O5" s="49"/>
      <c r="P5" s="49"/>
      <c r="Q5" s="49"/>
      <c r="R5" s="49" t="s">
        <v>1439</v>
      </c>
      <c r="S5" s="49"/>
      <c r="T5" s="49" t="s">
        <v>1440</v>
      </c>
      <c r="U5" s="49"/>
      <c r="V5" s="49"/>
      <c r="W5" s="49"/>
      <c r="X5" s="49"/>
      <c r="Y5" s="49"/>
      <c r="Z5" s="137" t="s">
        <v>235</v>
      </c>
      <c r="AA5" s="49"/>
      <c r="AB5" s="49"/>
      <c r="AC5" s="49"/>
      <c r="AD5" s="49"/>
      <c r="AE5" s="49"/>
      <c r="AF5" s="49"/>
      <c r="AG5" s="49" t="s">
        <v>165</v>
      </c>
      <c r="AH5" s="49"/>
      <c r="AI5" s="49" t="s">
        <v>1441</v>
      </c>
      <c r="AJ5" s="49"/>
      <c r="AK5" s="49"/>
      <c r="AL5" s="49"/>
      <c r="AM5" s="49"/>
      <c r="AN5" s="49"/>
      <c r="AO5" s="49"/>
      <c r="AP5" s="49"/>
      <c r="AQ5" s="49"/>
      <c r="AR5" s="49"/>
      <c r="AS5" s="49"/>
      <c r="AT5" s="49"/>
      <c r="AU5" s="49"/>
    </row>
    <row r="6" spans="1:47">
      <c r="A6" s="120" t="s">
        <v>1442</v>
      </c>
      <c r="B6" s="87">
        <v>4</v>
      </c>
      <c r="C6" s="79" t="s">
        <v>1443</v>
      </c>
      <c r="D6" s="216" t="s">
        <v>1444</v>
      </c>
      <c r="E6" s="49"/>
      <c r="F6" s="84" t="s">
        <v>242</v>
      </c>
      <c r="G6" s="85"/>
      <c r="H6" s="65" t="s">
        <v>243</v>
      </c>
      <c r="I6" s="65" t="s">
        <v>244</v>
      </c>
      <c r="J6" s="65" t="s">
        <v>245</v>
      </c>
      <c r="K6" s="65" t="s">
        <v>250</v>
      </c>
      <c r="L6" s="65" t="s">
        <v>1445</v>
      </c>
      <c r="M6" s="65" t="s">
        <v>443</v>
      </c>
      <c r="N6" s="65" t="s">
        <v>1446</v>
      </c>
      <c r="O6" s="65" t="s">
        <v>246</v>
      </c>
      <c r="P6" s="65" t="s">
        <v>247</v>
      </c>
      <c r="Q6" s="49"/>
      <c r="R6" s="84" t="s">
        <v>248</v>
      </c>
      <c r="S6" s="85"/>
      <c r="T6" s="108" t="s">
        <v>243</v>
      </c>
      <c r="U6" s="65" t="s">
        <v>244</v>
      </c>
      <c r="V6" s="65" t="s">
        <v>245</v>
      </c>
      <c r="W6" s="65" t="s">
        <v>1447</v>
      </c>
      <c r="X6" s="65" t="s">
        <v>1446</v>
      </c>
      <c r="Y6" s="65" t="s">
        <v>246</v>
      </c>
      <c r="Z6" s="65" t="s">
        <v>247</v>
      </c>
      <c r="AA6" s="49"/>
      <c r="AB6" s="49"/>
      <c r="AC6" s="49"/>
      <c r="AD6" s="49"/>
      <c r="AE6" s="54" t="s">
        <v>1448</v>
      </c>
      <c r="AF6" s="49"/>
      <c r="AG6" s="52" t="s">
        <v>242</v>
      </c>
      <c r="AH6" s="64"/>
      <c r="AI6" s="108" t="s">
        <v>243</v>
      </c>
      <c r="AJ6" s="65" t="s">
        <v>244</v>
      </c>
      <c r="AK6" s="65" t="s">
        <v>245</v>
      </c>
      <c r="AL6" s="65" t="s">
        <v>250</v>
      </c>
      <c r="AM6" s="65" t="s">
        <v>246</v>
      </c>
      <c r="AN6" s="65" t="s">
        <v>247</v>
      </c>
      <c r="AO6" s="65" t="s">
        <v>263</v>
      </c>
      <c r="AP6" s="65" t="s">
        <v>264</v>
      </c>
      <c r="AQ6" s="65" t="s">
        <v>266</v>
      </c>
      <c r="AR6" s="49"/>
      <c r="AS6" s="49"/>
      <c r="AT6" s="49"/>
      <c r="AU6" s="49"/>
    </row>
    <row r="7" spans="1:47">
      <c r="A7" s="120" t="s">
        <v>1449</v>
      </c>
      <c r="B7" s="99">
        <v>5</v>
      </c>
      <c r="C7" s="79" t="s">
        <v>270</v>
      </c>
      <c r="D7" s="216" t="s">
        <v>1450</v>
      </c>
      <c r="E7" s="49"/>
      <c r="F7" s="70" t="s">
        <v>258</v>
      </c>
      <c r="G7" s="86"/>
      <c r="H7" s="87">
        <v>1</v>
      </c>
      <c r="I7" s="62">
        <v>150</v>
      </c>
      <c r="J7" s="62">
        <v>50</v>
      </c>
      <c r="K7" s="62">
        <f>J7*0.8</f>
        <v>40</v>
      </c>
      <c r="L7" s="62" t="s">
        <v>684</v>
      </c>
      <c r="M7" s="62">
        <v>85</v>
      </c>
      <c r="N7" s="62">
        <v>4</v>
      </c>
      <c r="O7" s="62"/>
      <c r="P7" s="351"/>
      <c r="Q7" s="49"/>
      <c r="R7" s="70" t="s">
        <v>259</v>
      </c>
      <c r="S7" s="86"/>
      <c r="T7" s="87">
        <v>1</v>
      </c>
      <c r="U7" s="62">
        <v>100</v>
      </c>
      <c r="V7" s="62">
        <v>36</v>
      </c>
      <c r="W7" s="62"/>
      <c r="X7" s="62">
        <v>4</v>
      </c>
      <c r="Y7" s="62"/>
      <c r="Z7" s="351"/>
      <c r="AA7" s="49"/>
      <c r="AB7" s="49"/>
      <c r="AC7" s="49"/>
      <c r="AD7" s="49"/>
      <c r="AE7" s="54" t="s">
        <v>307</v>
      </c>
      <c r="AF7" s="49"/>
      <c r="AG7" s="49" t="s">
        <v>1451</v>
      </c>
      <c r="AH7" s="97"/>
      <c r="AI7" s="99">
        <v>1</v>
      </c>
      <c r="AJ7" s="62">
        <v>3600</v>
      </c>
      <c r="AK7" s="62">
        <v>125</v>
      </c>
      <c r="AL7" s="352">
        <f>AK7*1.2</f>
        <v>150</v>
      </c>
      <c r="AM7" s="150">
        <v>900000</v>
      </c>
      <c r="AN7" s="351">
        <v>0.5</v>
      </c>
      <c r="AO7" s="62"/>
      <c r="AP7" s="62"/>
      <c r="AQ7" s="62"/>
      <c r="AR7" s="49"/>
      <c r="AS7" s="49"/>
      <c r="AT7" s="49"/>
      <c r="AU7" s="49"/>
    </row>
    <row r="8" spans="1:47">
      <c r="A8" s="120" t="s">
        <v>1452</v>
      </c>
      <c r="B8" s="90">
        <v>6</v>
      </c>
      <c r="C8" s="79" t="s">
        <v>290</v>
      </c>
      <c r="D8" s="216" t="s">
        <v>1453</v>
      </c>
      <c r="E8" s="49"/>
      <c r="F8" s="70" t="s">
        <v>1454</v>
      </c>
      <c r="G8" s="86"/>
      <c r="H8" s="87">
        <v>2</v>
      </c>
      <c r="I8" s="62">
        <v>150</v>
      </c>
      <c r="J8" s="62">
        <v>50</v>
      </c>
      <c r="K8" s="62">
        <f t="shared" ref="K8:K24" si="0">J8*0.8</f>
        <v>40</v>
      </c>
      <c r="L8" s="62" t="s">
        <v>684</v>
      </c>
      <c r="M8" s="62">
        <v>85</v>
      </c>
      <c r="N8" s="62">
        <v>4</v>
      </c>
      <c r="O8" s="62">
        <v>3500</v>
      </c>
      <c r="P8" s="351">
        <v>6.9444444444444404E-4</v>
      </c>
      <c r="Q8" s="49"/>
      <c r="R8" s="70" t="s">
        <v>272</v>
      </c>
      <c r="S8" s="86"/>
      <c r="T8" s="87">
        <v>2</v>
      </c>
      <c r="U8" s="62">
        <v>100</v>
      </c>
      <c r="V8" s="62">
        <v>36</v>
      </c>
      <c r="W8" s="62" t="s">
        <v>1455</v>
      </c>
      <c r="X8" s="62">
        <v>4</v>
      </c>
      <c r="Y8" s="62">
        <v>5000</v>
      </c>
      <c r="Z8" s="351">
        <v>2.0833333333333298E-3</v>
      </c>
      <c r="AA8" s="49"/>
      <c r="AB8" s="49"/>
      <c r="AC8" s="49"/>
      <c r="AD8" s="49"/>
      <c r="AE8" s="49"/>
      <c r="AF8" s="49"/>
      <c r="AG8" s="49" t="s">
        <v>282</v>
      </c>
      <c r="AH8" s="97"/>
      <c r="AI8" s="99">
        <v>2</v>
      </c>
      <c r="AJ8" s="62">
        <v>3672</v>
      </c>
      <c r="AK8" s="62">
        <v>127</v>
      </c>
      <c r="AL8" s="352">
        <f t="shared" ref="AL8:AL36" si="1">AK8*1.2</f>
        <v>152.4</v>
      </c>
      <c r="AM8" s="150">
        <v>1000000</v>
      </c>
      <c r="AN8" s="351">
        <v>0.5</v>
      </c>
      <c r="AO8" s="62"/>
      <c r="AP8" s="62"/>
      <c r="AQ8" s="62"/>
      <c r="AR8" s="49"/>
      <c r="AS8" s="49"/>
      <c r="AT8" s="49"/>
      <c r="AU8" s="49"/>
    </row>
    <row r="9" spans="1:47">
      <c r="A9" s="120" t="s">
        <v>269</v>
      </c>
      <c r="B9" s="278">
        <v>7</v>
      </c>
      <c r="C9" s="79" t="s">
        <v>1456</v>
      </c>
      <c r="D9" s="216" t="s">
        <v>1457</v>
      </c>
      <c r="E9" s="49"/>
      <c r="F9" s="88" t="s">
        <v>279</v>
      </c>
      <c r="G9" s="89"/>
      <c r="H9" s="87">
        <v>3</v>
      </c>
      <c r="I9" s="62">
        <v>165</v>
      </c>
      <c r="J9" s="62">
        <v>55</v>
      </c>
      <c r="K9" s="62">
        <f t="shared" si="0"/>
        <v>44</v>
      </c>
      <c r="L9" s="62" t="s">
        <v>684</v>
      </c>
      <c r="M9" s="62">
        <v>93.5</v>
      </c>
      <c r="N9" s="62">
        <v>4</v>
      </c>
      <c r="O9" s="62">
        <v>6000</v>
      </c>
      <c r="P9" s="351">
        <v>3.4722222222222199E-3</v>
      </c>
      <c r="Q9" s="49"/>
      <c r="R9" s="88" t="s">
        <v>280</v>
      </c>
      <c r="S9" s="89"/>
      <c r="T9" s="87">
        <v>3</v>
      </c>
      <c r="U9" s="62">
        <v>110</v>
      </c>
      <c r="V9" s="62">
        <v>40</v>
      </c>
      <c r="W9" s="62" t="s">
        <v>1455</v>
      </c>
      <c r="X9" s="62">
        <v>4</v>
      </c>
      <c r="Y9" s="62">
        <v>8000</v>
      </c>
      <c r="Z9" s="351">
        <v>6.9444444444444397E-3</v>
      </c>
      <c r="AA9" s="49"/>
      <c r="AB9" s="49"/>
      <c r="AC9" s="49"/>
      <c r="AD9" s="49"/>
      <c r="AE9" s="49"/>
      <c r="AF9" s="49"/>
      <c r="AG9" s="60" t="s">
        <v>279</v>
      </c>
      <c r="AH9" s="378"/>
      <c r="AI9" s="99">
        <v>3</v>
      </c>
      <c r="AJ9" s="62">
        <v>3745</v>
      </c>
      <c r="AK9" s="62">
        <v>130</v>
      </c>
      <c r="AL9" s="352">
        <f t="shared" si="1"/>
        <v>156</v>
      </c>
      <c r="AM9" s="150">
        <v>1100000</v>
      </c>
      <c r="AN9" s="351">
        <v>0.5</v>
      </c>
      <c r="AO9" s="62"/>
      <c r="AP9" s="62"/>
      <c r="AQ9" s="62"/>
      <c r="AR9" s="49"/>
      <c r="AS9" s="49"/>
      <c r="AT9" s="49"/>
      <c r="AU9" s="49"/>
    </row>
    <row r="10" spans="1:47">
      <c r="A10" s="120" t="s">
        <v>276</v>
      </c>
      <c r="B10" s="279">
        <v>8</v>
      </c>
      <c r="C10" s="79" t="s">
        <v>1458</v>
      </c>
      <c r="D10" s="216" t="s">
        <v>1459</v>
      </c>
      <c r="E10" s="49"/>
      <c r="F10" s="84" t="s">
        <v>287</v>
      </c>
      <c r="G10" s="85"/>
      <c r="H10" s="87">
        <v>4</v>
      </c>
      <c r="I10" s="62">
        <v>165</v>
      </c>
      <c r="J10" s="62">
        <v>55</v>
      </c>
      <c r="K10" s="62">
        <f t="shared" si="0"/>
        <v>44</v>
      </c>
      <c r="L10" s="62" t="s">
        <v>684</v>
      </c>
      <c r="M10" s="62">
        <v>93.5</v>
      </c>
      <c r="N10" s="62">
        <v>6</v>
      </c>
      <c r="O10" s="62">
        <v>9000</v>
      </c>
      <c r="P10" s="351">
        <v>1.0416666666666701E-2</v>
      </c>
      <c r="Q10" s="49"/>
      <c r="R10" s="84" t="s">
        <v>287</v>
      </c>
      <c r="S10" s="85"/>
      <c r="T10" s="87">
        <v>4</v>
      </c>
      <c r="U10" s="62">
        <v>110</v>
      </c>
      <c r="V10" s="62">
        <v>40</v>
      </c>
      <c r="W10" s="62" t="s">
        <v>1455</v>
      </c>
      <c r="X10" s="62">
        <v>6</v>
      </c>
      <c r="Y10" s="150">
        <v>12000</v>
      </c>
      <c r="Z10" s="351">
        <v>2.0833333333333301E-2</v>
      </c>
      <c r="AA10" s="49"/>
      <c r="AB10" s="49"/>
      <c r="AC10" s="49"/>
      <c r="AD10" s="49"/>
      <c r="AE10" s="49"/>
      <c r="AF10" s="49"/>
      <c r="AG10" s="49" t="s">
        <v>1460</v>
      </c>
      <c r="AH10" s="97"/>
      <c r="AI10" s="99">
        <v>4</v>
      </c>
      <c r="AJ10" s="62">
        <v>3820</v>
      </c>
      <c r="AK10" s="62">
        <v>132</v>
      </c>
      <c r="AL10" s="352">
        <f t="shared" si="1"/>
        <v>158.4</v>
      </c>
      <c r="AM10" s="150">
        <v>1200000</v>
      </c>
      <c r="AN10" s="351">
        <v>1</v>
      </c>
      <c r="AO10" s="62"/>
      <c r="AP10" s="62"/>
      <c r="AQ10" s="62"/>
      <c r="AR10" s="49"/>
      <c r="AS10" s="49"/>
      <c r="AT10" s="49"/>
      <c r="AU10" s="49"/>
    </row>
    <row r="11" spans="1:47">
      <c r="A11" s="120" t="s">
        <v>284</v>
      </c>
      <c r="B11" s="280">
        <v>9</v>
      </c>
      <c r="C11" s="79" t="s">
        <v>1461</v>
      </c>
      <c r="D11" s="216" t="s">
        <v>1462</v>
      </c>
      <c r="E11" s="49"/>
      <c r="F11" s="70" t="s">
        <v>1463</v>
      </c>
      <c r="G11" s="86"/>
      <c r="H11" s="87">
        <v>5</v>
      </c>
      <c r="I11" s="62">
        <v>182</v>
      </c>
      <c r="J11" s="62">
        <v>61</v>
      </c>
      <c r="K11" s="62">
        <f t="shared" si="0"/>
        <v>48.800000000000004</v>
      </c>
      <c r="L11" s="62" t="s">
        <v>684</v>
      </c>
      <c r="M11" s="62">
        <v>103.7</v>
      </c>
      <c r="N11" s="62">
        <v>6</v>
      </c>
      <c r="O11" s="150">
        <v>50000</v>
      </c>
      <c r="P11" s="351">
        <v>0.125</v>
      </c>
      <c r="Q11" s="49"/>
      <c r="R11" s="70" t="s">
        <v>1464</v>
      </c>
      <c r="S11" s="86"/>
      <c r="T11" s="87">
        <v>5</v>
      </c>
      <c r="U11" s="62">
        <v>121</v>
      </c>
      <c r="V11" s="62">
        <v>44</v>
      </c>
      <c r="W11" s="62" t="s">
        <v>1455</v>
      </c>
      <c r="X11" s="62">
        <v>6</v>
      </c>
      <c r="Y11" s="150">
        <v>60000</v>
      </c>
      <c r="Z11" s="351">
        <v>0.16666666666666699</v>
      </c>
      <c r="AA11" s="49"/>
      <c r="AB11" s="49"/>
      <c r="AC11" s="49"/>
      <c r="AD11" s="49"/>
      <c r="AE11" s="49"/>
      <c r="AF11" s="49"/>
      <c r="AG11" s="49" t="s">
        <v>1465</v>
      </c>
      <c r="AH11" s="97"/>
      <c r="AI11" s="99">
        <v>5</v>
      </c>
      <c r="AJ11" s="62">
        <v>3896</v>
      </c>
      <c r="AK11" s="62">
        <v>135</v>
      </c>
      <c r="AL11" s="352">
        <f t="shared" si="1"/>
        <v>162</v>
      </c>
      <c r="AM11" s="150">
        <v>1300000</v>
      </c>
      <c r="AN11" s="351">
        <v>1</v>
      </c>
      <c r="AO11" s="62">
        <v>1</v>
      </c>
      <c r="AP11" s="62">
        <v>800</v>
      </c>
      <c r="AQ11" s="62">
        <v>270</v>
      </c>
      <c r="AR11" s="49"/>
      <c r="AS11" s="49"/>
      <c r="AT11" s="49"/>
      <c r="AU11" s="49"/>
    </row>
    <row r="12" spans="1:47">
      <c r="A12" s="381"/>
      <c r="B12" s="49"/>
      <c r="C12" s="49"/>
      <c r="D12" s="216" t="s">
        <v>1466</v>
      </c>
      <c r="E12" s="49"/>
      <c r="F12" s="88" t="s">
        <v>905</v>
      </c>
      <c r="G12" s="89"/>
      <c r="H12" s="87">
        <v>6</v>
      </c>
      <c r="I12" s="62">
        <v>182</v>
      </c>
      <c r="J12" s="62">
        <v>61</v>
      </c>
      <c r="K12" s="62">
        <f t="shared" si="0"/>
        <v>48.800000000000004</v>
      </c>
      <c r="L12" s="62" t="s">
        <v>684</v>
      </c>
      <c r="M12" s="62">
        <v>103.7</v>
      </c>
      <c r="N12" s="62">
        <v>10</v>
      </c>
      <c r="O12" s="150">
        <v>100000</v>
      </c>
      <c r="P12" s="351">
        <v>0.25</v>
      </c>
      <c r="Q12" s="49"/>
      <c r="R12" s="88"/>
      <c r="S12" s="89"/>
      <c r="T12" s="87">
        <v>6</v>
      </c>
      <c r="U12" s="62">
        <v>121</v>
      </c>
      <c r="V12" s="62">
        <v>44</v>
      </c>
      <c r="W12" s="62" t="s">
        <v>1467</v>
      </c>
      <c r="X12" s="62">
        <v>6</v>
      </c>
      <c r="Y12" s="150">
        <v>120000</v>
      </c>
      <c r="Z12" s="351">
        <v>0.25</v>
      </c>
      <c r="AA12" s="49"/>
      <c r="AB12" s="49"/>
      <c r="AC12" s="49"/>
      <c r="AD12" s="49"/>
      <c r="AE12" s="49"/>
      <c r="AF12" s="49"/>
      <c r="AG12" s="49" t="s">
        <v>1468</v>
      </c>
      <c r="AH12" s="97"/>
      <c r="AI12" s="90">
        <v>6</v>
      </c>
      <c r="AJ12" s="62">
        <v>3954</v>
      </c>
      <c r="AK12" s="62">
        <v>137</v>
      </c>
      <c r="AL12" s="352">
        <f t="shared" si="1"/>
        <v>164.4</v>
      </c>
      <c r="AM12" s="150">
        <v>1500000</v>
      </c>
      <c r="AN12" s="351">
        <v>1</v>
      </c>
      <c r="AO12" s="62">
        <v>1</v>
      </c>
      <c r="AP12" s="62">
        <v>800</v>
      </c>
      <c r="AQ12" s="62">
        <v>270</v>
      </c>
      <c r="AR12" s="49"/>
      <c r="AS12" s="49"/>
      <c r="AT12" s="49"/>
      <c r="AU12" s="49"/>
    </row>
    <row r="13" spans="1:47">
      <c r="A13" s="49"/>
      <c r="B13" s="49"/>
      <c r="C13" s="49"/>
      <c r="D13" s="216" t="s">
        <v>1469</v>
      </c>
      <c r="E13" s="49"/>
      <c r="F13" s="70" t="s">
        <v>1470</v>
      </c>
      <c r="G13" s="85"/>
      <c r="H13" s="87">
        <v>7</v>
      </c>
      <c r="I13" s="62">
        <v>200</v>
      </c>
      <c r="J13" s="62">
        <v>67</v>
      </c>
      <c r="K13" s="62">
        <f t="shared" si="0"/>
        <v>53.6</v>
      </c>
      <c r="L13" s="62" t="s">
        <v>684</v>
      </c>
      <c r="M13" s="62">
        <v>113.9</v>
      </c>
      <c r="N13" s="62">
        <v>10</v>
      </c>
      <c r="O13" s="150">
        <v>300000</v>
      </c>
      <c r="P13" s="351">
        <v>0.5</v>
      </c>
      <c r="Q13" s="49"/>
      <c r="R13" s="70" t="s">
        <v>1470</v>
      </c>
      <c r="S13" s="85"/>
      <c r="T13" s="87">
        <v>7</v>
      </c>
      <c r="U13" s="62">
        <v>133</v>
      </c>
      <c r="V13" s="62">
        <v>48</v>
      </c>
      <c r="W13" s="62" t="s">
        <v>1467</v>
      </c>
      <c r="X13" s="62">
        <v>6</v>
      </c>
      <c r="Y13" s="150">
        <v>320000</v>
      </c>
      <c r="Z13" s="351">
        <v>0.5</v>
      </c>
      <c r="AA13" s="49"/>
      <c r="AB13" s="49"/>
      <c r="AC13" s="49"/>
      <c r="AD13" s="49"/>
      <c r="AE13" s="49"/>
      <c r="AF13" s="49"/>
      <c r="AG13" s="49"/>
      <c r="AH13" s="97"/>
      <c r="AI13" s="90">
        <v>7</v>
      </c>
      <c r="AJ13" s="62">
        <v>4013</v>
      </c>
      <c r="AK13" s="62">
        <v>140</v>
      </c>
      <c r="AL13" s="352">
        <f t="shared" si="1"/>
        <v>168</v>
      </c>
      <c r="AM13" s="150">
        <v>1600000</v>
      </c>
      <c r="AN13" s="351">
        <v>1</v>
      </c>
      <c r="AO13" s="62">
        <v>1</v>
      </c>
      <c r="AP13" s="62">
        <v>800</v>
      </c>
      <c r="AQ13" s="62">
        <v>270</v>
      </c>
      <c r="AR13" s="49"/>
      <c r="AS13" s="49"/>
      <c r="AT13" s="49"/>
      <c r="AU13" s="49"/>
    </row>
    <row r="14" spans="1:47">
      <c r="A14" s="49"/>
      <c r="B14" s="49"/>
      <c r="C14" s="49"/>
      <c r="D14" s="216" t="s">
        <v>1471</v>
      </c>
      <c r="E14" s="49"/>
      <c r="F14" s="70"/>
      <c r="G14" s="86"/>
      <c r="H14" s="87">
        <v>8</v>
      </c>
      <c r="I14" s="62">
        <v>200</v>
      </c>
      <c r="J14" s="62">
        <v>67</v>
      </c>
      <c r="K14" s="62">
        <f t="shared" si="0"/>
        <v>53.6</v>
      </c>
      <c r="L14" s="62" t="s">
        <v>1472</v>
      </c>
      <c r="M14" s="62">
        <v>113.9</v>
      </c>
      <c r="N14" s="62">
        <v>10</v>
      </c>
      <c r="O14" s="150">
        <v>330000</v>
      </c>
      <c r="P14" s="351">
        <v>0.5</v>
      </c>
      <c r="Q14" s="49"/>
      <c r="R14" s="70"/>
      <c r="S14" s="86"/>
      <c r="T14" s="87">
        <v>8</v>
      </c>
      <c r="U14" s="62">
        <v>133</v>
      </c>
      <c r="V14" s="62">
        <v>48</v>
      </c>
      <c r="W14" s="62" t="s">
        <v>1473</v>
      </c>
      <c r="X14" s="62">
        <v>6</v>
      </c>
      <c r="Y14" s="150">
        <v>350000</v>
      </c>
      <c r="Z14" s="351">
        <v>0.5</v>
      </c>
      <c r="AA14" s="49"/>
      <c r="AB14" s="49"/>
      <c r="AC14" s="49"/>
      <c r="AD14" s="49"/>
      <c r="AE14" s="49"/>
      <c r="AF14" s="49"/>
      <c r="AG14" s="49"/>
      <c r="AH14" s="97"/>
      <c r="AI14" s="90">
        <v>8</v>
      </c>
      <c r="AJ14" s="62">
        <v>4073</v>
      </c>
      <c r="AK14" s="62">
        <v>142</v>
      </c>
      <c r="AL14" s="352">
        <f t="shared" si="1"/>
        <v>170.4</v>
      </c>
      <c r="AM14" s="150">
        <v>1700000</v>
      </c>
      <c r="AN14" s="351">
        <v>1</v>
      </c>
      <c r="AO14" s="62">
        <v>1</v>
      </c>
      <c r="AP14" s="62">
        <v>800</v>
      </c>
      <c r="AQ14" s="62">
        <v>270</v>
      </c>
      <c r="AR14" s="49"/>
      <c r="AS14" s="49"/>
      <c r="AT14" s="49"/>
      <c r="AU14" s="49"/>
    </row>
    <row r="15" spans="1:47">
      <c r="A15" s="49"/>
      <c r="B15" s="49"/>
      <c r="C15" s="49"/>
      <c r="D15" s="49"/>
      <c r="E15" s="49"/>
      <c r="F15" s="49"/>
      <c r="G15" s="56"/>
      <c r="H15" s="99">
        <v>9</v>
      </c>
      <c r="I15" s="62">
        <v>220</v>
      </c>
      <c r="J15" s="62">
        <v>74</v>
      </c>
      <c r="K15" s="62">
        <f t="shared" si="0"/>
        <v>59.2</v>
      </c>
      <c r="L15" s="62" t="s">
        <v>1472</v>
      </c>
      <c r="M15" s="62">
        <v>125.8</v>
      </c>
      <c r="N15" s="62">
        <v>10</v>
      </c>
      <c r="O15" s="150">
        <v>700000</v>
      </c>
      <c r="P15" s="351">
        <v>1</v>
      </c>
      <c r="Q15" s="49"/>
      <c r="R15" s="49"/>
      <c r="S15" s="56"/>
      <c r="T15" s="99">
        <v>9</v>
      </c>
      <c r="U15" s="62">
        <v>146</v>
      </c>
      <c r="V15" s="62">
        <v>53</v>
      </c>
      <c r="W15" s="62" t="s">
        <v>1473</v>
      </c>
      <c r="X15" s="62">
        <v>6</v>
      </c>
      <c r="Y15" s="150">
        <v>800000</v>
      </c>
      <c r="Z15" s="351">
        <v>1</v>
      </c>
      <c r="AA15" s="49"/>
      <c r="AB15" s="49"/>
      <c r="AC15" s="49"/>
      <c r="AD15" s="49"/>
      <c r="AE15" s="49"/>
      <c r="AF15" s="49"/>
      <c r="AG15" s="49"/>
      <c r="AH15" s="97"/>
      <c r="AI15" s="90">
        <v>9</v>
      </c>
      <c r="AJ15" s="62">
        <v>4134</v>
      </c>
      <c r="AK15" s="62">
        <v>145</v>
      </c>
      <c r="AL15" s="352">
        <f t="shared" si="1"/>
        <v>174</v>
      </c>
      <c r="AM15" s="150">
        <v>1800000</v>
      </c>
      <c r="AN15" s="351">
        <v>1</v>
      </c>
      <c r="AO15" s="62">
        <v>1</v>
      </c>
      <c r="AP15" s="62">
        <v>800</v>
      </c>
      <c r="AQ15" s="62">
        <v>270</v>
      </c>
      <c r="AR15" s="49"/>
      <c r="AS15" s="49"/>
      <c r="AT15" s="49"/>
      <c r="AU15" s="49"/>
    </row>
    <row r="16" spans="1:47">
      <c r="A16" s="49"/>
      <c r="B16" s="49"/>
      <c r="C16" s="49"/>
      <c r="D16" s="54" t="s">
        <v>1474</v>
      </c>
      <c r="E16" s="49"/>
      <c r="F16" s="49"/>
      <c r="G16" s="56"/>
      <c r="H16" s="99">
        <v>10</v>
      </c>
      <c r="I16" s="62">
        <v>220</v>
      </c>
      <c r="J16" s="62">
        <v>74</v>
      </c>
      <c r="K16" s="62">
        <f t="shared" si="0"/>
        <v>59.2</v>
      </c>
      <c r="L16" s="62" t="s">
        <v>1472</v>
      </c>
      <c r="M16" s="62">
        <v>125.8</v>
      </c>
      <c r="N16" s="62">
        <v>15</v>
      </c>
      <c r="O16" s="150">
        <v>900000</v>
      </c>
      <c r="P16" s="351">
        <v>1</v>
      </c>
      <c r="Q16" s="49"/>
      <c r="R16" s="49"/>
      <c r="S16" s="56"/>
      <c r="T16" s="99">
        <v>10</v>
      </c>
      <c r="U16" s="62">
        <v>146</v>
      </c>
      <c r="V16" s="62">
        <v>53</v>
      </c>
      <c r="W16" s="62" t="s">
        <v>1473</v>
      </c>
      <c r="X16" s="62">
        <v>8</v>
      </c>
      <c r="Y16" s="150">
        <v>1000000</v>
      </c>
      <c r="Z16" s="351">
        <v>1</v>
      </c>
      <c r="AA16" s="49"/>
      <c r="AB16" s="49"/>
      <c r="AC16" s="49"/>
      <c r="AD16" s="49"/>
      <c r="AE16" s="49"/>
      <c r="AF16" s="49"/>
      <c r="AG16" s="49"/>
      <c r="AH16" s="97"/>
      <c r="AI16" s="90">
        <v>10</v>
      </c>
      <c r="AJ16" s="62">
        <v>4196</v>
      </c>
      <c r="AK16" s="62">
        <v>147</v>
      </c>
      <c r="AL16" s="352">
        <f t="shared" si="1"/>
        <v>176.4</v>
      </c>
      <c r="AM16" s="150">
        <v>1900000</v>
      </c>
      <c r="AN16" s="351">
        <v>1</v>
      </c>
      <c r="AO16" s="62">
        <v>2</v>
      </c>
      <c r="AP16" s="62">
        <v>850</v>
      </c>
      <c r="AQ16" s="62">
        <v>294</v>
      </c>
      <c r="AR16" s="49"/>
      <c r="AS16" s="49"/>
      <c r="AT16" s="49"/>
      <c r="AU16" s="49"/>
    </row>
    <row r="17" spans="1:47">
      <c r="A17" s="49"/>
      <c r="B17" s="49"/>
      <c r="C17" s="49"/>
      <c r="D17" s="54" t="s">
        <v>307</v>
      </c>
      <c r="E17" s="49"/>
      <c r="F17" s="49"/>
      <c r="G17" s="56"/>
      <c r="H17" s="90">
        <v>11</v>
      </c>
      <c r="I17" s="62">
        <v>242</v>
      </c>
      <c r="J17" s="62">
        <v>81</v>
      </c>
      <c r="K17" s="62">
        <f t="shared" si="0"/>
        <v>64.8</v>
      </c>
      <c r="L17" s="62" t="s">
        <v>1472</v>
      </c>
      <c r="M17" s="62">
        <v>137.69999999999999</v>
      </c>
      <c r="N17" s="62">
        <v>15</v>
      </c>
      <c r="O17" s="150">
        <v>1000000</v>
      </c>
      <c r="P17" s="351">
        <v>2</v>
      </c>
      <c r="Q17" s="49"/>
      <c r="R17" s="49"/>
      <c r="S17" s="56"/>
      <c r="T17" s="90">
        <v>11</v>
      </c>
      <c r="U17" s="62">
        <v>161</v>
      </c>
      <c r="V17" s="62">
        <v>58</v>
      </c>
      <c r="W17" s="62" t="s">
        <v>1473</v>
      </c>
      <c r="X17" s="62">
        <v>8</v>
      </c>
      <c r="Y17" s="150">
        <v>1100000</v>
      </c>
      <c r="Z17" s="351">
        <v>2</v>
      </c>
      <c r="AA17" s="49"/>
      <c r="AB17" s="49"/>
      <c r="AC17" s="49"/>
      <c r="AD17" s="49"/>
      <c r="AE17" s="49"/>
      <c r="AF17" s="49"/>
      <c r="AG17" s="49"/>
      <c r="AH17" s="97"/>
      <c r="AI17" s="278">
        <v>11</v>
      </c>
      <c r="AJ17" s="62">
        <v>4238</v>
      </c>
      <c r="AK17" s="62">
        <v>150</v>
      </c>
      <c r="AL17" s="352">
        <f t="shared" si="1"/>
        <v>180</v>
      </c>
      <c r="AM17" s="150">
        <v>2100000</v>
      </c>
      <c r="AN17" s="351">
        <v>2</v>
      </c>
      <c r="AO17" s="62">
        <v>2</v>
      </c>
      <c r="AP17" s="62">
        <v>850</v>
      </c>
      <c r="AQ17" s="62">
        <v>294</v>
      </c>
      <c r="AR17" s="49"/>
      <c r="AS17" s="49"/>
      <c r="AT17" s="49"/>
      <c r="AU17" s="49"/>
    </row>
    <row r="18" spans="1:47">
      <c r="A18" s="49"/>
      <c r="B18" s="49"/>
      <c r="C18" s="49"/>
      <c r="D18" s="54"/>
      <c r="E18" s="49"/>
      <c r="F18" s="49"/>
      <c r="G18" s="56"/>
      <c r="H18" s="90">
        <v>12</v>
      </c>
      <c r="I18" s="62">
        <v>242</v>
      </c>
      <c r="J18" s="62">
        <v>81</v>
      </c>
      <c r="K18" s="62">
        <f t="shared" si="0"/>
        <v>64.8</v>
      </c>
      <c r="L18" s="62" t="s">
        <v>1346</v>
      </c>
      <c r="M18" s="62">
        <v>137.69999999999999</v>
      </c>
      <c r="N18" s="62">
        <v>15</v>
      </c>
      <c r="O18" s="150">
        <v>1200000</v>
      </c>
      <c r="P18" s="351">
        <v>2</v>
      </c>
      <c r="Q18" s="49"/>
      <c r="R18" s="49"/>
      <c r="S18" s="56"/>
      <c r="T18" s="90">
        <v>12</v>
      </c>
      <c r="U18" s="62">
        <v>161</v>
      </c>
      <c r="V18" s="62">
        <v>58</v>
      </c>
      <c r="W18" s="62" t="s">
        <v>1472</v>
      </c>
      <c r="X18" s="62">
        <v>8</v>
      </c>
      <c r="Y18" s="150">
        <v>1300000</v>
      </c>
      <c r="Z18" s="351">
        <v>2</v>
      </c>
      <c r="AA18" s="49"/>
      <c r="AB18" s="49"/>
      <c r="AC18" s="49"/>
      <c r="AD18" s="49"/>
      <c r="AE18" s="49"/>
      <c r="AF18" s="49"/>
      <c r="AG18" s="49"/>
      <c r="AH18" s="97"/>
      <c r="AI18" s="278">
        <v>12</v>
      </c>
      <c r="AJ18" s="62">
        <v>4280</v>
      </c>
      <c r="AK18" s="62">
        <v>154</v>
      </c>
      <c r="AL18" s="352">
        <f t="shared" si="1"/>
        <v>184.79999999999998</v>
      </c>
      <c r="AM18" s="150">
        <v>2200000</v>
      </c>
      <c r="AN18" s="351">
        <v>2</v>
      </c>
      <c r="AO18" s="62">
        <v>2</v>
      </c>
      <c r="AP18" s="62">
        <v>850</v>
      </c>
      <c r="AQ18" s="62">
        <v>294</v>
      </c>
      <c r="AR18" s="49"/>
      <c r="AS18" s="49"/>
      <c r="AT18" s="49"/>
      <c r="AU18" s="49"/>
    </row>
    <row r="19" spans="1:47">
      <c r="A19" s="49"/>
      <c r="B19" s="49"/>
      <c r="C19" s="49"/>
      <c r="D19" s="49"/>
      <c r="E19" s="49"/>
      <c r="F19" s="49"/>
      <c r="G19" s="56"/>
      <c r="H19" s="278">
        <v>13</v>
      </c>
      <c r="I19" s="62">
        <v>266</v>
      </c>
      <c r="J19" s="62">
        <v>89</v>
      </c>
      <c r="K19" s="62">
        <f t="shared" si="0"/>
        <v>71.2</v>
      </c>
      <c r="L19" s="62" t="s">
        <v>1346</v>
      </c>
      <c r="M19" s="62">
        <v>151.30000000000001</v>
      </c>
      <c r="N19" s="62">
        <v>15</v>
      </c>
      <c r="O19" s="150">
        <v>2000000</v>
      </c>
      <c r="P19" s="351">
        <v>3</v>
      </c>
      <c r="Q19" s="49"/>
      <c r="R19" s="49"/>
      <c r="S19" s="56"/>
      <c r="T19" s="278">
        <v>13</v>
      </c>
      <c r="U19" s="62">
        <v>177</v>
      </c>
      <c r="V19" s="62">
        <v>64</v>
      </c>
      <c r="W19" s="62" t="s">
        <v>1472</v>
      </c>
      <c r="X19" s="62">
        <v>8</v>
      </c>
      <c r="Y19" s="150">
        <v>2100000</v>
      </c>
      <c r="Z19" s="351">
        <v>3</v>
      </c>
      <c r="AA19" s="49"/>
      <c r="AB19" s="49"/>
      <c r="AC19" s="49"/>
      <c r="AD19" s="49"/>
      <c r="AE19" s="49"/>
      <c r="AF19" s="49"/>
      <c r="AG19" s="49"/>
      <c r="AH19" s="97"/>
      <c r="AI19" s="278">
        <v>13</v>
      </c>
      <c r="AJ19" s="62">
        <v>4323</v>
      </c>
      <c r="AK19" s="62">
        <v>157</v>
      </c>
      <c r="AL19" s="352">
        <f t="shared" si="1"/>
        <v>188.4</v>
      </c>
      <c r="AM19" s="150">
        <v>2300000</v>
      </c>
      <c r="AN19" s="351">
        <v>2</v>
      </c>
      <c r="AO19" s="62">
        <v>2</v>
      </c>
      <c r="AP19" s="62">
        <v>850</v>
      </c>
      <c r="AQ19" s="62">
        <v>294</v>
      </c>
      <c r="AR19" s="49"/>
      <c r="AS19" s="49"/>
      <c r="AT19" s="49"/>
      <c r="AU19" s="49"/>
    </row>
    <row r="20" spans="1:47">
      <c r="A20" s="49"/>
      <c r="B20" s="49"/>
      <c r="C20" s="49"/>
      <c r="D20" s="49"/>
      <c r="E20" s="49"/>
      <c r="F20" s="49"/>
      <c r="G20" s="56"/>
      <c r="H20" s="278">
        <v>14</v>
      </c>
      <c r="I20" s="62">
        <v>266</v>
      </c>
      <c r="J20" s="62">
        <v>89</v>
      </c>
      <c r="K20" s="62">
        <f t="shared" si="0"/>
        <v>71.2</v>
      </c>
      <c r="L20" s="62" t="s">
        <v>1346</v>
      </c>
      <c r="M20" s="62">
        <v>151.30000000000001</v>
      </c>
      <c r="N20" s="62">
        <v>20</v>
      </c>
      <c r="O20" s="150">
        <v>2200000</v>
      </c>
      <c r="P20" s="351">
        <v>3</v>
      </c>
      <c r="Q20" s="49"/>
      <c r="R20" s="49"/>
      <c r="S20" s="56"/>
      <c r="T20" s="278">
        <v>14</v>
      </c>
      <c r="U20" s="62">
        <v>177</v>
      </c>
      <c r="V20" s="62">
        <v>64</v>
      </c>
      <c r="W20" s="62" t="s">
        <v>1472</v>
      </c>
      <c r="X20" s="62">
        <v>10</v>
      </c>
      <c r="Y20" s="150">
        <v>2300000</v>
      </c>
      <c r="Z20" s="351">
        <v>3</v>
      </c>
      <c r="AA20" s="49"/>
      <c r="AB20" s="49"/>
      <c r="AC20" s="49"/>
      <c r="AD20" s="49"/>
      <c r="AE20" s="49"/>
      <c r="AF20" s="49"/>
      <c r="AG20" s="49"/>
      <c r="AH20" s="97"/>
      <c r="AI20" s="278">
        <v>14</v>
      </c>
      <c r="AJ20" s="62">
        <v>4366</v>
      </c>
      <c r="AK20" s="62">
        <v>160</v>
      </c>
      <c r="AL20" s="352">
        <f t="shared" si="1"/>
        <v>192</v>
      </c>
      <c r="AM20" s="150">
        <v>2400000</v>
      </c>
      <c r="AN20" s="351">
        <v>2</v>
      </c>
      <c r="AO20" s="62">
        <v>2</v>
      </c>
      <c r="AP20" s="62">
        <v>850</v>
      </c>
      <c r="AQ20" s="62">
        <v>294</v>
      </c>
      <c r="AR20" s="49"/>
      <c r="AS20" s="49"/>
      <c r="AT20" s="49"/>
      <c r="AU20" s="49"/>
    </row>
    <row r="21" spans="1:47">
      <c r="A21" s="49"/>
      <c r="B21" s="49"/>
      <c r="C21" s="49"/>
      <c r="D21" s="49"/>
      <c r="E21" s="49"/>
      <c r="F21" s="49"/>
      <c r="G21" s="56"/>
      <c r="H21" s="279">
        <v>15</v>
      </c>
      <c r="I21" s="62">
        <v>293</v>
      </c>
      <c r="J21" s="62">
        <v>98</v>
      </c>
      <c r="K21" s="62">
        <f t="shared" si="0"/>
        <v>78.400000000000006</v>
      </c>
      <c r="L21" s="62" t="s">
        <v>1346</v>
      </c>
      <c r="M21" s="62">
        <v>166.6</v>
      </c>
      <c r="N21" s="62">
        <v>20</v>
      </c>
      <c r="O21" s="150">
        <v>3000000</v>
      </c>
      <c r="P21" s="351">
        <v>4</v>
      </c>
      <c r="Q21" s="49"/>
      <c r="R21" s="49"/>
      <c r="S21" s="56"/>
      <c r="T21" s="279">
        <v>15</v>
      </c>
      <c r="U21" s="62">
        <v>195</v>
      </c>
      <c r="V21" s="62">
        <v>70</v>
      </c>
      <c r="W21" s="62" t="s">
        <v>1472</v>
      </c>
      <c r="X21" s="62">
        <v>10</v>
      </c>
      <c r="Y21" s="150">
        <v>3100000</v>
      </c>
      <c r="Z21" s="351">
        <v>4</v>
      </c>
      <c r="AA21" s="49"/>
      <c r="AB21" s="49"/>
      <c r="AC21" s="49"/>
      <c r="AD21" s="49"/>
      <c r="AE21" s="49"/>
      <c r="AF21" s="49"/>
      <c r="AG21" s="49"/>
      <c r="AH21" s="97"/>
      <c r="AI21" s="278">
        <v>15</v>
      </c>
      <c r="AJ21" s="62">
        <v>4410</v>
      </c>
      <c r="AK21" s="62">
        <v>164</v>
      </c>
      <c r="AL21" s="352">
        <f t="shared" si="1"/>
        <v>196.79999999999998</v>
      </c>
      <c r="AM21" s="150">
        <v>2500000</v>
      </c>
      <c r="AN21" s="351">
        <v>2</v>
      </c>
      <c r="AO21" s="62">
        <v>3</v>
      </c>
      <c r="AP21" s="62">
        <v>900</v>
      </c>
      <c r="AQ21" s="62">
        <v>328</v>
      </c>
      <c r="AR21" s="49"/>
      <c r="AS21" s="49"/>
      <c r="AT21" s="49"/>
      <c r="AU21" s="49"/>
    </row>
    <row r="22" spans="1:47">
      <c r="A22" s="49"/>
      <c r="B22" s="49"/>
      <c r="C22" s="49"/>
      <c r="D22" s="49"/>
      <c r="E22" s="49"/>
      <c r="F22" s="49"/>
      <c r="G22" s="56"/>
      <c r="H22" s="279">
        <v>16</v>
      </c>
      <c r="I22" s="62">
        <v>293</v>
      </c>
      <c r="J22" s="62">
        <v>98</v>
      </c>
      <c r="K22" s="62">
        <f t="shared" si="0"/>
        <v>78.400000000000006</v>
      </c>
      <c r="L22" s="62" t="s">
        <v>1475</v>
      </c>
      <c r="M22" s="62">
        <v>166.6</v>
      </c>
      <c r="N22" s="62">
        <v>20</v>
      </c>
      <c r="O22" s="150">
        <v>3200000</v>
      </c>
      <c r="P22" s="351">
        <v>4</v>
      </c>
      <c r="Q22" s="49"/>
      <c r="R22" s="49"/>
      <c r="S22" s="56"/>
      <c r="T22" s="279">
        <v>16</v>
      </c>
      <c r="U22" s="62">
        <v>195</v>
      </c>
      <c r="V22" s="62">
        <v>70</v>
      </c>
      <c r="W22" s="62" t="s">
        <v>1472</v>
      </c>
      <c r="X22" s="62">
        <v>12</v>
      </c>
      <c r="Y22" s="150">
        <v>3300000</v>
      </c>
      <c r="Z22" s="351">
        <v>4</v>
      </c>
      <c r="AA22" s="49"/>
      <c r="AB22" s="49"/>
      <c r="AC22" s="49"/>
      <c r="AD22" s="49"/>
      <c r="AE22" s="49"/>
      <c r="AF22" s="49"/>
      <c r="AG22" s="49"/>
      <c r="AH22" s="97"/>
      <c r="AI22" s="278">
        <v>16</v>
      </c>
      <c r="AJ22" s="62">
        <v>4454</v>
      </c>
      <c r="AK22" s="62">
        <v>167</v>
      </c>
      <c r="AL22" s="352">
        <f t="shared" si="1"/>
        <v>200.4</v>
      </c>
      <c r="AM22" s="150">
        <v>2600000</v>
      </c>
      <c r="AN22" s="351">
        <v>3</v>
      </c>
      <c r="AO22" s="62">
        <v>3</v>
      </c>
      <c r="AP22" s="62">
        <v>900</v>
      </c>
      <c r="AQ22" s="62">
        <v>328</v>
      </c>
      <c r="AR22" s="49"/>
      <c r="AS22" s="49"/>
      <c r="AT22" s="49"/>
      <c r="AU22" s="49"/>
    </row>
    <row r="23" spans="1:47">
      <c r="A23" s="49"/>
      <c r="B23" s="49"/>
      <c r="C23" s="49"/>
      <c r="D23" s="49"/>
      <c r="E23" s="49"/>
      <c r="F23" s="49"/>
      <c r="G23" s="56"/>
      <c r="H23" s="280">
        <v>17</v>
      </c>
      <c r="I23" s="62">
        <v>322</v>
      </c>
      <c r="J23" s="62">
        <v>108</v>
      </c>
      <c r="K23" s="62">
        <f t="shared" si="0"/>
        <v>86.4</v>
      </c>
      <c r="L23" s="62" t="s">
        <v>1475</v>
      </c>
      <c r="M23" s="62">
        <v>183.6</v>
      </c>
      <c r="N23" s="62">
        <v>20</v>
      </c>
      <c r="O23" s="150">
        <v>3800000</v>
      </c>
      <c r="P23" s="351">
        <v>5</v>
      </c>
      <c r="Q23" s="49"/>
      <c r="R23" s="49"/>
      <c r="S23" s="56"/>
      <c r="T23" s="280">
        <v>17</v>
      </c>
      <c r="U23" s="62">
        <v>215</v>
      </c>
      <c r="V23" s="62">
        <v>77</v>
      </c>
      <c r="W23" s="62" t="s">
        <v>1472</v>
      </c>
      <c r="X23" s="62">
        <v>12</v>
      </c>
      <c r="Y23" s="150">
        <v>3900000</v>
      </c>
      <c r="Z23" s="351">
        <v>5</v>
      </c>
      <c r="AA23" s="49"/>
      <c r="AB23" s="49"/>
      <c r="AC23" s="49"/>
      <c r="AD23" s="49"/>
      <c r="AE23" s="49"/>
      <c r="AF23" s="49"/>
      <c r="AG23" s="49"/>
      <c r="AH23" s="97"/>
      <c r="AI23" s="278">
        <v>17</v>
      </c>
      <c r="AJ23" s="62">
        <v>4499</v>
      </c>
      <c r="AK23" s="62">
        <v>170</v>
      </c>
      <c r="AL23" s="352">
        <f t="shared" si="1"/>
        <v>204</v>
      </c>
      <c r="AM23" s="150">
        <v>2700000</v>
      </c>
      <c r="AN23" s="351">
        <v>3</v>
      </c>
      <c r="AO23" s="62">
        <v>3</v>
      </c>
      <c r="AP23" s="62">
        <v>900</v>
      </c>
      <c r="AQ23" s="62">
        <v>328</v>
      </c>
      <c r="AR23" s="49"/>
      <c r="AS23" s="49"/>
      <c r="AT23" s="49"/>
      <c r="AU23" s="49"/>
    </row>
    <row r="24" spans="1:47">
      <c r="A24" s="49"/>
      <c r="B24" s="49"/>
      <c r="C24" s="49"/>
      <c r="D24" s="49"/>
      <c r="E24" s="49"/>
      <c r="F24" s="49"/>
      <c r="G24" s="56"/>
      <c r="H24" s="280">
        <v>18</v>
      </c>
      <c r="I24" s="62">
        <v>322</v>
      </c>
      <c r="J24" s="62">
        <v>108</v>
      </c>
      <c r="K24" s="62">
        <f t="shared" si="0"/>
        <v>86.4</v>
      </c>
      <c r="L24" s="62" t="s">
        <v>1476</v>
      </c>
      <c r="M24" s="62">
        <v>183.6</v>
      </c>
      <c r="N24" s="62">
        <v>20</v>
      </c>
      <c r="O24" s="150">
        <v>4000000</v>
      </c>
      <c r="P24" s="351">
        <v>5</v>
      </c>
      <c r="Q24" s="49"/>
      <c r="R24" s="49"/>
      <c r="S24" s="56"/>
      <c r="T24" s="280">
        <v>18</v>
      </c>
      <c r="U24" s="62">
        <v>215</v>
      </c>
      <c r="V24" s="62">
        <v>77</v>
      </c>
      <c r="W24" s="62" t="s">
        <v>1472</v>
      </c>
      <c r="X24" s="62">
        <v>14</v>
      </c>
      <c r="Y24" s="150">
        <v>4100000</v>
      </c>
      <c r="Z24" s="351">
        <v>5</v>
      </c>
      <c r="AA24" s="49"/>
      <c r="AB24" s="49"/>
      <c r="AC24" s="49"/>
      <c r="AD24" s="49"/>
      <c r="AE24" s="49"/>
      <c r="AF24" s="49"/>
      <c r="AG24" s="49"/>
      <c r="AH24" s="97"/>
      <c r="AI24" s="278">
        <v>18</v>
      </c>
      <c r="AJ24" s="62">
        <v>4544</v>
      </c>
      <c r="AK24" s="62">
        <v>174</v>
      </c>
      <c r="AL24" s="352">
        <f t="shared" si="1"/>
        <v>208.79999999999998</v>
      </c>
      <c r="AM24" s="150">
        <v>2800000</v>
      </c>
      <c r="AN24" s="351">
        <v>3</v>
      </c>
      <c r="AO24" s="62">
        <v>3</v>
      </c>
      <c r="AP24" s="62">
        <v>900</v>
      </c>
      <c r="AQ24" s="62">
        <v>328</v>
      </c>
      <c r="AR24" s="49"/>
      <c r="AS24" s="49"/>
      <c r="AT24" s="49"/>
      <c r="AU24" s="49"/>
    </row>
    <row r="25" spans="1:47">
      <c r="A25" s="49"/>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97"/>
      <c r="AI25" s="278">
        <v>19</v>
      </c>
      <c r="AJ25" s="62">
        <v>4589</v>
      </c>
      <c r="AK25" s="62">
        <v>177</v>
      </c>
      <c r="AL25" s="352">
        <f t="shared" si="1"/>
        <v>212.4</v>
      </c>
      <c r="AM25" s="150">
        <v>2900000</v>
      </c>
      <c r="AN25" s="351">
        <v>3</v>
      </c>
      <c r="AO25" s="62">
        <v>3</v>
      </c>
      <c r="AP25" s="62">
        <v>900</v>
      </c>
      <c r="AQ25" s="62">
        <v>328</v>
      </c>
      <c r="AR25" s="49"/>
      <c r="AS25" s="49"/>
      <c r="AT25" s="49"/>
      <c r="AU25" s="49"/>
    </row>
    <row r="26" spans="1:47">
      <c r="A26" s="49"/>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97"/>
      <c r="AI26" s="278">
        <v>20</v>
      </c>
      <c r="AJ26" s="62">
        <v>4635</v>
      </c>
      <c r="AK26" s="62">
        <v>180</v>
      </c>
      <c r="AL26" s="352">
        <f t="shared" si="1"/>
        <v>216</v>
      </c>
      <c r="AM26" s="150">
        <v>3000000</v>
      </c>
      <c r="AN26" s="351">
        <v>3</v>
      </c>
      <c r="AO26" s="62">
        <v>4</v>
      </c>
      <c r="AP26" s="62">
        <v>950</v>
      </c>
      <c r="AQ26" s="62">
        <v>360</v>
      </c>
      <c r="AR26" s="49"/>
      <c r="AS26" s="49"/>
      <c r="AT26" s="49"/>
      <c r="AU26" s="49"/>
    </row>
    <row r="27" spans="1:47">
      <c r="A27" s="49"/>
      <c r="B27" s="49"/>
      <c r="C27" s="49"/>
      <c r="D27" s="49"/>
      <c r="E27" s="49"/>
      <c r="F27" s="49" t="s">
        <v>1477</v>
      </c>
      <c r="G27" s="49"/>
      <c r="H27" s="49" t="s">
        <v>1478</v>
      </c>
      <c r="I27" s="49"/>
      <c r="J27" s="49"/>
      <c r="K27" s="49"/>
      <c r="L27" s="49"/>
      <c r="M27" s="49"/>
      <c r="N27" s="49"/>
      <c r="O27" s="49"/>
      <c r="P27" s="49"/>
      <c r="Q27" s="49"/>
      <c r="R27" s="49" t="s">
        <v>1479</v>
      </c>
      <c r="S27" s="49"/>
      <c r="T27" s="49" t="s">
        <v>1480</v>
      </c>
      <c r="U27" s="49"/>
      <c r="V27" s="49"/>
      <c r="W27" s="49"/>
      <c r="X27" s="49"/>
      <c r="Y27" s="49"/>
      <c r="Z27" s="137" t="s">
        <v>515</v>
      </c>
      <c r="AA27" s="49"/>
      <c r="AB27" s="49"/>
      <c r="AC27" s="49"/>
      <c r="AD27" s="49"/>
      <c r="AE27" s="49"/>
      <c r="AF27" s="49"/>
      <c r="AG27" s="49"/>
      <c r="AH27" s="97"/>
      <c r="AI27" s="279">
        <v>21</v>
      </c>
      <c r="AJ27" s="62">
        <v>4681</v>
      </c>
      <c r="AK27" s="62">
        <v>186</v>
      </c>
      <c r="AL27" s="352">
        <f t="shared" si="1"/>
        <v>223.2</v>
      </c>
      <c r="AM27" s="150">
        <v>3100000</v>
      </c>
      <c r="AN27" s="351">
        <v>3</v>
      </c>
      <c r="AO27" s="62">
        <v>4</v>
      </c>
      <c r="AP27" s="62">
        <v>950</v>
      </c>
      <c r="AQ27" s="62">
        <v>360</v>
      </c>
      <c r="AR27" s="49"/>
      <c r="AS27" s="49"/>
      <c r="AT27" s="49"/>
      <c r="AU27" s="49"/>
    </row>
    <row r="28" spans="1:47">
      <c r="A28" s="49"/>
      <c r="B28" s="49"/>
      <c r="C28" s="49"/>
      <c r="D28" s="49"/>
      <c r="E28" s="49"/>
      <c r="F28" s="84" t="s">
        <v>249</v>
      </c>
      <c r="G28" s="85"/>
      <c r="H28" s="108" t="s">
        <v>243</v>
      </c>
      <c r="I28" s="65" t="s">
        <v>244</v>
      </c>
      <c r="J28" s="65" t="s">
        <v>245</v>
      </c>
      <c r="K28" s="65" t="s">
        <v>250</v>
      </c>
      <c r="L28" s="65" t="s">
        <v>1481</v>
      </c>
      <c r="M28" s="65" t="s">
        <v>1482</v>
      </c>
      <c r="N28" s="65" t="s">
        <v>1446</v>
      </c>
      <c r="O28" s="65" t="s">
        <v>1483</v>
      </c>
      <c r="P28" s="65" t="s">
        <v>247</v>
      </c>
      <c r="Q28" s="49"/>
      <c r="R28" s="84" t="s">
        <v>248</v>
      </c>
      <c r="S28" s="85"/>
      <c r="T28" s="108" t="s">
        <v>243</v>
      </c>
      <c r="U28" s="65" t="s">
        <v>244</v>
      </c>
      <c r="V28" s="65" t="s">
        <v>245</v>
      </c>
      <c r="W28" s="65" t="s">
        <v>1484</v>
      </c>
      <c r="X28" s="65" t="s">
        <v>1446</v>
      </c>
      <c r="Y28" s="65" t="s">
        <v>246</v>
      </c>
      <c r="Z28" s="65" t="s">
        <v>247</v>
      </c>
      <c r="AA28" s="49"/>
      <c r="AB28" s="49"/>
      <c r="AC28" s="49"/>
      <c r="AD28" s="49"/>
      <c r="AE28" s="49"/>
      <c r="AF28" s="49"/>
      <c r="AG28" s="49"/>
      <c r="AH28" s="97"/>
      <c r="AI28" s="279">
        <v>22</v>
      </c>
      <c r="AJ28" s="62">
        <v>4728</v>
      </c>
      <c r="AK28" s="62">
        <v>192</v>
      </c>
      <c r="AL28" s="352">
        <f t="shared" si="1"/>
        <v>230.39999999999998</v>
      </c>
      <c r="AM28" s="150">
        <v>3200000</v>
      </c>
      <c r="AN28" s="351">
        <v>3</v>
      </c>
      <c r="AO28" s="62">
        <v>4</v>
      </c>
      <c r="AP28" s="62">
        <v>950</v>
      </c>
      <c r="AQ28" s="62">
        <v>360</v>
      </c>
      <c r="AR28" s="49"/>
      <c r="AS28" s="49"/>
      <c r="AT28" s="49"/>
      <c r="AU28" s="49"/>
    </row>
    <row r="29" spans="1:47">
      <c r="A29" s="49"/>
      <c r="B29" s="49"/>
      <c r="C29" s="49"/>
      <c r="D29" s="49"/>
      <c r="E29" s="49"/>
      <c r="F29" s="70" t="s">
        <v>260</v>
      </c>
      <c r="G29" s="86"/>
      <c r="H29" s="87">
        <v>1</v>
      </c>
      <c r="I29" s="62">
        <v>1200</v>
      </c>
      <c r="J29" s="62">
        <v>36</v>
      </c>
      <c r="K29" s="62">
        <f>J29*2</f>
        <v>72</v>
      </c>
      <c r="L29" s="62"/>
      <c r="M29" s="62">
        <v>72</v>
      </c>
      <c r="N29" s="62">
        <v>2</v>
      </c>
      <c r="O29" s="62"/>
      <c r="P29" s="351"/>
      <c r="Q29" s="49"/>
      <c r="R29" s="70" t="s">
        <v>554</v>
      </c>
      <c r="S29" s="86"/>
      <c r="T29" s="87">
        <v>1</v>
      </c>
      <c r="U29" s="62">
        <v>100</v>
      </c>
      <c r="V29" s="62">
        <v>36</v>
      </c>
      <c r="W29" s="62"/>
      <c r="X29" s="62">
        <v>4</v>
      </c>
      <c r="Y29" s="62"/>
      <c r="Z29" s="351"/>
      <c r="AA29" s="49"/>
      <c r="AB29" s="49"/>
      <c r="AC29" s="49"/>
      <c r="AD29" s="49"/>
      <c r="AE29" s="49"/>
      <c r="AF29" s="49"/>
      <c r="AG29" s="49"/>
      <c r="AH29" s="97"/>
      <c r="AI29" s="279">
        <v>23</v>
      </c>
      <c r="AJ29" s="62">
        <v>4775</v>
      </c>
      <c r="AK29" s="62">
        <v>198</v>
      </c>
      <c r="AL29" s="352">
        <f t="shared" si="1"/>
        <v>237.6</v>
      </c>
      <c r="AM29" s="150">
        <v>3300000</v>
      </c>
      <c r="AN29" s="351">
        <v>3</v>
      </c>
      <c r="AO29" s="62">
        <v>4</v>
      </c>
      <c r="AP29" s="62">
        <v>950</v>
      </c>
      <c r="AQ29" s="62">
        <v>360</v>
      </c>
      <c r="AR29" s="49"/>
      <c r="AS29" s="49"/>
      <c r="AT29" s="49"/>
      <c r="AU29" s="49"/>
    </row>
    <row r="30" spans="1:47">
      <c r="A30" s="49"/>
      <c r="B30" s="49"/>
      <c r="C30" s="49"/>
      <c r="D30" s="49"/>
      <c r="E30" s="49"/>
      <c r="F30" s="70" t="s">
        <v>273</v>
      </c>
      <c r="G30" s="86"/>
      <c r="H30" s="87">
        <v>2</v>
      </c>
      <c r="I30" s="62">
        <v>1200</v>
      </c>
      <c r="J30" s="62">
        <v>36</v>
      </c>
      <c r="K30" s="62">
        <f t="shared" ref="K30:K46" si="2">J30*2</f>
        <v>72</v>
      </c>
      <c r="L30" s="288">
        <v>2.5</v>
      </c>
      <c r="M30" s="62">
        <v>180</v>
      </c>
      <c r="N30" s="62">
        <v>2</v>
      </c>
      <c r="O30" s="150">
        <v>20000</v>
      </c>
      <c r="P30" s="351">
        <v>2.0833333333333301E-2</v>
      </c>
      <c r="Q30" s="49"/>
      <c r="R30" s="70" t="s">
        <v>272</v>
      </c>
      <c r="S30" s="86"/>
      <c r="T30" s="87">
        <v>2</v>
      </c>
      <c r="U30" s="62">
        <v>100</v>
      </c>
      <c r="V30" s="62">
        <v>36</v>
      </c>
      <c r="W30" s="62">
        <v>2</v>
      </c>
      <c r="X30" s="62">
        <v>4</v>
      </c>
      <c r="Y30" s="150">
        <v>50000</v>
      </c>
      <c r="Z30" s="351">
        <v>4.1666666666666699E-2</v>
      </c>
      <c r="AA30" s="49"/>
      <c r="AB30" s="49"/>
      <c r="AC30" s="49"/>
      <c r="AD30" s="49"/>
      <c r="AE30" s="49"/>
      <c r="AF30" s="49"/>
      <c r="AG30" s="49"/>
      <c r="AH30" s="97"/>
      <c r="AI30" s="279">
        <v>24</v>
      </c>
      <c r="AJ30" s="62">
        <v>4823</v>
      </c>
      <c r="AK30" s="62">
        <v>204</v>
      </c>
      <c r="AL30" s="352">
        <f t="shared" si="1"/>
        <v>244.79999999999998</v>
      </c>
      <c r="AM30" s="150">
        <v>3400000</v>
      </c>
      <c r="AN30" s="351">
        <v>3</v>
      </c>
      <c r="AO30" s="62">
        <v>4</v>
      </c>
      <c r="AP30" s="62">
        <v>950</v>
      </c>
      <c r="AQ30" s="62">
        <v>360</v>
      </c>
      <c r="AR30" s="49"/>
      <c r="AS30" s="49"/>
      <c r="AT30" s="49"/>
      <c r="AU30" s="49"/>
    </row>
    <row r="31" spans="1:47">
      <c r="A31" s="49"/>
      <c r="B31" s="49"/>
      <c r="C31" s="49"/>
      <c r="D31" s="49"/>
      <c r="E31" s="49"/>
      <c r="F31" s="88" t="s">
        <v>281</v>
      </c>
      <c r="G31" s="89"/>
      <c r="H31" s="87">
        <v>3</v>
      </c>
      <c r="I31" s="62">
        <v>1320</v>
      </c>
      <c r="J31" s="62">
        <v>40</v>
      </c>
      <c r="K31" s="62">
        <f t="shared" si="2"/>
        <v>80</v>
      </c>
      <c r="L31" s="288">
        <v>2.5</v>
      </c>
      <c r="M31" s="62">
        <v>200</v>
      </c>
      <c r="N31" s="62">
        <v>2</v>
      </c>
      <c r="O31" s="150">
        <v>40000</v>
      </c>
      <c r="P31" s="351">
        <v>4.1666666666666699E-2</v>
      </c>
      <c r="Q31" s="49"/>
      <c r="R31" s="88" t="s">
        <v>360</v>
      </c>
      <c r="S31" s="89"/>
      <c r="T31" s="87">
        <v>3</v>
      </c>
      <c r="U31" s="62">
        <v>110</v>
      </c>
      <c r="V31" s="62">
        <v>40</v>
      </c>
      <c r="W31" s="62">
        <v>2</v>
      </c>
      <c r="X31" s="62">
        <v>4</v>
      </c>
      <c r="Y31" s="150">
        <v>80000</v>
      </c>
      <c r="Z31" s="351">
        <v>0.125</v>
      </c>
      <c r="AA31" s="49"/>
      <c r="AB31" s="49"/>
      <c r="AC31" s="49"/>
      <c r="AD31" s="49"/>
      <c r="AE31" s="49"/>
      <c r="AF31" s="49"/>
      <c r="AG31" s="49"/>
      <c r="AH31" s="97"/>
      <c r="AI31" s="279">
        <v>25</v>
      </c>
      <c r="AJ31" s="62">
        <v>4871</v>
      </c>
      <c r="AK31" s="62">
        <v>210</v>
      </c>
      <c r="AL31" s="352">
        <f t="shared" si="1"/>
        <v>252</v>
      </c>
      <c r="AM31" s="150">
        <v>3500000</v>
      </c>
      <c r="AN31" s="351">
        <v>3</v>
      </c>
      <c r="AO31" s="62">
        <v>5</v>
      </c>
      <c r="AP31" s="62">
        <v>1000</v>
      </c>
      <c r="AQ31" s="62">
        <v>400</v>
      </c>
      <c r="AR31" s="49"/>
      <c r="AS31" s="49"/>
      <c r="AT31" s="49"/>
      <c r="AU31" s="49"/>
    </row>
    <row r="32" spans="1:47">
      <c r="A32" s="49"/>
      <c r="B32" s="49"/>
      <c r="C32" s="49"/>
      <c r="D32" s="49"/>
      <c r="E32" s="49"/>
      <c r="F32" s="84" t="s">
        <v>287</v>
      </c>
      <c r="G32" s="85"/>
      <c r="H32" s="87">
        <v>4</v>
      </c>
      <c r="I32" s="62">
        <v>1520</v>
      </c>
      <c r="J32" s="62">
        <v>40</v>
      </c>
      <c r="K32" s="62">
        <f t="shared" si="2"/>
        <v>80</v>
      </c>
      <c r="L32" s="288">
        <v>2.5</v>
      </c>
      <c r="M32" s="62">
        <v>200</v>
      </c>
      <c r="N32" s="62">
        <v>2</v>
      </c>
      <c r="O32" s="150">
        <v>60000</v>
      </c>
      <c r="P32" s="351">
        <v>8.3333333333333301E-2</v>
      </c>
      <c r="Q32" s="49"/>
      <c r="R32" s="84" t="s">
        <v>287</v>
      </c>
      <c r="S32" s="85"/>
      <c r="T32" s="87">
        <v>4</v>
      </c>
      <c r="U32" s="62">
        <v>110</v>
      </c>
      <c r="V32" s="62">
        <v>40</v>
      </c>
      <c r="W32" s="62">
        <v>3</v>
      </c>
      <c r="X32" s="62">
        <v>4</v>
      </c>
      <c r="Y32" s="150">
        <v>120000</v>
      </c>
      <c r="Z32" s="351">
        <v>0.20833333333333301</v>
      </c>
      <c r="AA32" s="49"/>
      <c r="AB32" s="49"/>
      <c r="AC32" s="49"/>
      <c r="AD32" s="49"/>
      <c r="AE32" s="49"/>
      <c r="AF32" s="49"/>
      <c r="AG32" s="49"/>
      <c r="AH32" s="97"/>
      <c r="AI32" s="280">
        <v>26</v>
      </c>
      <c r="AJ32" s="62">
        <v>4920</v>
      </c>
      <c r="AK32" s="62">
        <v>218</v>
      </c>
      <c r="AL32" s="352">
        <f t="shared" si="1"/>
        <v>261.59999999999997</v>
      </c>
      <c r="AM32" s="150">
        <v>3600000</v>
      </c>
      <c r="AN32" s="351">
        <v>4</v>
      </c>
      <c r="AO32" s="62">
        <v>5</v>
      </c>
      <c r="AP32" s="62">
        <v>1000</v>
      </c>
      <c r="AQ32" s="62">
        <v>400</v>
      </c>
      <c r="AR32" s="49"/>
      <c r="AS32" s="49"/>
      <c r="AT32" s="49"/>
      <c r="AU32" s="49"/>
    </row>
    <row r="33" spans="1:47">
      <c r="A33" s="49"/>
      <c r="B33" s="49"/>
      <c r="C33" s="49"/>
      <c r="D33" s="49"/>
      <c r="E33" s="49"/>
      <c r="F33" s="70" t="s">
        <v>1485</v>
      </c>
      <c r="G33" s="86"/>
      <c r="H33" s="87">
        <v>5</v>
      </c>
      <c r="I33" s="62">
        <v>1652</v>
      </c>
      <c r="J33" s="62">
        <v>44</v>
      </c>
      <c r="K33" s="62">
        <f t="shared" si="2"/>
        <v>88</v>
      </c>
      <c r="L33" s="288">
        <v>2.5</v>
      </c>
      <c r="M33" s="62">
        <v>220</v>
      </c>
      <c r="N33" s="62">
        <v>2</v>
      </c>
      <c r="O33" s="150">
        <v>300000</v>
      </c>
      <c r="P33" s="351">
        <v>0.33333333333333298</v>
      </c>
      <c r="Q33" s="49"/>
      <c r="R33" s="70" t="s">
        <v>1486</v>
      </c>
      <c r="S33" s="86"/>
      <c r="T33" s="87">
        <v>5</v>
      </c>
      <c r="U33" s="62">
        <v>121</v>
      </c>
      <c r="V33" s="62">
        <v>44</v>
      </c>
      <c r="W33" s="62">
        <v>3</v>
      </c>
      <c r="X33" s="62">
        <v>4</v>
      </c>
      <c r="Y33" s="150">
        <v>250000</v>
      </c>
      <c r="Z33" s="351">
        <v>0.33333333333333298</v>
      </c>
      <c r="AA33" s="49"/>
      <c r="AB33" s="49"/>
      <c r="AC33" s="49"/>
      <c r="AD33" s="49"/>
      <c r="AE33" s="49"/>
      <c r="AF33" s="49"/>
      <c r="AG33" s="49"/>
      <c r="AH33" s="97"/>
      <c r="AI33" s="280">
        <v>27</v>
      </c>
      <c r="AJ33" s="62">
        <v>4970</v>
      </c>
      <c r="AK33" s="62">
        <v>226</v>
      </c>
      <c r="AL33" s="352">
        <f t="shared" si="1"/>
        <v>271.2</v>
      </c>
      <c r="AM33" s="150">
        <v>3700000</v>
      </c>
      <c r="AN33" s="351">
        <v>4</v>
      </c>
      <c r="AO33" s="62">
        <v>5</v>
      </c>
      <c r="AP33" s="62">
        <v>1000</v>
      </c>
      <c r="AQ33" s="62">
        <v>400</v>
      </c>
      <c r="AR33" s="49"/>
      <c r="AS33" s="49"/>
      <c r="AT33" s="49"/>
      <c r="AU33" s="49"/>
    </row>
    <row r="34" spans="1:47">
      <c r="A34" s="49"/>
      <c r="B34" s="49"/>
      <c r="C34" s="49"/>
      <c r="D34" s="49"/>
      <c r="E34" s="49"/>
      <c r="F34" s="88" t="s">
        <v>1487</v>
      </c>
      <c r="G34" s="89"/>
      <c r="H34" s="87">
        <v>6</v>
      </c>
      <c r="I34" s="62">
        <v>1652</v>
      </c>
      <c r="J34" s="62">
        <v>44</v>
      </c>
      <c r="K34" s="62">
        <f t="shared" si="2"/>
        <v>88</v>
      </c>
      <c r="L34" s="288">
        <v>3</v>
      </c>
      <c r="M34" s="62">
        <v>264</v>
      </c>
      <c r="N34" s="62">
        <v>2</v>
      </c>
      <c r="O34" s="150">
        <v>320000</v>
      </c>
      <c r="P34" s="351">
        <v>0.5</v>
      </c>
      <c r="Q34" s="49"/>
      <c r="R34" s="70" t="s">
        <v>1488</v>
      </c>
      <c r="S34" s="56"/>
      <c r="T34" s="87">
        <v>6</v>
      </c>
      <c r="U34" s="62">
        <v>121</v>
      </c>
      <c r="V34" s="62">
        <v>44</v>
      </c>
      <c r="W34" s="62">
        <v>3</v>
      </c>
      <c r="X34" s="62">
        <v>6</v>
      </c>
      <c r="Y34" s="150">
        <v>280000</v>
      </c>
      <c r="Z34" s="351">
        <v>0.5</v>
      </c>
      <c r="AA34" s="49"/>
      <c r="AB34" s="49"/>
      <c r="AC34" s="49"/>
      <c r="AD34" s="49"/>
      <c r="AE34" s="49"/>
      <c r="AF34" s="49"/>
      <c r="AG34" s="49"/>
      <c r="AH34" s="97"/>
      <c r="AI34" s="280">
        <v>28</v>
      </c>
      <c r="AJ34" s="62">
        <v>5020</v>
      </c>
      <c r="AK34" s="62">
        <v>234</v>
      </c>
      <c r="AL34" s="352">
        <f t="shared" si="1"/>
        <v>280.8</v>
      </c>
      <c r="AM34" s="150">
        <v>3800000</v>
      </c>
      <c r="AN34" s="351">
        <v>4</v>
      </c>
      <c r="AO34" s="62">
        <v>5</v>
      </c>
      <c r="AP34" s="62">
        <v>1000</v>
      </c>
      <c r="AQ34" s="62">
        <v>400</v>
      </c>
      <c r="AR34" s="49"/>
      <c r="AS34" s="49"/>
      <c r="AT34" s="49"/>
      <c r="AU34" s="49"/>
    </row>
    <row r="35" spans="1:47">
      <c r="A35" s="49"/>
      <c r="B35" s="49"/>
      <c r="C35" s="49"/>
      <c r="D35" s="49"/>
      <c r="E35" s="49"/>
      <c r="F35" s="70" t="s">
        <v>1489</v>
      </c>
      <c r="G35" s="85"/>
      <c r="H35" s="87">
        <v>7</v>
      </c>
      <c r="I35" s="62">
        <v>1797</v>
      </c>
      <c r="J35" s="62">
        <v>48</v>
      </c>
      <c r="K35" s="62">
        <f t="shared" si="2"/>
        <v>96</v>
      </c>
      <c r="L35" s="288">
        <v>3</v>
      </c>
      <c r="M35" s="62">
        <v>288</v>
      </c>
      <c r="N35" s="62">
        <v>2</v>
      </c>
      <c r="O35" s="150">
        <v>340000</v>
      </c>
      <c r="P35" s="351">
        <v>0.5</v>
      </c>
      <c r="Q35" s="49"/>
      <c r="R35" s="70"/>
      <c r="S35" s="56"/>
      <c r="T35" s="87">
        <v>7</v>
      </c>
      <c r="U35" s="62">
        <v>133</v>
      </c>
      <c r="V35" s="62">
        <v>48</v>
      </c>
      <c r="W35" s="62">
        <v>4</v>
      </c>
      <c r="X35" s="62">
        <v>6</v>
      </c>
      <c r="Y35" s="150">
        <v>320000</v>
      </c>
      <c r="Z35" s="351">
        <v>0.5</v>
      </c>
      <c r="AA35" s="49"/>
      <c r="AB35" s="49"/>
      <c r="AC35" s="49"/>
      <c r="AD35" s="49"/>
      <c r="AE35" s="49"/>
      <c r="AF35" s="49"/>
      <c r="AG35" s="49"/>
      <c r="AH35" s="97"/>
      <c r="AI35" s="280">
        <v>29</v>
      </c>
      <c r="AJ35" s="62">
        <v>5071</v>
      </c>
      <c r="AK35" s="62">
        <v>242</v>
      </c>
      <c r="AL35" s="352">
        <f t="shared" si="1"/>
        <v>290.39999999999998</v>
      </c>
      <c r="AM35" s="150">
        <v>3900000</v>
      </c>
      <c r="AN35" s="351">
        <v>4</v>
      </c>
      <c r="AO35" s="62">
        <v>5</v>
      </c>
      <c r="AP35" s="62">
        <v>1000</v>
      </c>
      <c r="AQ35" s="62">
        <v>400</v>
      </c>
      <c r="AR35" s="49"/>
      <c r="AS35" s="49"/>
      <c r="AT35" s="49"/>
      <c r="AU35" s="49"/>
    </row>
    <row r="36" spans="1:47">
      <c r="A36" s="49"/>
      <c r="B36" s="49"/>
      <c r="C36" s="49"/>
      <c r="D36" s="49"/>
      <c r="E36" s="49"/>
      <c r="F36" s="70"/>
      <c r="G36" s="86"/>
      <c r="H36" s="87">
        <v>8</v>
      </c>
      <c r="I36" s="62">
        <v>1797</v>
      </c>
      <c r="J36" s="62">
        <v>48</v>
      </c>
      <c r="K36" s="62">
        <f t="shared" si="2"/>
        <v>96</v>
      </c>
      <c r="L36" s="288">
        <v>3</v>
      </c>
      <c r="M36" s="62">
        <v>288</v>
      </c>
      <c r="N36" s="62">
        <v>3</v>
      </c>
      <c r="O36" s="150">
        <v>380000</v>
      </c>
      <c r="P36" s="351">
        <v>0.5</v>
      </c>
      <c r="Q36" s="49"/>
      <c r="R36" s="70"/>
      <c r="S36" s="86"/>
      <c r="T36" s="87">
        <v>8</v>
      </c>
      <c r="U36" s="62">
        <v>133</v>
      </c>
      <c r="V36" s="62">
        <v>48</v>
      </c>
      <c r="W36" s="62">
        <v>4</v>
      </c>
      <c r="X36" s="62">
        <v>6</v>
      </c>
      <c r="Y36" s="150">
        <v>360000</v>
      </c>
      <c r="Z36" s="351">
        <v>0.5</v>
      </c>
      <c r="AA36" s="49"/>
      <c r="AB36" s="49"/>
      <c r="AC36" s="49"/>
      <c r="AD36" s="49"/>
      <c r="AE36" s="49"/>
      <c r="AF36" s="49"/>
      <c r="AG36" s="49"/>
      <c r="AH36" s="97"/>
      <c r="AI36" s="280">
        <v>30</v>
      </c>
      <c r="AJ36" s="62">
        <v>5122</v>
      </c>
      <c r="AK36" s="62">
        <v>250</v>
      </c>
      <c r="AL36" s="352">
        <f t="shared" si="1"/>
        <v>300</v>
      </c>
      <c r="AM36" s="150">
        <v>4000000</v>
      </c>
      <c r="AN36" s="351">
        <v>4</v>
      </c>
      <c r="AO36" s="62">
        <v>6</v>
      </c>
      <c r="AP36" s="62">
        <v>1050</v>
      </c>
      <c r="AQ36" s="62">
        <v>450</v>
      </c>
      <c r="AR36" s="49"/>
      <c r="AS36" s="49"/>
      <c r="AT36" s="49"/>
      <c r="AU36" s="49"/>
    </row>
    <row r="37" spans="1:47">
      <c r="A37" s="49"/>
      <c r="B37" s="49"/>
      <c r="C37" s="49"/>
      <c r="D37" s="49"/>
      <c r="E37" s="49"/>
      <c r="F37" s="49"/>
      <c r="G37" s="56"/>
      <c r="H37" s="99">
        <v>9</v>
      </c>
      <c r="I37" s="62">
        <v>1957</v>
      </c>
      <c r="J37" s="62">
        <v>53</v>
      </c>
      <c r="K37" s="62">
        <f t="shared" si="2"/>
        <v>106</v>
      </c>
      <c r="L37" s="288">
        <v>3</v>
      </c>
      <c r="M37" s="62">
        <v>318</v>
      </c>
      <c r="N37" s="62">
        <v>3</v>
      </c>
      <c r="O37" s="150">
        <v>1000000</v>
      </c>
      <c r="P37" s="351">
        <v>1</v>
      </c>
      <c r="Q37" s="49"/>
      <c r="R37" s="49"/>
      <c r="S37" s="56"/>
      <c r="T37" s="99">
        <v>9</v>
      </c>
      <c r="U37" s="62">
        <v>146</v>
      </c>
      <c r="V37" s="62">
        <v>53</v>
      </c>
      <c r="W37" s="62">
        <v>4</v>
      </c>
      <c r="X37" s="62">
        <v>6</v>
      </c>
      <c r="Y37" s="150">
        <v>900000</v>
      </c>
      <c r="Z37" s="351">
        <v>1</v>
      </c>
      <c r="AA37" s="49"/>
      <c r="AB37" s="49"/>
      <c r="AC37" s="49"/>
      <c r="AD37" s="49"/>
      <c r="AE37" s="49"/>
      <c r="AF37" s="49"/>
      <c r="AG37" s="49"/>
      <c r="AH37" s="49"/>
      <c r="AI37" s="49"/>
      <c r="AJ37" s="49"/>
      <c r="AK37" s="49"/>
      <c r="AL37" s="49"/>
      <c r="AM37" s="49"/>
      <c r="AN37" s="49"/>
      <c r="AO37" s="49"/>
      <c r="AP37" s="49"/>
      <c r="AQ37" s="49"/>
      <c r="AR37" s="49"/>
      <c r="AS37" s="49"/>
      <c r="AT37" s="49"/>
      <c r="AU37" s="49"/>
    </row>
    <row r="38" spans="1:47">
      <c r="A38" s="49"/>
      <c r="B38" s="49"/>
      <c r="C38" s="49"/>
      <c r="D38" s="49"/>
      <c r="E38" s="49"/>
      <c r="F38" s="49"/>
      <c r="G38" s="56"/>
      <c r="H38" s="99">
        <v>10</v>
      </c>
      <c r="I38" s="62">
        <v>1957</v>
      </c>
      <c r="J38" s="62">
        <v>53</v>
      </c>
      <c r="K38" s="62">
        <f t="shared" si="2"/>
        <v>106</v>
      </c>
      <c r="L38" s="288">
        <v>4</v>
      </c>
      <c r="M38" s="62">
        <v>424</v>
      </c>
      <c r="N38" s="62">
        <v>3</v>
      </c>
      <c r="O38" s="150">
        <v>1200000</v>
      </c>
      <c r="P38" s="351">
        <v>1</v>
      </c>
      <c r="Q38" s="49"/>
      <c r="R38" s="49"/>
      <c r="S38" s="56"/>
      <c r="T38" s="99">
        <v>10</v>
      </c>
      <c r="U38" s="62">
        <v>146</v>
      </c>
      <c r="V38" s="62">
        <v>53</v>
      </c>
      <c r="W38" s="62">
        <v>4</v>
      </c>
      <c r="X38" s="62">
        <v>8</v>
      </c>
      <c r="Y38" s="150">
        <v>1100000</v>
      </c>
      <c r="Z38" s="351">
        <v>1</v>
      </c>
      <c r="AA38" s="49"/>
      <c r="AB38" s="49"/>
      <c r="AC38" s="49"/>
      <c r="AD38" s="49"/>
      <c r="AE38" s="49"/>
      <c r="AF38" s="49"/>
      <c r="AG38" s="49"/>
      <c r="AH38" s="49"/>
      <c r="AI38" s="49"/>
      <c r="AJ38" s="49"/>
      <c r="AK38" s="49"/>
      <c r="AL38" s="49"/>
      <c r="AM38" s="49"/>
      <c r="AN38" s="49"/>
      <c r="AO38" s="49"/>
      <c r="AP38" s="49"/>
      <c r="AQ38" s="49"/>
      <c r="AR38" s="49"/>
      <c r="AS38" s="49"/>
      <c r="AT38" s="49"/>
      <c r="AU38" s="49"/>
    </row>
    <row r="39" spans="1:47">
      <c r="A39" s="49"/>
      <c r="B39" s="49"/>
      <c r="C39" s="49"/>
      <c r="D39" s="49"/>
      <c r="E39" s="49"/>
      <c r="F39" s="49"/>
      <c r="G39" s="56"/>
      <c r="H39" s="90">
        <v>11</v>
      </c>
      <c r="I39" s="62">
        <v>2133</v>
      </c>
      <c r="J39" s="62">
        <v>58</v>
      </c>
      <c r="K39" s="62">
        <f t="shared" si="2"/>
        <v>116</v>
      </c>
      <c r="L39" s="288">
        <v>4</v>
      </c>
      <c r="M39" s="62">
        <v>464</v>
      </c>
      <c r="N39" s="62">
        <v>3</v>
      </c>
      <c r="O39" s="150">
        <v>1300000</v>
      </c>
      <c r="P39" s="351">
        <v>2</v>
      </c>
      <c r="Q39" s="49"/>
      <c r="R39" s="49"/>
      <c r="S39" s="56"/>
      <c r="T39" s="90">
        <v>11</v>
      </c>
      <c r="U39" s="62">
        <v>161</v>
      </c>
      <c r="V39" s="62">
        <v>58</v>
      </c>
      <c r="W39" s="62">
        <v>4</v>
      </c>
      <c r="X39" s="62">
        <v>8</v>
      </c>
      <c r="Y39" s="150">
        <v>1300000</v>
      </c>
      <c r="Z39" s="351">
        <v>2</v>
      </c>
      <c r="AA39" s="49"/>
      <c r="AB39" s="49"/>
      <c r="AC39" s="49"/>
      <c r="AD39" s="49"/>
      <c r="AE39" s="49"/>
      <c r="AF39" s="49"/>
      <c r="AG39" s="49"/>
      <c r="AH39" s="49"/>
      <c r="AI39" s="49"/>
      <c r="AJ39" s="49"/>
      <c r="AK39" s="49"/>
      <c r="AL39" s="49"/>
      <c r="AM39" s="49"/>
      <c r="AN39" s="49"/>
      <c r="AO39" s="49"/>
      <c r="AP39" s="49"/>
      <c r="AQ39" s="49"/>
      <c r="AR39" s="49"/>
      <c r="AS39" s="49"/>
      <c r="AT39" s="49"/>
      <c r="AU39" s="49"/>
    </row>
    <row r="40" spans="1:47">
      <c r="A40" s="49"/>
      <c r="B40" s="49"/>
      <c r="C40" s="49"/>
      <c r="D40" s="49"/>
      <c r="E40" s="49"/>
      <c r="F40" s="49"/>
      <c r="G40" s="56"/>
      <c r="H40" s="90">
        <v>12</v>
      </c>
      <c r="I40" s="62">
        <v>2383</v>
      </c>
      <c r="J40" s="62">
        <v>58</v>
      </c>
      <c r="K40" s="62">
        <f t="shared" si="2"/>
        <v>116</v>
      </c>
      <c r="L40" s="288">
        <v>4</v>
      </c>
      <c r="M40" s="62">
        <v>464</v>
      </c>
      <c r="N40" s="62">
        <v>3</v>
      </c>
      <c r="O40" s="150">
        <v>1500000</v>
      </c>
      <c r="P40" s="351">
        <v>2</v>
      </c>
      <c r="Q40" s="49"/>
      <c r="R40" s="49"/>
      <c r="S40" s="56"/>
      <c r="T40" s="90">
        <v>12</v>
      </c>
      <c r="U40" s="62">
        <v>161</v>
      </c>
      <c r="V40" s="62">
        <v>58</v>
      </c>
      <c r="W40" s="62">
        <v>4</v>
      </c>
      <c r="X40" s="62">
        <v>10</v>
      </c>
      <c r="Y40" s="150">
        <v>1500000</v>
      </c>
      <c r="Z40" s="351">
        <v>2</v>
      </c>
      <c r="AA40" s="49"/>
      <c r="AB40" s="49"/>
      <c r="AC40" s="49"/>
      <c r="AD40" s="49"/>
      <c r="AE40" s="49"/>
      <c r="AF40" s="49"/>
      <c r="AG40" s="49"/>
      <c r="AH40" s="49"/>
      <c r="AI40" s="49"/>
      <c r="AJ40" s="49"/>
      <c r="AK40" s="49"/>
      <c r="AL40" s="49"/>
      <c r="AM40" s="49"/>
      <c r="AN40" s="49"/>
      <c r="AO40" s="49"/>
      <c r="AP40" s="49"/>
      <c r="AQ40" s="49"/>
      <c r="AR40" s="49"/>
      <c r="AS40" s="49"/>
      <c r="AT40" s="49"/>
      <c r="AU40" s="49"/>
    </row>
    <row r="41" spans="1:47">
      <c r="A41" s="49"/>
      <c r="B41" s="49"/>
      <c r="C41" s="49"/>
      <c r="D41" s="49"/>
      <c r="E41" s="49"/>
      <c r="F41" s="49"/>
      <c r="G41" s="56"/>
      <c r="H41" s="278">
        <v>13</v>
      </c>
      <c r="I41" s="62">
        <v>2576</v>
      </c>
      <c r="J41" s="62">
        <v>64</v>
      </c>
      <c r="K41" s="62">
        <f t="shared" si="2"/>
        <v>128</v>
      </c>
      <c r="L41" s="288">
        <v>4</v>
      </c>
      <c r="M41" s="62">
        <v>512</v>
      </c>
      <c r="N41" s="62">
        <v>3</v>
      </c>
      <c r="O41" s="150">
        <v>2300000</v>
      </c>
      <c r="P41" s="351">
        <v>3</v>
      </c>
      <c r="Q41" s="49"/>
      <c r="R41" s="49"/>
      <c r="S41" s="56"/>
      <c r="T41" s="278">
        <v>13</v>
      </c>
      <c r="U41" s="62">
        <v>177</v>
      </c>
      <c r="V41" s="62">
        <v>64</v>
      </c>
      <c r="W41" s="62">
        <v>4</v>
      </c>
      <c r="X41" s="62">
        <v>10</v>
      </c>
      <c r="Y41" s="150">
        <v>2300000</v>
      </c>
      <c r="Z41" s="351">
        <v>3</v>
      </c>
      <c r="AA41" s="49"/>
      <c r="AB41" s="49"/>
      <c r="AC41" s="49"/>
      <c r="AD41" s="49"/>
      <c r="AE41" s="49"/>
      <c r="AF41" s="49"/>
      <c r="AG41" s="49"/>
      <c r="AH41" s="49"/>
      <c r="AI41" s="49"/>
      <c r="AJ41" s="49"/>
      <c r="AK41" s="49"/>
      <c r="AL41" s="49"/>
      <c r="AM41" s="49"/>
      <c r="AN41" s="49"/>
      <c r="AO41" s="49"/>
      <c r="AP41" s="49"/>
      <c r="AQ41" s="49"/>
      <c r="AR41" s="49"/>
      <c r="AS41" s="49"/>
      <c r="AT41" s="49"/>
      <c r="AU41" s="49"/>
    </row>
    <row r="42" spans="1:47">
      <c r="A42" s="49"/>
      <c r="B42" s="49"/>
      <c r="C42" s="49"/>
      <c r="D42" s="49"/>
      <c r="E42" s="49"/>
      <c r="F42" s="49"/>
      <c r="G42" s="56"/>
      <c r="H42" s="278">
        <v>14</v>
      </c>
      <c r="I42" s="62">
        <v>2576</v>
      </c>
      <c r="J42" s="62">
        <v>64</v>
      </c>
      <c r="K42" s="62">
        <f t="shared" si="2"/>
        <v>128</v>
      </c>
      <c r="L42" s="288">
        <v>5</v>
      </c>
      <c r="M42" s="62">
        <v>640</v>
      </c>
      <c r="N42" s="62">
        <v>3</v>
      </c>
      <c r="O42" s="150">
        <v>2500000</v>
      </c>
      <c r="P42" s="351">
        <v>3</v>
      </c>
      <c r="Q42" s="49"/>
      <c r="R42" s="49"/>
      <c r="S42" s="56"/>
      <c r="T42" s="278">
        <v>14</v>
      </c>
      <c r="U42" s="62">
        <v>177</v>
      </c>
      <c r="V42" s="62">
        <v>64</v>
      </c>
      <c r="W42" s="62">
        <v>4</v>
      </c>
      <c r="X42" s="62">
        <v>10</v>
      </c>
      <c r="Y42" s="150">
        <v>2500000</v>
      </c>
      <c r="Z42" s="351">
        <v>3</v>
      </c>
      <c r="AA42" s="49"/>
      <c r="AB42" s="49"/>
      <c r="AC42" s="49"/>
      <c r="AD42" s="49"/>
      <c r="AE42" s="49"/>
      <c r="AF42" s="49"/>
      <c r="AG42" s="49"/>
      <c r="AH42" s="49"/>
      <c r="AI42" s="49"/>
      <c r="AJ42" s="49"/>
      <c r="AK42" s="49"/>
      <c r="AL42" s="49"/>
      <c r="AM42" s="49"/>
      <c r="AN42" s="49"/>
      <c r="AO42" s="49"/>
      <c r="AP42" s="49"/>
      <c r="AQ42" s="49"/>
      <c r="AR42" s="49"/>
      <c r="AS42" s="49"/>
      <c r="AT42" s="49"/>
      <c r="AU42" s="49"/>
    </row>
    <row r="43" spans="1:47">
      <c r="A43" s="49"/>
      <c r="B43" s="49"/>
      <c r="C43" s="49"/>
      <c r="D43" s="49"/>
      <c r="E43" s="49"/>
      <c r="F43" s="49"/>
      <c r="G43" s="56"/>
      <c r="H43" s="279">
        <v>15</v>
      </c>
      <c r="I43" s="62">
        <v>2789</v>
      </c>
      <c r="J43" s="62">
        <v>70</v>
      </c>
      <c r="K43" s="62">
        <f t="shared" si="2"/>
        <v>140</v>
      </c>
      <c r="L43" s="288">
        <v>5</v>
      </c>
      <c r="M43" s="62">
        <v>700</v>
      </c>
      <c r="N43" s="62">
        <v>3</v>
      </c>
      <c r="O43" s="150">
        <v>3300000</v>
      </c>
      <c r="P43" s="351">
        <v>4</v>
      </c>
      <c r="Q43" s="49"/>
      <c r="R43" s="49"/>
      <c r="S43" s="56"/>
      <c r="T43" s="279">
        <v>15</v>
      </c>
      <c r="U43" s="62">
        <v>195</v>
      </c>
      <c r="V43" s="62">
        <v>70</v>
      </c>
      <c r="W43" s="62">
        <v>4</v>
      </c>
      <c r="X43" s="62">
        <v>10</v>
      </c>
      <c r="Y43" s="150">
        <v>3300000</v>
      </c>
      <c r="Z43" s="351">
        <v>4</v>
      </c>
      <c r="AA43" s="49"/>
      <c r="AB43" s="49"/>
      <c r="AC43" s="49"/>
      <c r="AD43" s="49"/>
      <c r="AE43" s="49"/>
      <c r="AF43" s="49"/>
      <c r="AG43" s="49"/>
      <c r="AH43" s="49"/>
      <c r="AI43" s="49"/>
      <c r="AJ43" s="49"/>
      <c r="AK43" s="49"/>
      <c r="AL43" s="49"/>
      <c r="AM43" s="49"/>
      <c r="AN43" s="49"/>
      <c r="AO43" s="49"/>
      <c r="AP43" s="49"/>
      <c r="AQ43" s="49"/>
      <c r="AR43" s="49"/>
      <c r="AS43" s="49"/>
      <c r="AT43" s="49"/>
      <c r="AU43" s="49"/>
    </row>
    <row r="44" spans="1:47">
      <c r="A44" s="49"/>
      <c r="B44" s="49"/>
      <c r="C44" s="49"/>
      <c r="D44" s="49"/>
      <c r="E44" s="49"/>
      <c r="F44" s="49"/>
      <c r="G44" s="56"/>
      <c r="H44" s="279">
        <v>16</v>
      </c>
      <c r="I44" s="62">
        <v>2789</v>
      </c>
      <c r="J44" s="62">
        <v>70</v>
      </c>
      <c r="K44" s="62">
        <f t="shared" si="2"/>
        <v>140</v>
      </c>
      <c r="L44" s="288">
        <v>5</v>
      </c>
      <c r="M44" s="62">
        <v>700</v>
      </c>
      <c r="N44" s="62">
        <v>4</v>
      </c>
      <c r="O44" s="150">
        <v>3500000</v>
      </c>
      <c r="P44" s="351">
        <v>4</v>
      </c>
      <c r="Q44" s="49"/>
      <c r="R44" s="49"/>
      <c r="S44" s="56"/>
      <c r="T44" s="279">
        <v>16</v>
      </c>
      <c r="U44" s="62">
        <v>195</v>
      </c>
      <c r="V44" s="62">
        <v>70</v>
      </c>
      <c r="W44" s="62">
        <v>5</v>
      </c>
      <c r="X44" s="62">
        <v>10</v>
      </c>
      <c r="Y44" s="150">
        <v>3500000</v>
      </c>
      <c r="Z44" s="351">
        <v>4</v>
      </c>
      <c r="AA44" s="49"/>
      <c r="AB44" s="49"/>
      <c r="AC44" s="49"/>
      <c r="AD44" s="49"/>
      <c r="AE44" s="49"/>
      <c r="AF44" s="49"/>
      <c r="AG44" s="49"/>
      <c r="AH44" s="49"/>
      <c r="AI44" s="49"/>
      <c r="AJ44" s="49"/>
      <c r="AK44" s="49"/>
      <c r="AL44" s="49"/>
      <c r="AM44" s="49"/>
      <c r="AN44" s="49"/>
      <c r="AO44" s="49"/>
      <c r="AP44" s="49"/>
      <c r="AQ44" s="49"/>
      <c r="AR44" s="49"/>
      <c r="AS44" s="49"/>
      <c r="AT44" s="49"/>
      <c r="AU44" s="49"/>
    </row>
    <row r="45" spans="1:47">
      <c r="A45" s="49"/>
      <c r="B45" s="49"/>
      <c r="C45" s="49"/>
      <c r="D45" s="49"/>
      <c r="E45" s="49"/>
      <c r="F45" s="49"/>
      <c r="G45" s="56"/>
      <c r="H45" s="280">
        <v>17</v>
      </c>
      <c r="I45" s="62">
        <v>3068</v>
      </c>
      <c r="J45" s="62">
        <v>77</v>
      </c>
      <c r="K45" s="62">
        <f t="shared" si="2"/>
        <v>154</v>
      </c>
      <c r="L45" s="288">
        <v>5</v>
      </c>
      <c r="M45" s="62">
        <v>770</v>
      </c>
      <c r="N45" s="62">
        <v>4</v>
      </c>
      <c r="O45" s="150">
        <v>4000000</v>
      </c>
      <c r="P45" s="351">
        <v>5</v>
      </c>
      <c r="Q45" s="49"/>
      <c r="R45" s="49"/>
      <c r="S45" s="56"/>
      <c r="T45" s="280">
        <v>17</v>
      </c>
      <c r="U45" s="62">
        <v>215</v>
      </c>
      <c r="V45" s="62">
        <v>77</v>
      </c>
      <c r="W45" s="62">
        <v>5</v>
      </c>
      <c r="X45" s="62">
        <v>10</v>
      </c>
      <c r="Y45" s="150">
        <v>4000000</v>
      </c>
      <c r="Z45" s="351">
        <v>5</v>
      </c>
      <c r="AA45" s="49"/>
      <c r="AB45" s="49"/>
      <c r="AC45" s="49"/>
      <c r="AD45" s="49"/>
      <c r="AE45" s="49"/>
      <c r="AF45" s="49"/>
      <c r="AG45" s="49"/>
      <c r="AH45" s="49"/>
      <c r="AI45" s="49"/>
      <c r="AJ45" s="49"/>
      <c r="AK45" s="49"/>
      <c r="AL45" s="49"/>
      <c r="AM45" s="49"/>
      <c r="AN45" s="49"/>
      <c r="AO45" s="49"/>
      <c r="AP45" s="49"/>
      <c r="AQ45" s="49"/>
      <c r="AR45" s="49"/>
      <c r="AS45" s="49"/>
      <c r="AT45" s="49"/>
      <c r="AU45" s="49"/>
    </row>
    <row r="46" spans="1:47">
      <c r="A46" s="49"/>
      <c r="B46" s="49"/>
      <c r="C46" s="49"/>
      <c r="D46" s="49"/>
      <c r="E46" s="49"/>
      <c r="F46" s="49"/>
      <c r="G46" s="56"/>
      <c r="H46" s="280">
        <v>18</v>
      </c>
      <c r="I46" s="62">
        <v>3375</v>
      </c>
      <c r="J46" s="62">
        <v>85</v>
      </c>
      <c r="K46" s="62">
        <f t="shared" si="2"/>
        <v>170</v>
      </c>
      <c r="L46" s="288">
        <v>5</v>
      </c>
      <c r="M46" s="62">
        <v>850</v>
      </c>
      <c r="N46" s="62">
        <v>4</v>
      </c>
      <c r="O46" s="150">
        <v>4200000</v>
      </c>
      <c r="P46" s="351">
        <v>5</v>
      </c>
      <c r="Q46" s="49"/>
      <c r="R46" s="49"/>
      <c r="S46" s="56"/>
      <c r="T46" s="280">
        <v>18</v>
      </c>
      <c r="U46" s="62">
        <v>215</v>
      </c>
      <c r="V46" s="62">
        <v>77</v>
      </c>
      <c r="W46" s="62">
        <v>5</v>
      </c>
      <c r="X46" s="62">
        <v>12</v>
      </c>
      <c r="Y46" s="150">
        <v>4200000</v>
      </c>
      <c r="Z46" s="351">
        <v>5</v>
      </c>
      <c r="AA46" s="49"/>
      <c r="AB46" s="49"/>
      <c r="AC46" s="49"/>
      <c r="AD46" s="49"/>
      <c r="AE46" s="49"/>
      <c r="AF46" s="49"/>
      <c r="AG46" s="49"/>
      <c r="AH46" s="49"/>
      <c r="AI46" s="49"/>
      <c r="AJ46" s="49"/>
      <c r="AK46" s="49"/>
      <c r="AL46" s="49"/>
      <c r="AM46" s="49"/>
      <c r="AN46" s="49"/>
      <c r="AO46" s="49"/>
      <c r="AP46" s="49"/>
      <c r="AQ46" s="49"/>
      <c r="AR46" s="49"/>
      <c r="AS46" s="49"/>
      <c r="AT46" s="49"/>
      <c r="AU46" s="49"/>
    </row>
    <row r="47" spans="1:47">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row>
    <row r="48" spans="1:47">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row>
    <row r="49" spans="1:47">
      <c r="A49" s="49"/>
      <c r="B49" s="49"/>
      <c r="C49" s="49"/>
      <c r="D49" s="49"/>
      <c r="E49" s="49"/>
      <c r="F49" s="49" t="s">
        <v>1490</v>
      </c>
      <c r="G49" s="49"/>
      <c r="H49" s="49" t="s">
        <v>1491</v>
      </c>
      <c r="I49" s="49"/>
      <c r="J49" s="49"/>
      <c r="K49" s="49"/>
      <c r="L49" s="49"/>
      <c r="M49" s="49"/>
      <c r="N49" s="49"/>
      <c r="O49" s="137" t="s">
        <v>1492</v>
      </c>
      <c r="P49" s="49"/>
      <c r="Q49" s="49"/>
      <c r="R49" s="49" t="s">
        <v>1493</v>
      </c>
      <c r="S49" s="49"/>
      <c r="T49" s="49" t="s">
        <v>1494</v>
      </c>
      <c r="U49" s="49"/>
      <c r="V49" s="49"/>
      <c r="W49" s="49"/>
      <c r="X49" s="49"/>
      <c r="Y49" s="49"/>
      <c r="Z49" s="49"/>
      <c r="AA49" s="49"/>
      <c r="AB49" s="137" t="s">
        <v>441</v>
      </c>
      <c r="AC49" s="49"/>
      <c r="AD49" s="49"/>
      <c r="AE49" s="49"/>
      <c r="AF49" s="49"/>
      <c r="AG49" s="49"/>
      <c r="AH49" s="49"/>
      <c r="AI49" s="49"/>
      <c r="AJ49" s="49"/>
      <c r="AK49" s="49"/>
      <c r="AL49" s="49"/>
      <c r="AM49" s="49"/>
      <c r="AN49" s="49"/>
      <c r="AO49" s="49"/>
      <c r="AP49" s="49"/>
      <c r="AQ49" s="49"/>
      <c r="AR49" s="49"/>
      <c r="AS49" s="49"/>
      <c r="AT49" s="49"/>
      <c r="AU49" s="49"/>
    </row>
    <row r="50" spans="1:47">
      <c r="A50" s="49"/>
      <c r="B50" s="49"/>
      <c r="C50" s="49"/>
      <c r="D50" s="49"/>
      <c r="E50" s="49"/>
      <c r="F50" s="84" t="s">
        <v>352</v>
      </c>
      <c r="G50" s="85"/>
      <c r="H50" s="108" t="s">
        <v>243</v>
      </c>
      <c r="I50" s="65" t="s">
        <v>244</v>
      </c>
      <c r="J50" s="65" t="s">
        <v>245</v>
      </c>
      <c r="K50" s="65" t="s">
        <v>250</v>
      </c>
      <c r="L50" s="65" t="s">
        <v>1481</v>
      </c>
      <c r="M50" s="65" t="s">
        <v>1482</v>
      </c>
      <c r="N50" s="65" t="s">
        <v>1446</v>
      </c>
      <c r="O50" s="65" t="s">
        <v>246</v>
      </c>
      <c r="P50" s="65" t="s">
        <v>247</v>
      </c>
      <c r="Q50" s="49"/>
      <c r="R50" s="84" t="s">
        <v>248</v>
      </c>
      <c r="S50" s="85"/>
      <c r="T50" s="108" t="s">
        <v>243</v>
      </c>
      <c r="U50" s="65" t="s">
        <v>244</v>
      </c>
      <c r="V50" s="65" t="s">
        <v>245</v>
      </c>
      <c r="W50" s="65" t="s">
        <v>1495</v>
      </c>
      <c r="X50" s="65" t="s">
        <v>1496</v>
      </c>
      <c r="Y50" s="65" t="s">
        <v>443</v>
      </c>
      <c r="Z50" s="65" t="s">
        <v>1446</v>
      </c>
      <c r="AA50" s="65" t="s">
        <v>1483</v>
      </c>
      <c r="AB50" s="65" t="s">
        <v>247</v>
      </c>
      <c r="AC50" s="49"/>
      <c r="AD50" s="49"/>
      <c r="AE50" s="49"/>
      <c r="AF50" s="49"/>
      <c r="AG50" s="49"/>
      <c r="AH50" s="49"/>
      <c r="AI50" s="49"/>
      <c r="AJ50" s="49"/>
      <c r="AK50" s="49"/>
      <c r="AL50" s="49"/>
      <c r="AM50" s="49"/>
      <c r="AN50" s="49"/>
      <c r="AO50" s="49"/>
      <c r="AP50" s="49"/>
      <c r="AQ50" s="49"/>
      <c r="AR50" s="49"/>
      <c r="AS50" s="49"/>
      <c r="AT50" s="49"/>
      <c r="AU50" s="49"/>
    </row>
    <row r="51" spans="1:47">
      <c r="A51" s="49"/>
      <c r="B51" s="49"/>
      <c r="C51" s="49"/>
      <c r="D51" s="49"/>
      <c r="E51" s="49"/>
      <c r="F51" s="70" t="s">
        <v>259</v>
      </c>
      <c r="G51" s="86"/>
      <c r="H51" s="87">
        <v>1</v>
      </c>
      <c r="I51" s="62">
        <v>100</v>
      </c>
      <c r="J51" s="62">
        <v>36</v>
      </c>
      <c r="K51" s="62">
        <f>J51*2</f>
        <v>72</v>
      </c>
      <c r="L51" s="62"/>
      <c r="M51" s="62">
        <v>72</v>
      </c>
      <c r="N51" s="62">
        <v>2</v>
      </c>
      <c r="O51" s="62"/>
      <c r="P51" s="351"/>
      <c r="Q51" s="49"/>
      <c r="R51" s="70" t="s">
        <v>689</v>
      </c>
      <c r="S51" s="86"/>
      <c r="T51" s="87">
        <v>1</v>
      </c>
      <c r="U51" s="62">
        <v>645</v>
      </c>
      <c r="V51" s="62">
        <v>40</v>
      </c>
      <c r="W51" s="62"/>
      <c r="X51" s="79" t="s">
        <v>1497</v>
      </c>
      <c r="Y51" s="352">
        <v>40</v>
      </c>
      <c r="Z51" s="62">
        <v>2</v>
      </c>
      <c r="AA51" s="62"/>
      <c r="AB51" s="351"/>
      <c r="AC51" s="49"/>
      <c r="AD51" s="49"/>
      <c r="AE51" s="49"/>
      <c r="AF51" s="49"/>
      <c r="AG51" s="49"/>
      <c r="AH51" s="49"/>
      <c r="AI51" s="49"/>
      <c r="AJ51" s="49"/>
      <c r="AK51" s="49"/>
      <c r="AL51" s="49"/>
      <c r="AM51" s="49"/>
      <c r="AN51" s="49"/>
      <c r="AO51" s="49"/>
      <c r="AP51" s="49"/>
      <c r="AQ51" s="49"/>
      <c r="AR51" s="49"/>
      <c r="AS51" s="49"/>
      <c r="AT51" s="49"/>
      <c r="AU51" s="49"/>
    </row>
    <row r="52" spans="1:47">
      <c r="A52" s="49"/>
      <c r="B52" s="49"/>
      <c r="C52" s="49"/>
      <c r="D52" s="49"/>
      <c r="E52" s="49"/>
      <c r="F52" s="70" t="s">
        <v>273</v>
      </c>
      <c r="G52" s="86"/>
      <c r="H52" s="87">
        <v>2</v>
      </c>
      <c r="I52" s="62">
        <v>100</v>
      </c>
      <c r="J52" s="62">
        <v>36</v>
      </c>
      <c r="K52" s="62">
        <f t="shared" ref="K52:K68" si="3">J52*2</f>
        <v>72</v>
      </c>
      <c r="L52" s="288">
        <v>2</v>
      </c>
      <c r="M52" s="62">
        <v>144</v>
      </c>
      <c r="N52" s="62">
        <v>2</v>
      </c>
      <c r="O52" s="150">
        <v>150000</v>
      </c>
      <c r="P52" s="351">
        <v>0.125</v>
      </c>
      <c r="Q52" s="49"/>
      <c r="R52" s="70" t="s">
        <v>272</v>
      </c>
      <c r="S52" s="86"/>
      <c r="T52" s="87">
        <v>2</v>
      </c>
      <c r="U52" s="62">
        <v>645</v>
      </c>
      <c r="V52" s="62">
        <v>40</v>
      </c>
      <c r="W52" s="288">
        <v>0.4</v>
      </c>
      <c r="X52" s="79" t="s">
        <v>1498</v>
      </c>
      <c r="Y52" s="352">
        <v>67.2</v>
      </c>
      <c r="Z52" s="62">
        <v>2</v>
      </c>
      <c r="AA52" s="150">
        <v>200000</v>
      </c>
      <c r="AB52" s="351">
        <v>0.20833333333333301</v>
      </c>
      <c r="AC52" s="49"/>
      <c r="AD52" s="49"/>
      <c r="AE52" s="49"/>
      <c r="AF52" s="49"/>
      <c r="AG52" s="49"/>
      <c r="AH52" s="49"/>
      <c r="AI52" s="49"/>
      <c r="AJ52" s="49"/>
      <c r="AK52" s="49"/>
      <c r="AL52" s="49"/>
      <c r="AM52" s="49"/>
      <c r="AN52" s="49"/>
      <c r="AO52" s="49"/>
      <c r="AP52" s="49"/>
      <c r="AQ52" s="49"/>
      <c r="AR52" s="49"/>
      <c r="AS52" s="49"/>
      <c r="AT52" s="49"/>
      <c r="AU52" s="49"/>
    </row>
    <row r="53" spans="1:47">
      <c r="A53" s="49"/>
      <c r="B53" s="49"/>
      <c r="C53" s="49"/>
      <c r="D53" s="49"/>
      <c r="E53" s="49"/>
      <c r="F53" s="88" t="s">
        <v>279</v>
      </c>
      <c r="G53" s="89"/>
      <c r="H53" s="87">
        <v>3</v>
      </c>
      <c r="I53" s="62">
        <v>110</v>
      </c>
      <c r="J53" s="62">
        <v>40</v>
      </c>
      <c r="K53" s="62">
        <f t="shared" si="3"/>
        <v>80</v>
      </c>
      <c r="L53" s="288">
        <v>2</v>
      </c>
      <c r="M53" s="62">
        <v>160</v>
      </c>
      <c r="N53" s="62">
        <v>2</v>
      </c>
      <c r="O53" s="150">
        <v>200000</v>
      </c>
      <c r="P53" s="351">
        <v>0.20833333333333301</v>
      </c>
      <c r="Q53" s="49"/>
      <c r="R53" s="88" t="s">
        <v>445</v>
      </c>
      <c r="S53" s="89"/>
      <c r="T53" s="87">
        <v>3</v>
      </c>
      <c r="U53" s="62">
        <v>710</v>
      </c>
      <c r="V53" s="62">
        <v>44</v>
      </c>
      <c r="W53" s="288">
        <v>0.4</v>
      </c>
      <c r="X53" s="79" t="s">
        <v>1498</v>
      </c>
      <c r="Y53" s="352">
        <v>73.92</v>
      </c>
      <c r="Z53" s="62">
        <v>2</v>
      </c>
      <c r="AA53" s="150">
        <v>240000</v>
      </c>
      <c r="AB53" s="351">
        <v>0.33333333333333298</v>
      </c>
      <c r="AC53" s="49"/>
      <c r="AD53" s="49"/>
      <c r="AE53" s="49"/>
      <c r="AF53" s="49"/>
      <c r="AG53" s="49"/>
      <c r="AH53" s="49"/>
      <c r="AI53" s="49"/>
      <c r="AJ53" s="49"/>
      <c r="AK53" s="49"/>
      <c r="AL53" s="49"/>
      <c r="AM53" s="49"/>
      <c r="AN53" s="49"/>
      <c r="AO53" s="49"/>
      <c r="AP53" s="49"/>
      <c r="AQ53" s="49"/>
      <c r="AR53" s="49"/>
      <c r="AS53" s="49"/>
      <c r="AT53" s="49"/>
      <c r="AU53" s="49"/>
    </row>
    <row r="54" spans="1:47">
      <c r="A54" s="49"/>
      <c r="B54" s="49"/>
      <c r="C54" s="49"/>
      <c r="D54" s="49"/>
      <c r="E54" s="49"/>
      <c r="F54" s="84" t="s">
        <v>1499</v>
      </c>
      <c r="G54" s="85"/>
      <c r="H54" s="87">
        <v>4</v>
      </c>
      <c r="I54" s="62">
        <v>110</v>
      </c>
      <c r="J54" s="62">
        <v>40</v>
      </c>
      <c r="K54" s="62">
        <f t="shared" si="3"/>
        <v>80</v>
      </c>
      <c r="L54" s="288">
        <v>2</v>
      </c>
      <c r="M54" s="62">
        <v>160</v>
      </c>
      <c r="N54" s="62">
        <v>3</v>
      </c>
      <c r="O54" s="150">
        <v>250000</v>
      </c>
      <c r="P54" s="351">
        <v>0.33333333333333298</v>
      </c>
      <c r="Q54" s="49"/>
      <c r="R54" s="84" t="s">
        <v>1500</v>
      </c>
      <c r="S54" s="85"/>
      <c r="T54" s="87">
        <v>4</v>
      </c>
      <c r="U54" s="62">
        <v>710</v>
      </c>
      <c r="V54" s="62">
        <v>44</v>
      </c>
      <c r="W54" s="288">
        <v>0.6</v>
      </c>
      <c r="X54" s="79" t="s">
        <v>1501</v>
      </c>
      <c r="Y54" s="352">
        <v>91.52</v>
      </c>
      <c r="Z54" s="62">
        <v>2</v>
      </c>
      <c r="AA54" s="150">
        <v>280000</v>
      </c>
      <c r="AB54" s="351">
        <v>0.5</v>
      </c>
      <c r="AC54" s="49"/>
      <c r="AD54" s="49"/>
      <c r="AE54" s="49"/>
      <c r="AF54" s="49"/>
      <c r="AG54" s="49"/>
      <c r="AH54" s="49"/>
      <c r="AI54" s="49"/>
      <c r="AJ54" s="49"/>
      <c r="AK54" s="49"/>
      <c r="AL54" s="49"/>
      <c r="AM54" s="49"/>
      <c r="AN54" s="49"/>
      <c r="AO54" s="49"/>
      <c r="AP54" s="49"/>
      <c r="AQ54" s="49"/>
      <c r="AR54" s="49"/>
      <c r="AS54" s="49"/>
      <c r="AT54" s="49"/>
      <c r="AU54" s="49"/>
    </row>
    <row r="55" spans="1:47">
      <c r="A55" s="49"/>
      <c r="B55" s="49"/>
      <c r="C55" s="49"/>
      <c r="D55" s="49"/>
      <c r="E55" s="49"/>
      <c r="F55" s="70" t="s">
        <v>1502</v>
      </c>
      <c r="G55" s="86"/>
      <c r="H55" s="87">
        <v>5</v>
      </c>
      <c r="I55" s="62">
        <v>121</v>
      </c>
      <c r="J55" s="62">
        <v>44</v>
      </c>
      <c r="K55" s="62">
        <f t="shared" si="3"/>
        <v>88</v>
      </c>
      <c r="L55" s="288">
        <v>2</v>
      </c>
      <c r="M55" s="62">
        <v>176</v>
      </c>
      <c r="N55" s="62">
        <v>3</v>
      </c>
      <c r="O55" s="150">
        <v>280000</v>
      </c>
      <c r="P55" s="351">
        <v>0.5</v>
      </c>
      <c r="Q55" s="49"/>
      <c r="R55" s="70" t="s">
        <v>1503</v>
      </c>
      <c r="S55" s="86"/>
      <c r="T55" s="87">
        <v>5</v>
      </c>
      <c r="U55" s="62">
        <v>781</v>
      </c>
      <c r="V55" s="62">
        <v>48</v>
      </c>
      <c r="W55" s="288">
        <v>0.6</v>
      </c>
      <c r="X55" s="79" t="s">
        <v>1501</v>
      </c>
      <c r="Y55" s="352">
        <v>99.84</v>
      </c>
      <c r="Z55" s="62">
        <v>2</v>
      </c>
      <c r="AA55" s="150">
        <v>320000</v>
      </c>
      <c r="AB55" s="351">
        <v>0.5</v>
      </c>
      <c r="AC55" s="49"/>
      <c r="AD55" s="49"/>
      <c r="AE55" s="49"/>
      <c r="AF55" s="49"/>
      <c r="AG55" s="49"/>
      <c r="AH55" s="49"/>
      <c r="AI55" s="49"/>
      <c r="AJ55" s="49"/>
      <c r="AK55" s="49"/>
      <c r="AL55" s="49"/>
      <c r="AM55" s="49"/>
      <c r="AN55" s="49"/>
      <c r="AO55" s="49"/>
      <c r="AP55" s="49"/>
      <c r="AQ55" s="49"/>
      <c r="AR55" s="49"/>
      <c r="AS55" s="49"/>
      <c r="AT55" s="49"/>
      <c r="AU55" s="49"/>
    </row>
    <row r="56" spans="1:47">
      <c r="A56" s="49"/>
      <c r="B56" s="49"/>
      <c r="C56" s="49"/>
      <c r="D56" s="49"/>
      <c r="E56" s="49"/>
      <c r="F56" s="70" t="s">
        <v>1504</v>
      </c>
      <c r="G56" s="353"/>
      <c r="H56" s="87">
        <v>6</v>
      </c>
      <c r="I56" s="62">
        <v>121</v>
      </c>
      <c r="J56" s="62">
        <v>44</v>
      </c>
      <c r="K56" s="62">
        <f t="shared" si="3"/>
        <v>88</v>
      </c>
      <c r="L56" s="288">
        <v>2.5</v>
      </c>
      <c r="M56" s="62">
        <v>220</v>
      </c>
      <c r="N56" s="62">
        <v>3</v>
      </c>
      <c r="O56" s="150">
        <v>320000</v>
      </c>
      <c r="P56" s="351">
        <v>0.5</v>
      </c>
      <c r="Q56" s="49"/>
      <c r="R56" s="70" t="s">
        <v>1505</v>
      </c>
      <c r="S56" s="56"/>
      <c r="T56" s="87">
        <v>6</v>
      </c>
      <c r="U56" s="62">
        <v>781</v>
      </c>
      <c r="V56" s="62">
        <v>48</v>
      </c>
      <c r="W56" s="288">
        <v>0.8</v>
      </c>
      <c r="X56" s="79" t="s">
        <v>1506</v>
      </c>
      <c r="Y56" s="352">
        <v>120.96</v>
      </c>
      <c r="Z56" s="62">
        <v>2</v>
      </c>
      <c r="AA56" s="150">
        <v>360000</v>
      </c>
      <c r="AB56" s="351">
        <v>0.5</v>
      </c>
      <c r="AC56" s="49"/>
      <c r="AD56" s="49"/>
      <c r="AE56" s="49"/>
      <c r="AF56" s="49"/>
      <c r="AG56" s="49"/>
      <c r="AH56" s="49"/>
      <c r="AI56" s="49"/>
      <c r="AJ56" s="49"/>
      <c r="AK56" s="49"/>
      <c r="AL56" s="49"/>
      <c r="AM56" s="49"/>
      <c r="AN56" s="49"/>
      <c r="AO56" s="49"/>
      <c r="AP56" s="49"/>
      <c r="AQ56" s="49"/>
      <c r="AR56" s="49"/>
      <c r="AS56" s="49"/>
      <c r="AT56" s="49"/>
      <c r="AU56" s="49"/>
    </row>
    <row r="57" spans="1:47">
      <c r="A57" s="49"/>
      <c r="B57" s="49"/>
      <c r="C57" s="49"/>
      <c r="D57" s="49"/>
      <c r="E57" s="49"/>
      <c r="F57" s="88" t="s">
        <v>1487</v>
      </c>
      <c r="G57" s="354"/>
      <c r="H57" s="87">
        <v>7</v>
      </c>
      <c r="I57" s="62">
        <v>133</v>
      </c>
      <c r="J57" s="62">
        <v>48</v>
      </c>
      <c r="K57" s="62">
        <f t="shared" si="3"/>
        <v>96</v>
      </c>
      <c r="L57" s="288">
        <v>2.5</v>
      </c>
      <c r="M57" s="62">
        <v>240</v>
      </c>
      <c r="N57" s="62">
        <v>3</v>
      </c>
      <c r="O57" s="150">
        <v>340000</v>
      </c>
      <c r="P57" s="351">
        <v>0.5</v>
      </c>
      <c r="Q57" s="49"/>
      <c r="R57" s="49"/>
      <c r="S57" s="56"/>
      <c r="T57" s="87">
        <v>7</v>
      </c>
      <c r="U57" s="62">
        <v>859</v>
      </c>
      <c r="V57" s="62">
        <v>53</v>
      </c>
      <c r="W57" s="288">
        <v>0.8</v>
      </c>
      <c r="X57" s="79" t="s">
        <v>1506</v>
      </c>
      <c r="Y57" s="352">
        <v>133.56</v>
      </c>
      <c r="Z57" s="62">
        <v>2</v>
      </c>
      <c r="AA57" s="150">
        <v>380000</v>
      </c>
      <c r="AB57" s="351">
        <v>0.5</v>
      </c>
      <c r="AC57" s="49"/>
      <c r="AD57" s="49"/>
      <c r="AE57" s="49"/>
      <c r="AF57" s="49"/>
      <c r="AG57" s="49"/>
      <c r="AH57" s="49"/>
      <c r="AI57" s="49"/>
      <c r="AJ57" s="49"/>
      <c r="AK57" s="49"/>
      <c r="AL57" s="49"/>
      <c r="AM57" s="49"/>
      <c r="AN57" s="49"/>
      <c r="AO57" s="49"/>
      <c r="AP57" s="49"/>
      <c r="AQ57" s="49"/>
      <c r="AR57" s="49"/>
      <c r="AS57" s="49"/>
      <c r="AT57" s="49"/>
      <c r="AU57" s="49"/>
    </row>
    <row r="58" spans="1:47">
      <c r="A58" s="49"/>
      <c r="B58" s="49"/>
      <c r="C58" s="49"/>
      <c r="D58" s="49"/>
      <c r="E58" s="49"/>
      <c r="F58" s="70" t="s">
        <v>1507</v>
      </c>
      <c r="G58" s="353"/>
      <c r="H58" s="87">
        <v>8</v>
      </c>
      <c r="I58" s="62">
        <v>133</v>
      </c>
      <c r="J58" s="62">
        <v>48</v>
      </c>
      <c r="K58" s="62">
        <f t="shared" si="3"/>
        <v>96</v>
      </c>
      <c r="L58" s="288">
        <v>3</v>
      </c>
      <c r="M58" s="62">
        <v>288</v>
      </c>
      <c r="N58" s="62">
        <v>3</v>
      </c>
      <c r="O58" s="150">
        <v>360000</v>
      </c>
      <c r="P58" s="351">
        <v>0.5</v>
      </c>
      <c r="Q58" s="49"/>
      <c r="R58" s="49"/>
      <c r="S58" s="86"/>
      <c r="T58" s="87">
        <v>8</v>
      </c>
      <c r="U58" s="62">
        <v>859</v>
      </c>
      <c r="V58" s="62">
        <v>53</v>
      </c>
      <c r="W58" s="288">
        <v>1</v>
      </c>
      <c r="X58" s="79" t="s">
        <v>1508</v>
      </c>
      <c r="Y58" s="352">
        <v>159</v>
      </c>
      <c r="Z58" s="62">
        <v>2</v>
      </c>
      <c r="AA58" s="150">
        <v>400000</v>
      </c>
      <c r="AB58" s="351">
        <v>0.5</v>
      </c>
      <c r="AC58" s="49"/>
      <c r="AD58" s="49"/>
      <c r="AE58" s="49"/>
      <c r="AF58" s="49"/>
      <c r="AG58" s="49"/>
      <c r="AH58" s="49"/>
      <c r="AI58" s="49"/>
      <c r="AJ58" s="49"/>
      <c r="AK58" s="49"/>
      <c r="AL58" s="49"/>
      <c r="AM58" s="49"/>
      <c r="AN58" s="49"/>
      <c r="AO58" s="49"/>
      <c r="AP58" s="49"/>
      <c r="AQ58" s="49"/>
      <c r="AR58" s="49"/>
      <c r="AS58" s="49"/>
      <c r="AT58" s="49"/>
      <c r="AU58" s="49"/>
    </row>
    <row r="59" spans="1:47">
      <c r="A59" s="49"/>
      <c r="B59" s="49"/>
      <c r="C59" s="49"/>
      <c r="D59" s="49"/>
      <c r="E59" s="49"/>
      <c r="F59" s="49"/>
      <c r="G59" s="97"/>
      <c r="H59" s="99">
        <v>9</v>
      </c>
      <c r="I59" s="62">
        <v>146</v>
      </c>
      <c r="J59" s="62">
        <v>53</v>
      </c>
      <c r="K59" s="62">
        <f t="shared" si="3"/>
        <v>106</v>
      </c>
      <c r="L59" s="288">
        <v>3</v>
      </c>
      <c r="M59" s="62">
        <v>318</v>
      </c>
      <c r="N59" s="62">
        <v>3</v>
      </c>
      <c r="O59" s="150">
        <v>900000</v>
      </c>
      <c r="P59" s="351">
        <v>1</v>
      </c>
      <c r="Q59" s="49"/>
      <c r="R59" s="49"/>
      <c r="S59" s="56"/>
      <c r="T59" s="99">
        <v>9</v>
      </c>
      <c r="U59" s="62">
        <v>950</v>
      </c>
      <c r="V59" s="62">
        <v>58</v>
      </c>
      <c r="W59" s="288">
        <v>1</v>
      </c>
      <c r="X59" s="79" t="s">
        <v>1508</v>
      </c>
      <c r="Y59" s="352">
        <v>174</v>
      </c>
      <c r="Z59" s="62">
        <v>2</v>
      </c>
      <c r="AA59" s="150">
        <v>1000000</v>
      </c>
      <c r="AB59" s="351">
        <v>1</v>
      </c>
      <c r="AC59" s="49"/>
      <c r="AD59" s="49"/>
      <c r="AE59" s="49"/>
      <c r="AF59" s="49"/>
      <c r="AG59" s="49"/>
      <c r="AH59" s="49"/>
      <c r="AI59" s="49"/>
      <c r="AJ59" s="49"/>
      <c r="AK59" s="49"/>
      <c r="AL59" s="49"/>
      <c r="AM59" s="49"/>
      <c r="AN59" s="49"/>
      <c r="AO59" s="49"/>
      <c r="AP59" s="49"/>
      <c r="AQ59" s="49"/>
      <c r="AR59" s="49"/>
      <c r="AS59" s="49"/>
      <c r="AT59" s="49"/>
      <c r="AU59" s="49"/>
    </row>
    <row r="60" spans="1:47">
      <c r="A60" s="49"/>
      <c r="B60" s="49"/>
      <c r="C60" s="49"/>
      <c r="D60" s="49"/>
      <c r="E60" s="49"/>
      <c r="F60" s="49"/>
      <c r="G60" s="97"/>
      <c r="H60" s="99">
        <v>10</v>
      </c>
      <c r="I60" s="62">
        <v>146</v>
      </c>
      <c r="J60" s="62">
        <v>53</v>
      </c>
      <c r="K60" s="62">
        <f t="shared" si="3"/>
        <v>106</v>
      </c>
      <c r="L60" s="288">
        <v>3</v>
      </c>
      <c r="M60" s="62">
        <v>318</v>
      </c>
      <c r="N60" s="62">
        <v>4</v>
      </c>
      <c r="O60" s="150">
        <v>1000000</v>
      </c>
      <c r="P60" s="351">
        <v>1</v>
      </c>
      <c r="Q60" s="49"/>
      <c r="R60" s="49"/>
      <c r="S60" s="56"/>
      <c r="T60" s="99">
        <v>10</v>
      </c>
      <c r="U60" s="62">
        <v>950</v>
      </c>
      <c r="V60" s="62">
        <v>58</v>
      </c>
      <c r="W60" s="288">
        <v>1</v>
      </c>
      <c r="X60" s="79" t="s">
        <v>1508</v>
      </c>
      <c r="Y60" s="352">
        <v>174</v>
      </c>
      <c r="Z60" s="62">
        <v>3</v>
      </c>
      <c r="AA60" s="150">
        <v>1200000</v>
      </c>
      <c r="AB60" s="351">
        <v>1</v>
      </c>
      <c r="AC60" s="49"/>
      <c r="AD60" s="49"/>
      <c r="AE60" s="49"/>
      <c r="AF60" s="49"/>
      <c r="AG60" s="49"/>
      <c r="AH60" s="49"/>
      <c r="AI60" s="49"/>
      <c r="AJ60" s="49"/>
      <c r="AK60" s="49"/>
      <c r="AL60" s="49"/>
      <c r="AM60" s="49"/>
      <c r="AN60" s="49"/>
      <c r="AO60" s="49"/>
      <c r="AP60" s="49"/>
      <c r="AQ60" s="49"/>
      <c r="AR60" s="49"/>
      <c r="AS60" s="49"/>
      <c r="AT60" s="49"/>
      <c r="AU60" s="49"/>
    </row>
    <row r="61" spans="1:47">
      <c r="A61" s="49"/>
      <c r="B61" s="49"/>
      <c r="C61" s="49"/>
      <c r="D61" s="49"/>
      <c r="E61" s="49"/>
      <c r="F61" s="49"/>
      <c r="G61" s="97"/>
      <c r="H61" s="90">
        <v>11</v>
      </c>
      <c r="I61" s="62">
        <v>161</v>
      </c>
      <c r="J61" s="62">
        <v>58</v>
      </c>
      <c r="K61" s="62">
        <f t="shared" si="3"/>
        <v>116</v>
      </c>
      <c r="L61" s="288">
        <v>3</v>
      </c>
      <c r="M61" s="62">
        <v>348</v>
      </c>
      <c r="N61" s="62">
        <v>4</v>
      </c>
      <c r="O61" s="150">
        <v>1200000</v>
      </c>
      <c r="P61" s="351">
        <v>2</v>
      </c>
      <c r="Q61" s="49"/>
      <c r="R61" s="49"/>
      <c r="S61" s="56"/>
      <c r="T61" s="90">
        <v>11</v>
      </c>
      <c r="U61" s="62">
        <v>1045</v>
      </c>
      <c r="V61" s="62">
        <v>64</v>
      </c>
      <c r="W61" s="288">
        <v>1</v>
      </c>
      <c r="X61" s="79" t="s">
        <v>1508</v>
      </c>
      <c r="Y61" s="352">
        <v>192</v>
      </c>
      <c r="Z61" s="62">
        <v>3</v>
      </c>
      <c r="AA61" s="150">
        <v>1400000</v>
      </c>
      <c r="AB61" s="351">
        <v>2</v>
      </c>
      <c r="AC61" s="49"/>
      <c r="AD61" s="49"/>
      <c r="AE61" s="49"/>
      <c r="AF61" s="49"/>
      <c r="AG61" s="49"/>
      <c r="AH61" s="49"/>
      <c r="AI61" s="49"/>
      <c r="AJ61" s="49"/>
      <c r="AK61" s="49"/>
      <c r="AL61" s="49"/>
      <c r="AM61" s="49"/>
      <c r="AN61" s="49"/>
      <c r="AO61" s="49"/>
      <c r="AP61" s="49"/>
      <c r="AQ61" s="49"/>
      <c r="AR61" s="49"/>
      <c r="AS61" s="49"/>
      <c r="AT61" s="49"/>
      <c r="AU61" s="49"/>
    </row>
    <row r="62" spans="1:47">
      <c r="A62" s="49"/>
      <c r="B62" s="49"/>
      <c r="C62" s="49"/>
      <c r="D62" s="49"/>
      <c r="E62" s="49"/>
      <c r="F62" s="49"/>
      <c r="G62" s="97"/>
      <c r="H62" s="90">
        <v>12</v>
      </c>
      <c r="I62" s="62">
        <v>161</v>
      </c>
      <c r="J62" s="62">
        <v>58</v>
      </c>
      <c r="K62" s="62">
        <f t="shared" si="3"/>
        <v>116</v>
      </c>
      <c r="L62" s="288">
        <v>3.5</v>
      </c>
      <c r="M62" s="62">
        <v>406</v>
      </c>
      <c r="N62" s="62">
        <v>4</v>
      </c>
      <c r="O62" s="150">
        <v>1400000</v>
      </c>
      <c r="P62" s="351">
        <v>2</v>
      </c>
      <c r="Q62" s="49"/>
      <c r="R62" s="49"/>
      <c r="S62" s="56"/>
      <c r="T62" s="90">
        <v>12</v>
      </c>
      <c r="U62" s="62">
        <v>1045</v>
      </c>
      <c r="V62" s="62">
        <v>64</v>
      </c>
      <c r="W62" s="288">
        <v>1.2</v>
      </c>
      <c r="X62" s="79" t="s">
        <v>1509</v>
      </c>
      <c r="Y62" s="352">
        <v>225.28</v>
      </c>
      <c r="Z62" s="62">
        <v>3</v>
      </c>
      <c r="AA62" s="150">
        <v>1600000</v>
      </c>
      <c r="AB62" s="351">
        <v>2</v>
      </c>
      <c r="AC62" s="49"/>
      <c r="AD62" s="49"/>
      <c r="AE62" s="49"/>
      <c r="AF62" s="49"/>
      <c r="AG62" s="49"/>
      <c r="AH62" s="49"/>
      <c r="AI62" s="49"/>
      <c r="AJ62" s="49"/>
      <c r="AK62" s="49"/>
      <c r="AL62" s="49"/>
      <c r="AM62" s="49"/>
      <c r="AN62" s="49"/>
      <c r="AO62" s="49"/>
      <c r="AP62" s="49"/>
      <c r="AQ62" s="49"/>
      <c r="AR62" s="49"/>
      <c r="AS62" s="49"/>
      <c r="AT62" s="49"/>
      <c r="AU62" s="49"/>
    </row>
    <row r="63" spans="1:47">
      <c r="A63" s="49"/>
      <c r="B63" s="49"/>
      <c r="C63" s="49"/>
      <c r="D63" s="49"/>
      <c r="E63" s="49"/>
      <c r="F63" s="49"/>
      <c r="G63" s="97"/>
      <c r="H63" s="278">
        <v>13</v>
      </c>
      <c r="I63" s="62">
        <v>177</v>
      </c>
      <c r="J63" s="62">
        <v>64</v>
      </c>
      <c r="K63" s="62">
        <f t="shared" si="3"/>
        <v>128</v>
      </c>
      <c r="L63" s="288">
        <v>3.5</v>
      </c>
      <c r="M63" s="62">
        <v>448</v>
      </c>
      <c r="N63" s="62">
        <v>4</v>
      </c>
      <c r="O63" s="150">
        <v>2200000</v>
      </c>
      <c r="P63" s="351">
        <v>3</v>
      </c>
      <c r="Q63" s="49"/>
      <c r="R63" s="49"/>
      <c r="S63" s="56"/>
      <c r="T63" s="278">
        <v>13</v>
      </c>
      <c r="U63" s="62">
        <v>1150</v>
      </c>
      <c r="V63" s="62">
        <v>70</v>
      </c>
      <c r="W63" s="288">
        <v>1.2</v>
      </c>
      <c r="X63" s="79" t="s">
        <v>1509</v>
      </c>
      <c r="Y63" s="352">
        <v>246.4</v>
      </c>
      <c r="Z63" s="62">
        <v>3</v>
      </c>
      <c r="AA63" s="150">
        <v>2400000</v>
      </c>
      <c r="AB63" s="351">
        <v>3</v>
      </c>
      <c r="AC63" s="49"/>
      <c r="AD63" s="49"/>
      <c r="AE63" s="49"/>
      <c r="AF63" s="49"/>
      <c r="AG63" s="49"/>
      <c r="AH63" s="49"/>
      <c r="AI63" s="49"/>
      <c r="AJ63" s="49"/>
      <c r="AK63" s="49"/>
      <c r="AL63" s="49"/>
      <c r="AM63" s="49"/>
      <c r="AN63" s="49"/>
      <c r="AO63" s="49"/>
      <c r="AP63" s="49"/>
      <c r="AQ63" s="49"/>
      <c r="AR63" s="49"/>
      <c r="AS63" s="49"/>
      <c r="AT63" s="49"/>
      <c r="AU63" s="49"/>
    </row>
    <row r="64" spans="1:47">
      <c r="A64" s="49"/>
      <c r="B64" s="49"/>
      <c r="C64" s="49"/>
      <c r="D64" s="49"/>
      <c r="E64" s="49"/>
      <c r="F64" s="49"/>
      <c r="G64" s="97"/>
      <c r="H64" s="278">
        <v>14</v>
      </c>
      <c r="I64" s="62">
        <v>177</v>
      </c>
      <c r="J64" s="62">
        <v>64</v>
      </c>
      <c r="K64" s="62">
        <f t="shared" si="3"/>
        <v>128</v>
      </c>
      <c r="L64" s="288">
        <v>4</v>
      </c>
      <c r="M64" s="62">
        <v>512</v>
      </c>
      <c r="N64" s="62">
        <v>4</v>
      </c>
      <c r="O64" s="150">
        <v>2400000</v>
      </c>
      <c r="P64" s="351">
        <v>3</v>
      </c>
      <c r="Q64" s="49"/>
      <c r="R64" s="49"/>
      <c r="S64" s="56"/>
      <c r="T64" s="278">
        <v>14</v>
      </c>
      <c r="U64" s="62">
        <v>1150</v>
      </c>
      <c r="V64" s="62">
        <v>70</v>
      </c>
      <c r="W64" s="288">
        <v>1.4</v>
      </c>
      <c r="X64" s="79" t="s">
        <v>1510</v>
      </c>
      <c r="Y64" s="352">
        <v>285.60000000000002</v>
      </c>
      <c r="Z64" s="62">
        <v>3</v>
      </c>
      <c r="AA64" s="150">
        <v>2600000</v>
      </c>
      <c r="AB64" s="351">
        <v>3</v>
      </c>
      <c r="AC64" s="49"/>
      <c r="AD64" s="49"/>
      <c r="AE64" s="49"/>
      <c r="AF64" s="49"/>
      <c r="AG64" s="49"/>
      <c r="AH64" s="49"/>
      <c r="AI64" s="49"/>
      <c r="AJ64" s="49"/>
      <c r="AK64" s="49"/>
      <c r="AL64" s="49"/>
      <c r="AM64" s="49"/>
      <c r="AN64" s="49"/>
      <c r="AO64" s="49"/>
      <c r="AP64" s="49"/>
      <c r="AQ64" s="49"/>
      <c r="AR64" s="49"/>
      <c r="AS64" s="49"/>
      <c r="AT64" s="49"/>
      <c r="AU64" s="49"/>
    </row>
    <row r="65" spans="1:47">
      <c r="A65" s="49"/>
      <c r="B65" s="49"/>
      <c r="C65" s="49"/>
      <c r="D65" s="49"/>
      <c r="E65" s="49"/>
      <c r="F65" s="49"/>
      <c r="G65" s="97"/>
      <c r="H65" s="279">
        <v>15</v>
      </c>
      <c r="I65" s="62">
        <v>195</v>
      </c>
      <c r="J65" s="62">
        <v>70</v>
      </c>
      <c r="K65" s="62">
        <f t="shared" si="3"/>
        <v>140</v>
      </c>
      <c r="L65" s="288">
        <v>4</v>
      </c>
      <c r="M65" s="62">
        <v>560</v>
      </c>
      <c r="N65" s="62">
        <v>4</v>
      </c>
      <c r="O65" s="150">
        <v>3200000</v>
      </c>
      <c r="P65" s="351">
        <v>4</v>
      </c>
      <c r="Q65" s="49"/>
      <c r="R65" s="49"/>
      <c r="S65" s="56"/>
      <c r="T65" s="279">
        <v>15</v>
      </c>
      <c r="U65" s="62">
        <v>1265</v>
      </c>
      <c r="V65" s="62">
        <v>77</v>
      </c>
      <c r="W65" s="288">
        <v>1.4</v>
      </c>
      <c r="X65" s="79" t="s">
        <v>1510</v>
      </c>
      <c r="Y65" s="352">
        <v>314.16000000000003</v>
      </c>
      <c r="Z65" s="62">
        <v>3</v>
      </c>
      <c r="AA65" s="150">
        <v>3400000</v>
      </c>
      <c r="AB65" s="351">
        <v>4</v>
      </c>
      <c r="AC65" s="49"/>
      <c r="AD65" s="49"/>
      <c r="AE65" s="49"/>
      <c r="AF65" s="49"/>
      <c r="AG65" s="49"/>
      <c r="AH65" s="49"/>
      <c r="AI65" s="49"/>
      <c r="AJ65" s="49"/>
      <c r="AK65" s="49"/>
      <c r="AL65" s="49"/>
      <c r="AM65" s="49"/>
      <c r="AN65" s="49"/>
      <c r="AO65" s="49"/>
      <c r="AP65" s="49"/>
      <c r="AQ65" s="49"/>
      <c r="AR65" s="49"/>
      <c r="AS65" s="49"/>
      <c r="AT65" s="49"/>
      <c r="AU65" s="49"/>
    </row>
    <row r="66" spans="1:47">
      <c r="A66" s="49"/>
      <c r="B66" s="49"/>
      <c r="C66" s="49"/>
      <c r="D66" s="49"/>
      <c r="E66" s="49"/>
      <c r="F66" s="49"/>
      <c r="G66" s="97"/>
      <c r="H66" s="279">
        <v>16</v>
      </c>
      <c r="I66" s="62">
        <v>195</v>
      </c>
      <c r="J66" s="62">
        <v>70</v>
      </c>
      <c r="K66" s="62">
        <f t="shared" si="3"/>
        <v>140</v>
      </c>
      <c r="L66" s="288">
        <v>4</v>
      </c>
      <c r="M66" s="62">
        <v>560</v>
      </c>
      <c r="N66" s="62">
        <v>5</v>
      </c>
      <c r="O66" s="150">
        <v>3400000</v>
      </c>
      <c r="P66" s="351">
        <v>4</v>
      </c>
      <c r="Q66" s="49"/>
      <c r="R66" s="49"/>
      <c r="S66" s="56"/>
      <c r="T66" s="279">
        <v>16</v>
      </c>
      <c r="U66" s="62">
        <v>1265</v>
      </c>
      <c r="V66" s="62">
        <v>77</v>
      </c>
      <c r="W66" s="288">
        <v>1.6</v>
      </c>
      <c r="X66" s="79" t="s">
        <v>1511</v>
      </c>
      <c r="Y66" s="352">
        <v>360.36</v>
      </c>
      <c r="Z66" s="62">
        <v>3</v>
      </c>
      <c r="AA66" s="150">
        <v>3600000</v>
      </c>
      <c r="AB66" s="351">
        <v>4</v>
      </c>
      <c r="AC66" s="49"/>
      <c r="AD66" s="49"/>
      <c r="AE66" s="49"/>
      <c r="AF66" s="49"/>
      <c r="AG66" s="49"/>
      <c r="AH66" s="49"/>
      <c r="AI66" s="49"/>
      <c r="AJ66" s="49"/>
      <c r="AK66" s="49"/>
      <c r="AL66" s="49"/>
      <c r="AM66" s="49"/>
      <c r="AN66" s="49"/>
      <c r="AO66" s="49"/>
      <c r="AP66" s="49"/>
      <c r="AQ66" s="49"/>
      <c r="AR66" s="49"/>
      <c r="AS66" s="49"/>
      <c r="AT66" s="49"/>
      <c r="AU66" s="49"/>
    </row>
    <row r="67" spans="1:47">
      <c r="A67" s="49"/>
      <c r="B67" s="49"/>
      <c r="C67" s="49"/>
      <c r="D67" s="49"/>
      <c r="E67" s="49"/>
      <c r="F67" s="49"/>
      <c r="G67" s="97"/>
      <c r="H67" s="280">
        <v>17</v>
      </c>
      <c r="I67" s="62">
        <v>215</v>
      </c>
      <c r="J67" s="62">
        <v>77</v>
      </c>
      <c r="K67" s="62">
        <f t="shared" si="3"/>
        <v>154</v>
      </c>
      <c r="L67" s="288">
        <v>4</v>
      </c>
      <c r="M67" s="62">
        <v>616</v>
      </c>
      <c r="N67" s="62">
        <v>5</v>
      </c>
      <c r="O67" s="150">
        <v>3900000</v>
      </c>
      <c r="P67" s="351">
        <v>5</v>
      </c>
      <c r="Q67" s="49"/>
      <c r="R67" s="49"/>
      <c r="S67" s="56"/>
      <c r="T67" s="280">
        <v>17</v>
      </c>
      <c r="U67" s="62">
        <f>U66+127</f>
        <v>1392</v>
      </c>
      <c r="V67" s="62">
        <v>85</v>
      </c>
      <c r="W67" s="288">
        <v>1.6</v>
      </c>
      <c r="X67" s="79" t="s">
        <v>1511</v>
      </c>
      <c r="Y67" s="352">
        <v>401.8</v>
      </c>
      <c r="Z67" s="62">
        <v>3</v>
      </c>
      <c r="AA67" s="150">
        <v>4100000</v>
      </c>
      <c r="AB67" s="351">
        <v>5</v>
      </c>
      <c r="AC67" s="49"/>
      <c r="AD67" s="49"/>
      <c r="AE67" s="49"/>
      <c r="AF67" s="49"/>
      <c r="AG67" s="49"/>
      <c r="AH67" s="49"/>
      <c r="AI67" s="49"/>
      <c r="AJ67" s="49"/>
      <c r="AK67" s="49"/>
      <c r="AL67" s="49"/>
      <c r="AM67" s="49"/>
      <c r="AN67" s="49"/>
      <c r="AO67" s="49"/>
      <c r="AP67" s="49"/>
      <c r="AQ67" s="49"/>
      <c r="AR67" s="49"/>
      <c r="AS67" s="49"/>
      <c r="AT67" s="49"/>
      <c r="AU67" s="49"/>
    </row>
    <row r="68" spans="1:47">
      <c r="A68" s="49"/>
      <c r="B68" s="49"/>
      <c r="C68" s="49"/>
      <c r="D68" s="49"/>
      <c r="E68" s="49"/>
      <c r="F68" s="49"/>
      <c r="G68" s="97"/>
      <c r="H68" s="280">
        <v>18</v>
      </c>
      <c r="I68" s="62">
        <v>215</v>
      </c>
      <c r="J68" s="62">
        <v>77</v>
      </c>
      <c r="K68" s="62">
        <f t="shared" si="3"/>
        <v>154</v>
      </c>
      <c r="L68" s="288">
        <v>4.5</v>
      </c>
      <c r="M68" s="62">
        <v>693</v>
      </c>
      <c r="N68" s="62">
        <v>5</v>
      </c>
      <c r="O68" s="150">
        <v>4100000</v>
      </c>
      <c r="P68" s="351">
        <v>5</v>
      </c>
      <c r="Q68" s="49"/>
      <c r="R68" s="49"/>
      <c r="S68" s="56"/>
      <c r="T68" s="280">
        <v>18</v>
      </c>
      <c r="U68" s="62">
        <v>1392</v>
      </c>
      <c r="V68" s="62">
        <v>85</v>
      </c>
      <c r="W68" s="288">
        <v>1.6</v>
      </c>
      <c r="X68" s="79" t="s">
        <v>1511</v>
      </c>
      <c r="Y68" s="352">
        <v>401.8</v>
      </c>
      <c r="Z68" s="62">
        <v>4</v>
      </c>
      <c r="AA68" s="150">
        <v>4300000</v>
      </c>
      <c r="AB68" s="351">
        <v>5</v>
      </c>
      <c r="AC68" s="49"/>
      <c r="AD68" s="49"/>
      <c r="AE68" s="49"/>
      <c r="AF68" s="49"/>
      <c r="AG68" s="49"/>
      <c r="AH68" s="49"/>
      <c r="AI68" s="49"/>
      <c r="AJ68" s="49"/>
      <c r="AK68" s="49"/>
      <c r="AL68" s="49"/>
      <c r="AM68" s="49"/>
      <c r="AN68" s="49"/>
      <c r="AO68" s="49"/>
      <c r="AP68" s="49"/>
      <c r="AQ68" s="49"/>
      <c r="AR68" s="49"/>
      <c r="AS68" s="49"/>
      <c r="AT68" s="49"/>
      <c r="AU68" s="49"/>
    </row>
    <row r="69" spans="1:47">
      <c r="A69" s="49"/>
      <c r="B69" s="49"/>
      <c r="C69" s="49"/>
      <c r="D69" s="49"/>
      <c r="E69" s="49"/>
      <c r="F69" s="49"/>
      <c r="G69" s="49"/>
      <c r="H69" s="49"/>
      <c r="I69" s="49"/>
      <c r="J69" s="49"/>
      <c r="K69" s="49"/>
      <c r="L69" s="49"/>
      <c r="M69" s="49"/>
      <c r="N69" s="49"/>
      <c r="O69" s="49"/>
      <c r="P69" s="49"/>
      <c r="Q69" s="49"/>
      <c r="R69" s="49"/>
      <c r="S69" s="49"/>
      <c r="T69" s="49" t="s">
        <v>1512</v>
      </c>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row>
    <row r="70" spans="1:47">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row>
    <row r="71" spans="1:47">
      <c r="A71" s="49"/>
      <c r="B71" s="49"/>
      <c r="C71" s="49"/>
      <c r="D71" s="49"/>
      <c r="E71" s="49"/>
      <c r="F71" s="49" t="s">
        <v>1513</v>
      </c>
      <c r="G71" s="49"/>
      <c r="H71" s="49" t="s">
        <v>1514</v>
      </c>
      <c r="I71" s="49"/>
      <c r="J71" s="49"/>
      <c r="K71" s="49"/>
      <c r="L71" s="49"/>
      <c r="M71" s="49"/>
      <c r="N71" s="137" t="s">
        <v>1084</v>
      </c>
      <c r="O71" s="49"/>
      <c r="P71" s="49"/>
      <c r="Q71" s="49"/>
      <c r="R71" s="49" t="s">
        <v>1515</v>
      </c>
      <c r="S71" s="49"/>
      <c r="T71" s="49" t="s">
        <v>1516</v>
      </c>
      <c r="U71" s="49"/>
      <c r="V71" s="49"/>
      <c r="W71" s="49"/>
      <c r="X71" s="49"/>
      <c r="Y71" s="49"/>
      <c r="Z71" s="49"/>
      <c r="AA71" s="49"/>
      <c r="AB71" s="49"/>
      <c r="AC71" s="137" t="s">
        <v>534</v>
      </c>
      <c r="AD71" s="49"/>
      <c r="AE71" s="49"/>
      <c r="AF71" s="49"/>
      <c r="AG71" s="49"/>
      <c r="AH71" s="49"/>
      <c r="AI71" s="49"/>
      <c r="AJ71" s="49"/>
      <c r="AK71" s="49"/>
      <c r="AL71" s="49"/>
      <c r="AM71" s="49"/>
      <c r="AN71" s="49"/>
      <c r="AO71" s="49"/>
      <c r="AP71" s="49"/>
      <c r="AQ71" s="49"/>
      <c r="AR71" s="49"/>
      <c r="AS71" s="49"/>
      <c r="AT71" s="49"/>
      <c r="AU71" s="49"/>
    </row>
    <row r="72" spans="1:47">
      <c r="A72" s="49"/>
      <c r="B72" s="49"/>
      <c r="C72" s="49"/>
      <c r="D72" s="49"/>
      <c r="E72" s="49"/>
      <c r="F72" s="84" t="s">
        <v>242</v>
      </c>
      <c r="G72" s="85"/>
      <c r="H72" s="65" t="s">
        <v>243</v>
      </c>
      <c r="I72" s="65" t="s">
        <v>244</v>
      </c>
      <c r="J72" s="65" t="s">
        <v>245</v>
      </c>
      <c r="K72" s="65" t="s">
        <v>250</v>
      </c>
      <c r="L72" s="65" t="s">
        <v>1517</v>
      </c>
      <c r="M72" s="65" t="s">
        <v>1446</v>
      </c>
      <c r="N72" s="65" t="s">
        <v>246</v>
      </c>
      <c r="O72" s="65" t="s">
        <v>247</v>
      </c>
      <c r="P72" s="49"/>
      <c r="Q72" s="49"/>
      <c r="R72" s="84" t="s">
        <v>248</v>
      </c>
      <c r="S72" s="85"/>
      <c r="T72" s="108" t="s">
        <v>243</v>
      </c>
      <c r="U72" s="65" t="s">
        <v>244</v>
      </c>
      <c r="V72" s="65" t="s">
        <v>245</v>
      </c>
      <c r="W72" s="65" t="s">
        <v>250</v>
      </c>
      <c r="X72" s="65" t="s">
        <v>1518</v>
      </c>
      <c r="Y72" s="65" t="s">
        <v>267</v>
      </c>
      <c r="Z72" s="65" t="s">
        <v>546</v>
      </c>
      <c r="AA72" s="65" t="s">
        <v>1519</v>
      </c>
      <c r="AB72" s="65" t="s">
        <v>1446</v>
      </c>
      <c r="AC72" s="65" t="s">
        <v>1483</v>
      </c>
      <c r="AD72" s="65" t="s">
        <v>247</v>
      </c>
      <c r="AE72" s="49"/>
      <c r="AF72" s="49"/>
      <c r="AG72" s="49"/>
      <c r="AH72" s="49"/>
      <c r="AI72" s="49"/>
      <c r="AJ72" s="49"/>
      <c r="AK72" s="49"/>
      <c r="AL72" s="49"/>
      <c r="AM72" s="49"/>
      <c r="AN72" s="49"/>
      <c r="AO72" s="49"/>
      <c r="AP72" s="49"/>
      <c r="AQ72" s="49"/>
      <c r="AR72" s="49"/>
      <c r="AS72" s="49"/>
      <c r="AT72" s="49"/>
      <c r="AU72" s="49"/>
    </row>
    <row r="73" spans="1:47">
      <c r="A73" s="49"/>
      <c r="B73" s="49"/>
      <c r="C73" s="49"/>
      <c r="D73" s="49"/>
      <c r="E73" s="49"/>
      <c r="F73" s="70" t="s">
        <v>1520</v>
      </c>
      <c r="G73" s="86"/>
      <c r="H73" s="99">
        <v>1</v>
      </c>
      <c r="I73" s="62">
        <v>200</v>
      </c>
      <c r="J73" s="62">
        <v>85</v>
      </c>
      <c r="K73" s="352">
        <f>J73*1.2</f>
        <v>102</v>
      </c>
      <c r="L73" s="62"/>
      <c r="M73" s="62">
        <v>2</v>
      </c>
      <c r="N73" s="62"/>
      <c r="O73" s="351"/>
      <c r="P73" s="49"/>
      <c r="Q73" s="49"/>
      <c r="R73" s="70" t="s">
        <v>554</v>
      </c>
      <c r="S73" s="353"/>
      <c r="T73" s="90">
        <v>1</v>
      </c>
      <c r="U73" s="62">
        <v>200</v>
      </c>
      <c r="V73" s="62">
        <v>90</v>
      </c>
      <c r="W73" s="352">
        <f>V73*0.7</f>
        <v>62.999999999999993</v>
      </c>
      <c r="X73" s="62" t="s">
        <v>1521</v>
      </c>
      <c r="Y73" s="62">
        <v>2</v>
      </c>
      <c r="Z73" s="62">
        <v>3</v>
      </c>
      <c r="AA73" s="62"/>
      <c r="AB73" s="62">
        <v>2</v>
      </c>
      <c r="AC73" s="62"/>
      <c r="AD73" s="351"/>
      <c r="AE73" s="49"/>
      <c r="AF73" s="49"/>
      <c r="AG73" s="49"/>
      <c r="AH73" s="49"/>
      <c r="AI73" s="49"/>
      <c r="AJ73" s="49"/>
      <c r="AK73" s="49"/>
      <c r="AL73" s="49"/>
      <c r="AM73" s="49"/>
      <c r="AN73" s="49"/>
      <c r="AO73" s="49"/>
      <c r="AP73" s="49"/>
      <c r="AQ73" s="49"/>
      <c r="AR73" s="49"/>
      <c r="AS73" s="49"/>
      <c r="AT73" s="49"/>
      <c r="AU73" s="49"/>
    </row>
    <row r="74" spans="1:47">
      <c r="A74" s="49"/>
      <c r="B74" s="49"/>
      <c r="C74" s="49"/>
      <c r="D74" s="49"/>
      <c r="E74" s="49"/>
      <c r="F74" s="70" t="s">
        <v>1522</v>
      </c>
      <c r="G74" s="86"/>
      <c r="H74" s="99">
        <v>2</v>
      </c>
      <c r="I74" s="62">
        <v>200</v>
      </c>
      <c r="J74" s="62">
        <v>85</v>
      </c>
      <c r="K74" s="352">
        <f t="shared" ref="K74:K90" si="4">J74*1.2</f>
        <v>102</v>
      </c>
      <c r="L74" s="62">
        <v>100</v>
      </c>
      <c r="M74" s="62">
        <v>2</v>
      </c>
      <c r="N74" s="150">
        <v>400000</v>
      </c>
      <c r="O74" s="351">
        <v>0.5</v>
      </c>
      <c r="P74" s="49"/>
      <c r="Q74" s="49"/>
      <c r="R74" s="70" t="s">
        <v>1523</v>
      </c>
      <c r="S74" s="353"/>
      <c r="T74" s="90">
        <v>2</v>
      </c>
      <c r="U74" s="62">
        <v>200</v>
      </c>
      <c r="V74" s="62">
        <v>90</v>
      </c>
      <c r="W74" s="352">
        <f t="shared" ref="W74:W90" si="5">V74*0.7</f>
        <v>62.999999999999993</v>
      </c>
      <c r="X74" s="62" t="s">
        <v>1524</v>
      </c>
      <c r="Y74" s="62">
        <v>2</v>
      </c>
      <c r="Z74" s="62">
        <v>3</v>
      </c>
      <c r="AA74" s="62"/>
      <c r="AB74" s="62">
        <v>2</v>
      </c>
      <c r="AC74" s="150">
        <v>600000</v>
      </c>
      <c r="AD74" s="351">
        <v>0.5</v>
      </c>
      <c r="AE74" s="49"/>
      <c r="AF74" s="49"/>
      <c r="AG74" s="49"/>
      <c r="AH74" s="49"/>
      <c r="AI74" s="49"/>
      <c r="AJ74" s="49"/>
      <c r="AK74" s="49"/>
      <c r="AL74" s="49"/>
      <c r="AM74" s="49"/>
      <c r="AN74" s="49"/>
      <c r="AO74" s="49"/>
      <c r="AP74" s="49"/>
      <c r="AQ74" s="49"/>
      <c r="AR74" s="49"/>
      <c r="AS74" s="49"/>
      <c r="AT74" s="49"/>
      <c r="AU74" s="49"/>
    </row>
    <row r="75" spans="1:47">
      <c r="A75" s="49"/>
      <c r="B75" s="49"/>
      <c r="C75" s="49"/>
      <c r="D75" s="49"/>
      <c r="E75" s="49"/>
      <c r="F75" s="88" t="s">
        <v>279</v>
      </c>
      <c r="G75" s="89"/>
      <c r="H75" s="99">
        <v>3</v>
      </c>
      <c r="I75" s="62">
        <v>220</v>
      </c>
      <c r="J75" s="62">
        <v>94</v>
      </c>
      <c r="K75" s="352">
        <f t="shared" si="4"/>
        <v>112.8</v>
      </c>
      <c r="L75" s="62">
        <v>100</v>
      </c>
      <c r="M75" s="62">
        <v>2</v>
      </c>
      <c r="N75" s="150">
        <v>500000</v>
      </c>
      <c r="O75" s="351">
        <v>0.5</v>
      </c>
      <c r="P75" s="49"/>
      <c r="Q75" s="49"/>
      <c r="R75" s="88" t="s">
        <v>281</v>
      </c>
      <c r="S75" s="354"/>
      <c r="T75" s="90">
        <v>3</v>
      </c>
      <c r="U75" s="62">
        <v>220</v>
      </c>
      <c r="V75" s="62">
        <v>99</v>
      </c>
      <c r="W75" s="352">
        <f t="shared" si="5"/>
        <v>69.3</v>
      </c>
      <c r="X75" s="62" t="s">
        <v>1524</v>
      </c>
      <c r="Y75" s="62">
        <v>2</v>
      </c>
      <c r="Z75" s="62">
        <v>3</v>
      </c>
      <c r="AA75" s="62"/>
      <c r="AB75" s="62">
        <v>2</v>
      </c>
      <c r="AC75" s="150">
        <v>700000</v>
      </c>
      <c r="AD75" s="351">
        <v>0.5</v>
      </c>
      <c r="AE75" s="49"/>
      <c r="AF75" s="49"/>
      <c r="AG75" s="49"/>
      <c r="AH75" s="49"/>
      <c r="AI75" s="49"/>
      <c r="AJ75" s="49"/>
      <c r="AK75" s="49"/>
      <c r="AL75" s="49"/>
      <c r="AM75" s="49"/>
      <c r="AN75" s="49"/>
      <c r="AO75" s="49"/>
      <c r="AP75" s="49"/>
      <c r="AQ75" s="49"/>
      <c r="AR75" s="49"/>
      <c r="AS75" s="49"/>
      <c r="AT75" s="49"/>
      <c r="AU75" s="49"/>
    </row>
    <row r="76" spans="1:47">
      <c r="A76" s="49"/>
      <c r="B76" s="49"/>
      <c r="C76" s="49"/>
      <c r="D76" s="49"/>
      <c r="E76" s="49"/>
      <c r="F76" s="84" t="s">
        <v>287</v>
      </c>
      <c r="G76" s="85"/>
      <c r="H76" s="99">
        <v>4</v>
      </c>
      <c r="I76" s="62">
        <v>220</v>
      </c>
      <c r="J76" s="62">
        <v>94</v>
      </c>
      <c r="K76" s="352">
        <f t="shared" si="4"/>
        <v>112.8</v>
      </c>
      <c r="L76" s="62">
        <v>150</v>
      </c>
      <c r="M76" s="62">
        <v>2</v>
      </c>
      <c r="N76" s="150">
        <v>600000</v>
      </c>
      <c r="O76" s="351">
        <v>1</v>
      </c>
      <c r="P76" s="49"/>
      <c r="Q76" s="49"/>
      <c r="R76" s="84" t="s">
        <v>1500</v>
      </c>
      <c r="S76" s="355"/>
      <c r="T76" s="90">
        <v>4</v>
      </c>
      <c r="U76" s="62">
        <v>220</v>
      </c>
      <c r="V76" s="62">
        <v>99</v>
      </c>
      <c r="W76" s="352">
        <f t="shared" si="5"/>
        <v>69.3</v>
      </c>
      <c r="X76" s="62" t="s">
        <v>1524</v>
      </c>
      <c r="Y76" s="62">
        <v>2</v>
      </c>
      <c r="Z76" s="62">
        <v>3</v>
      </c>
      <c r="AA76" s="62">
        <v>2</v>
      </c>
      <c r="AB76" s="62">
        <v>2</v>
      </c>
      <c r="AC76" s="150">
        <v>800000</v>
      </c>
      <c r="AD76" s="351">
        <v>1</v>
      </c>
      <c r="AE76" s="49"/>
      <c r="AF76" s="49"/>
      <c r="AG76" s="49"/>
      <c r="AH76" s="49"/>
      <c r="AI76" s="49"/>
      <c r="AJ76" s="49"/>
      <c r="AK76" s="49"/>
      <c r="AL76" s="49"/>
      <c r="AM76" s="49"/>
      <c r="AN76" s="49"/>
      <c r="AO76" s="49"/>
      <c r="AP76" s="49"/>
      <c r="AQ76" s="49"/>
      <c r="AR76" s="49"/>
      <c r="AS76" s="49"/>
      <c r="AT76" s="49"/>
      <c r="AU76" s="49"/>
    </row>
    <row r="77" spans="1:47">
      <c r="A77" s="49"/>
      <c r="B77" s="49"/>
      <c r="C77" s="49"/>
      <c r="D77" s="49"/>
      <c r="E77" s="49"/>
      <c r="F77" s="70" t="s">
        <v>1525</v>
      </c>
      <c r="G77" s="86"/>
      <c r="H77" s="99">
        <v>5</v>
      </c>
      <c r="I77" s="62">
        <v>242</v>
      </c>
      <c r="J77" s="62">
        <v>103</v>
      </c>
      <c r="K77" s="352">
        <f t="shared" si="4"/>
        <v>123.6</v>
      </c>
      <c r="L77" s="62">
        <v>150</v>
      </c>
      <c r="M77" s="62">
        <v>2</v>
      </c>
      <c r="N77" s="150">
        <v>700000</v>
      </c>
      <c r="O77" s="351">
        <v>1</v>
      </c>
      <c r="P77" s="49"/>
      <c r="Q77" s="49"/>
      <c r="R77" s="70" t="s">
        <v>1526</v>
      </c>
      <c r="S77" s="353"/>
      <c r="T77" s="90">
        <v>5</v>
      </c>
      <c r="U77" s="62">
        <v>242</v>
      </c>
      <c r="V77" s="62">
        <v>109</v>
      </c>
      <c r="W77" s="352">
        <f t="shared" si="5"/>
        <v>76.3</v>
      </c>
      <c r="X77" s="62" t="s">
        <v>1524</v>
      </c>
      <c r="Y77" s="62">
        <v>2</v>
      </c>
      <c r="Z77" s="62">
        <v>3</v>
      </c>
      <c r="AA77" s="62">
        <v>2</v>
      </c>
      <c r="AB77" s="62">
        <v>2</v>
      </c>
      <c r="AC77" s="150">
        <v>900000</v>
      </c>
      <c r="AD77" s="351">
        <v>1</v>
      </c>
      <c r="AE77" s="49"/>
      <c r="AF77" s="49"/>
      <c r="AG77" s="49"/>
      <c r="AH77" s="49"/>
      <c r="AI77" s="49"/>
      <c r="AJ77" s="49"/>
      <c r="AK77" s="49"/>
      <c r="AL77" s="49"/>
      <c r="AM77" s="49"/>
      <c r="AN77" s="49"/>
      <c r="AO77" s="49"/>
      <c r="AP77" s="49"/>
      <c r="AQ77" s="49"/>
      <c r="AR77" s="49"/>
      <c r="AS77" s="49"/>
      <c r="AT77" s="49"/>
      <c r="AU77" s="49"/>
    </row>
    <row r="78" spans="1:47">
      <c r="A78" s="49"/>
      <c r="B78" s="49"/>
      <c r="C78" s="49"/>
      <c r="D78" s="49"/>
      <c r="E78" s="49"/>
      <c r="F78" s="88" t="s">
        <v>1527</v>
      </c>
      <c r="G78" s="89"/>
      <c r="H78" s="99">
        <v>6</v>
      </c>
      <c r="I78" s="62">
        <v>242</v>
      </c>
      <c r="J78" s="62">
        <v>120</v>
      </c>
      <c r="K78" s="352">
        <f t="shared" si="4"/>
        <v>144</v>
      </c>
      <c r="L78" s="62">
        <v>150</v>
      </c>
      <c r="M78" s="62">
        <v>2</v>
      </c>
      <c r="N78" s="150">
        <v>800000</v>
      </c>
      <c r="O78" s="351">
        <v>1</v>
      </c>
      <c r="P78" s="49"/>
      <c r="Q78" s="49"/>
      <c r="R78" s="70" t="s">
        <v>1528</v>
      </c>
      <c r="S78" s="353"/>
      <c r="T78" s="90">
        <v>6</v>
      </c>
      <c r="U78" s="62">
        <v>242</v>
      </c>
      <c r="V78" s="62">
        <v>109</v>
      </c>
      <c r="W78" s="352">
        <f t="shared" si="5"/>
        <v>76.3</v>
      </c>
      <c r="X78" s="62" t="s">
        <v>1521</v>
      </c>
      <c r="Y78" s="62">
        <v>3</v>
      </c>
      <c r="Z78" s="62">
        <v>4</v>
      </c>
      <c r="AA78" s="62">
        <v>2</v>
      </c>
      <c r="AB78" s="62">
        <v>2</v>
      </c>
      <c r="AC78" s="150">
        <v>1000000</v>
      </c>
      <c r="AD78" s="351">
        <v>2</v>
      </c>
      <c r="AE78" s="49"/>
      <c r="AF78" s="49"/>
      <c r="AG78" s="49"/>
      <c r="AH78" s="49"/>
      <c r="AI78" s="49"/>
      <c r="AJ78" s="49"/>
      <c r="AK78" s="49"/>
      <c r="AL78" s="49"/>
      <c r="AM78" s="49"/>
      <c r="AN78" s="49"/>
      <c r="AO78" s="49"/>
      <c r="AP78" s="49"/>
      <c r="AQ78" s="49"/>
      <c r="AR78" s="49"/>
      <c r="AS78" s="49"/>
      <c r="AT78" s="49"/>
      <c r="AU78" s="49"/>
    </row>
    <row r="79" spans="1:47">
      <c r="A79" s="49"/>
      <c r="B79" s="49"/>
      <c r="C79" s="49"/>
      <c r="D79" s="49"/>
      <c r="E79" s="49"/>
      <c r="F79" s="70" t="s">
        <v>1489</v>
      </c>
      <c r="G79" s="85"/>
      <c r="H79" s="99">
        <v>7</v>
      </c>
      <c r="I79" s="62">
        <v>266</v>
      </c>
      <c r="J79" s="62">
        <v>130</v>
      </c>
      <c r="K79" s="352">
        <f t="shared" si="4"/>
        <v>156</v>
      </c>
      <c r="L79" s="62">
        <v>150</v>
      </c>
      <c r="M79" s="62">
        <v>2</v>
      </c>
      <c r="N79" s="150">
        <v>900000</v>
      </c>
      <c r="O79" s="351">
        <v>1</v>
      </c>
      <c r="P79" s="49"/>
      <c r="Q79" s="49"/>
      <c r="R79" s="84" t="s">
        <v>1529</v>
      </c>
      <c r="S79" s="355"/>
      <c r="T79" s="90">
        <v>7</v>
      </c>
      <c r="U79" s="62">
        <v>266</v>
      </c>
      <c r="V79" s="62">
        <v>120</v>
      </c>
      <c r="W79" s="352">
        <f t="shared" si="5"/>
        <v>84</v>
      </c>
      <c r="X79" s="62" t="s">
        <v>1521</v>
      </c>
      <c r="Y79" s="62">
        <v>3</v>
      </c>
      <c r="Z79" s="62">
        <v>4</v>
      </c>
      <c r="AA79" s="62">
        <v>2</v>
      </c>
      <c r="AB79" s="62">
        <v>2</v>
      </c>
      <c r="AC79" s="150">
        <v>1100000</v>
      </c>
      <c r="AD79" s="351">
        <v>2</v>
      </c>
      <c r="AE79" s="49"/>
      <c r="AF79" s="49"/>
      <c r="AG79" s="49"/>
      <c r="AH79" s="49"/>
      <c r="AI79" s="49"/>
      <c r="AJ79" s="49"/>
      <c r="AK79" s="49"/>
      <c r="AL79" s="49"/>
      <c r="AM79" s="49"/>
      <c r="AN79" s="49"/>
      <c r="AO79" s="49"/>
      <c r="AP79" s="49"/>
      <c r="AQ79" s="49"/>
      <c r="AR79" s="49"/>
      <c r="AS79" s="49"/>
      <c r="AT79" s="49"/>
      <c r="AU79" s="49"/>
    </row>
    <row r="80" spans="1:47">
      <c r="A80" s="49"/>
      <c r="B80" s="49"/>
      <c r="C80" s="49"/>
      <c r="D80" s="49"/>
      <c r="E80" s="49"/>
      <c r="F80" s="49"/>
      <c r="G80" s="56"/>
      <c r="H80" s="99">
        <v>8</v>
      </c>
      <c r="I80" s="62">
        <v>266</v>
      </c>
      <c r="J80" s="62">
        <v>130</v>
      </c>
      <c r="K80" s="352">
        <f t="shared" si="4"/>
        <v>156</v>
      </c>
      <c r="L80" s="62">
        <v>200</v>
      </c>
      <c r="M80" s="62">
        <v>2</v>
      </c>
      <c r="N80" s="150">
        <v>1000000</v>
      </c>
      <c r="O80" s="351">
        <v>1</v>
      </c>
      <c r="P80" s="49"/>
      <c r="Q80" s="49"/>
      <c r="R80" s="49" t="s">
        <v>1530</v>
      </c>
      <c r="S80" s="97"/>
      <c r="T80" s="90">
        <v>8</v>
      </c>
      <c r="U80" s="62">
        <v>266</v>
      </c>
      <c r="V80" s="62">
        <v>120</v>
      </c>
      <c r="W80" s="352">
        <f t="shared" si="5"/>
        <v>84</v>
      </c>
      <c r="X80" s="62" t="s">
        <v>1524</v>
      </c>
      <c r="Y80" s="62">
        <v>3</v>
      </c>
      <c r="Z80" s="62">
        <v>4</v>
      </c>
      <c r="AA80" s="62">
        <v>2</v>
      </c>
      <c r="AB80" s="62">
        <v>2</v>
      </c>
      <c r="AC80" s="150">
        <v>1200000</v>
      </c>
      <c r="AD80" s="351">
        <v>2</v>
      </c>
      <c r="AE80" s="49"/>
      <c r="AF80" s="49"/>
      <c r="AG80" s="49"/>
      <c r="AH80" s="49"/>
      <c r="AI80" s="49"/>
      <c r="AJ80" s="49"/>
      <c r="AK80" s="49"/>
      <c r="AL80" s="49"/>
      <c r="AM80" s="49"/>
      <c r="AN80" s="49"/>
      <c r="AO80" s="49"/>
      <c r="AP80" s="49"/>
      <c r="AQ80" s="49"/>
      <c r="AR80" s="49"/>
      <c r="AS80" s="49"/>
      <c r="AT80" s="49"/>
      <c r="AU80" s="49"/>
    </row>
    <row r="81" spans="1:47">
      <c r="A81" s="49"/>
      <c r="B81" s="49"/>
      <c r="C81" s="49"/>
      <c r="D81" s="49"/>
      <c r="E81" s="49"/>
      <c r="F81" s="49"/>
      <c r="G81" s="56"/>
      <c r="H81" s="99">
        <v>9</v>
      </c>
      <c r="I81" s="62">
        <v>293</v>
      </c>
      <c r="J81" s="62">
        <v>141</v>
      </c>
      <c r="K81" s="352">
        <f t="shared" si="4"/>
        <v>169.2</v>
      </c>
      <c r="L81" s="62">
        <v>200</v>
      </c>
      <c r="M81" s="62">
        <v>2</v>
      </c>
      <c r="N81" s="150">
        <v>1100000</v>
      </c>
      <c r="O81" s="351">
        <v>1</v>
      </c>
      <c r="P81" s="49"/>
      <c r="Q81" s="49"/>
      <c r="R81" s="49" t="s">
        <v>1531</v>
      </c>
      <c r="S81" s="97"/>
      <c r="T81" s="90">
        <v>9</v>
      </c>
      <c r="U81" s="62">
        <v>293</v>
      </c>
      <c r="V81" s="62">
        <v>132</v>
      </c>
      <c r="W81" s="352">
        <f t="shared" si="5"/>
        <v>92.399999999999991</v>
      </c>
      <c r="X81" s="62" t="s">
        <v>1524</v>
      </c>
      <c r="Y81" s="62">
        <v>3</v>
      </c>
      <c r="Z81" s="62">
        <v>4</v>
      </c>
      <c r="AA81" s="62">
        <v>2</v>
      </c>
      <c r="AB81" s="62">
        <v>2</v>
      </c>
      <c r="AC81" s="150">
        <v>1300000</v>
      </c>
      <c r="AD81" s="351">
        <v>2</v>
      </c>
      <c r="AE81" s="49"/>
      <c r="AF81" s="49"/>
      <c r="AG81" s="49"/>
      <c r="AH81" s="49"/>
      <c r="AI81" s="49"/>
      <c r="AJ81" s="49"/>
      <c r="AK81" s="49"/>
      <c r="AL81" s="49"/>
      <c r="AM81" s="49"/>
      <c r="AN81" s="49"/>
      <c r="AO81" s="49"/>
      <c r="AP81" s="49"/>
      <c r="AQ81" s="49"/>
      <c r="AR81" s="49"/>
      <c r="AS81" s="49"/>
      <c r="AT81" s="49"/>
      <c r="AU81" s="49"/>
    </row>
    <row r="82" spans="1:47">
      <c r="A82" s="49"/>
      <c r="B82" s="49"/>
      <c r="C82" s="49"/>
      <c r="D82" s="49"/>
      <c r="E82" s="49"/>
      <c r="F82" s="49"/>
      <c r="G82" s="56"/>
      <c r="H82" s="99">
        <v>10</v>
      </c>
      <c r="I82" s="62">
        <v>293</v>
      </c>
      <c r="J82" s="62">
        <v>141</v>
      </c>
      <c r="K82" s="352">
        <f t="shared" si="4"/>
        <v>169.2</v>
      </c>
      <c r="L82" s="62">
        <v>200</v>
      </c>
      <c r="M82" s="62">
        <v>3</v>
      </c>
      <c r="N82" s="150">
        <v>1200000</v>
      </c>
      <c r="O82" s="351">
        <v>1</v>
      </c>
      <c r="P82" s="49"/>
      <c r="Q82" s="49"/>
      <c r="R82" s="49" t="s">
        <v>1532</v>
      </c>
      <c r="S82" s="97"/>
      <c r="T82" s="90">
        <v>10</v>
      </c>
      <c r="U82" s="62">
        <v>293</v>
      </c>
      <c r="V82" s="62">
        <v>132</v>
      </c>
      <c r="W82" s="352">
        <f t="shared" si="5"/>
        <v>92.399999999999991</v>
      </c>
      <c r="X82" s="62" t="s">
        <v>1524</v>
      </c>
      <c r="Y82" s="62">
        <v>3</v>
      </c>
      <c r="Z82" s="62">
        <v>4</v>
      </c>
      <c r="AA82" s="62">
        <v>4</v>
      </c>
      <c r="AB82" s="62">
        <v>2</v>
      </c>
      <c r="AC82" s="150">
        <v>1400000</v>
      </c>
      <c r="AD82" s="351">
        <v>2</v>
      </c>
      <c r="AE82" s="49"/>
      <c r="AF82" s="49"/>
      <c r="AG82" s="49"/>
      <c r="AH82" s="49"/>
      <c r="AI82" s="49"/>
      <c r="AJ82" s="49"/>
      <c r="AK82" s="49"/>
      <c r="AL82" s="49"/>
      <c r="AM82" s="49"/>
      <c r="AN82" s="49"/>
      <c r="AO82" s="49"/>
      <c r="AP82" s="49"/>
      <c r="AQ82" s="49"/>
      <c r="AR82" s="49"/>
      <c r="AS82" s="49"/>
      <c r="AT82" s="49"/>
      <c r="AU82" s="49"/>
    </row>
    <row r="83" spans="1:47">
      <c r="A83" s="49"/>
      <c r="B83" s="49"/>
      <c r="C83" s="49"/>
      <c r="D83" s="49"/>
      <c r="E83" s="49"/>
      <c r="F83" s="49"/>
      <c r="G83" s="56"/>
      <c r="H83" s="90">
        <v>11</v>
      </c>
      <c r="I83" s="62">
        <v>322</v>
      </c>
      <c r="J83" s="62">
        <v>153</v>
      </c>
      <c r="K83" s="352">
        <f t="shared" si="4"/>
        <v>183.6</v>
      </c>
      <c r="L83" s="62">
        <v>200</v>
      </c>
      <c r="M83" s="62">
        <v>3</v>
      </c>
      <c r="N83" s="150">
        <v>1400000</v>
      </c>
      <c r="O83" s="351">
        <v>2</v>
      </c>
      <c r="P83" s="49"/>
      <c r="Q83" s="49"/>
      <c r="R83" s="49" t="s">
        <v>1533</v>
      </c>
      <c r="S83" s="97"/>
      <c r="T83" s="90">
        <v>11</v>
      </c>
      <c r="U83" s="62">
        <v>322</v>
      </c>
      <c r="V83" s="62">
        <v>145</v>
      </c>
      <c r="W83" s="352">
        <f t="shared" si="5"/>
        <v>101.5</v>
      </c>
      <c r="X83" s="62" t="s">
        <v>1524</v>
      </c>
      <c r="Y83" s="62">
        <v>3</v>
      </c>
      <c r="Z83" s="62">
        <v>4</v>
      </c>
      <c r="AA83" s="62">
        <v>4</v>
      </c>
      <c r="AB83" s="62">
        <v>2</v>
      </c>
      <c r="AC83" s="150">
        <v>1600000</v>
      </c>
      <c r="AD83" s="351">
        <v>2</v>
      </c>
      <c r="AE83" s="49"/>
      <c r="AF83" s="49"/>
      <c r="AG83" s="49"/>
      <c r="AH83" s="49"/>
      <c r="AI83" s="49"/>
      <c r="AJ83" s="49"/>
      <c r="AK83" s="49"/>
      <c r="AL83" s="49"/>
      <c r="AM83" s="49"/>
      <c r="AN83" s="49"/>
      <c r="AO83" s="49"/>
      <c r="AP83" s="49"/>
      <c r="AQ83" s="49"/>
      <c r="AR83" s="49"/>
      <c r="AS83" s="49"/>
      <c r="AT83" s="49"/>
      <c r="AU83" s="49"/>
    </row>
    <row r="84" spans="1:47">
      <c r="A84" s="49"/>
      <c r="B84" s="49"/>
      <c r="C84" s="49"/>
      <c r="D84" s="49"/>
      <c r="E84" s="49"/>
      <c r="F84" s="49"/>
      <c r="G84" s="56"/>
      <c r="H84" s="90">
        <v>12</v>
      </c>
      <c r="I84" s="62">
        <v>322</v>
      </c>
      <c r="J84" s="62">
        <v>153</v>
      </c>
      <c r="K84" s="352">
        <f t="shared" si="4"/>
        <v>183.6</v>
      </c>
      <c r="L84" s="62">
        <v>300</v>
      </c>
      <c r="M84" s="62">
        <v>3</v>
      </c>
      <c r="N84" s="150">
        <v>1600000</v>
      </c>
      <c r="O84" s="351">
        <v>2</v>
      </c>
      <c r="P84" s="49"/>
      <c r="Q84" s="49"/>
      <c r="R84" s="49" t="s">
        <v>1534</v>
      </c>
      <c r="S84" s="97"/>
      <c r="T84" s="90">
        <v>12</v>
      </c>
      <c r="U84" s="62">
        <v>322</v>
      </c>
      <c r="V84" s="62">
        <v>145</v>
      </c>
      <c r="W84" s="352">
        <f t="shared" si="5"/>
        <v>101.5</v>
      </c>
      <c r="X84" s="62" t="s">
        <v>1521</v>
      </c>
      <c r="Y84" s="62">
        <v>4</v>
      </c>
      <c r="Z84" s="62">
        <v>5</v>
      </c>
      <c r="AA84" s="62">
        <v>4</v>
      </c>
      <c r="AB84" s="62">
        <v>2</v>
      </c>
      <c r="AC84" s="150">
        <v>1800000</v>
      </c>
      <c r="AD84" s="351">
        <v>2</v>
      </c>
      <c r="AE84" s="49"/>
      <c r="AF84" s="49"/>
      <c r="AG84" s="49"/>
      <c r="AH84" s="49"/>
      <c r="AI84" s="49"/>
      <c r="AJ84" s="49"/>
      <c r="AK84" s="49"/>
      <c r="AL84" s="49"/>
      <c r="AM84" s="49"/>
      <c r="AN84" s="49"/>
      <c r="AO84" s="49"/>
      <c r="AP84" s="49"/>
      <c r="AQ84" s="49"/>
      <c r="AR84" s="49"/>
      <c r="AS84" s="49"/>
      <c r="AT84" s="49"/>
      <c r="AU84" s="49"/>
    </row>
    <row r="85" spans="1:47">
      <c r="A85" s="49"/>
      <c r="B85" s="49"/>
      <c r="C85" s="49"/>
      <c r="D85" s="49"/>
      <c r="E85" s="49"/>
      <c r="F85" s="49"/>
      <c r="G85" s="56"/>
      <c r="H85" s="278">
        <v>13</v>
      </c>
      <c r="I85" s="62">
        <v>354</v>
      </c>
      <c r="J85" s="62">
        <v>167</v>
      </c>
      <c r="K85" s="352">
        <f t="shared" si="4"/>
        <v>200.4</v>
      </c>
      <c r="L85" s="62">
        <v>300</v>
      </c>
      <c r="M85" s="62">
        <v>3</v>
      </c>
      <c r="N85" s="150">
        <v>2400000</v>
      </c>
      <c r="O85" s="351">
        <v>3</v>
      </c>
      <c r="P85" s="49"/>
      <c r="Q85" s="49"/>
      <c r="R85" s="49" t="s">
        <v>1535</v>
      </c>
      <c r="S85" s="97"/>
      <c r="T85" s="278">
        <v>13</v>
      </c>
      <c r="U85" s="62">
        <v>354</v>
      </c>
      <c r="V85" s="62">
        <v>160</v>
      </c>
      <c r="W85" s="352">
        <f t="shared" si="5"/>
        <v>112</v>
      </c>
      <c r="X85" s="62" t="s">
        <v>1521</v>
      </c>
      <c r="Y85" s="62">
        <v>4</v>
      </c>
      <c r="Z85" s="62">
        <v>5</v>
      </c>
      <c r="AA85" s="62">
        <v>4</v>
      </c>
      <c r="AB85" s="62">
        <v>2</v>
      </c>
      <c r="AC85" s="150">
        <v>2500000</v>
      </c>
      <c r="AD85" s="351">
        <v>3</v>
      </c>
      <c r="AE85" s="49"/>
      <c r="AF85" s="49"/>
      <c r="AG85" s="49"/>
      <c r="AH85" s="49"/>
      <c r="AI85" s="49"/>
      <c r="AJ85" s="49"/>
      <c r="AK85" s="49"/>
      <c r="AL85" s="49"/>
      <c r="AM85" s="49"/>
      <c r="AN85" s="49"/>
      <c r="AO85" s="49"/>
      <c r="AP85" s="49"/>
      <c r="AQ85" s="49"/>
      <c r="AR85" s="49"/>
      <c r="AS85" s="49"/>
      <c r="AT85" s="49"/>
      <c r="AU85" s="49"/>
    </row>
    <row r="86" spans="1:47">
      <c r="A86" s="49"/>
      <c r="B86" s="49"/>
      <c r="C86" s="49"/>
      <c r="D86" s="49"/>
      <c r="E86" s="49"/>
      <c r="F86" s="49"/>
      <c r="G86" s="56"/>
      <c r="H86" s="278">
        <v>14</v>
      </c>
      <c r="I86" s="62">
        <v>354</v>
      </c>
      <c r="J86" s="62">
        <v>184</v>
      </c>
      <c r="K86" s="352">
        <f t="shared" si="4"/>
        <v>220.79999999999998</v>
      </c>
      <c r="L86" s="62">
        <v>300</v>
      </c>
      <c r="M86" s="62">
        <v>3</v>
      </c>
      <c r="N86" s="150">
        <v>2600000</v>
      </c>
      <c r="O86" s="351">
        <v>3</v>
      </c>
      <c r="P86" s="49"/>
      <c r="Q86" s="49"/>
      <c r="R86" s="49"/>
      <c r="S86" s="97"/>
      <c r="T86" s="278">
        <v>14</v>
      </c>
      <c r="U86" s="62">
        <v>354</v>
      </c>
      <c r="V86" s="62">
        <v>160</v>
      </c>
      <c r="W86" s="352">
        <f t="shared" si="5"/>
        <v>112</v>
      </c>
      <c r="X86" s="62" t="s">
        <v>1524</v>
      </c>
      <c r="Y86" s="62">
        <v>4</v>
      </c>
      <c r="Z86" s="62">
        <v>5</v>
      </c>
      <c r="AA86" s="62">
        <v>4</v>
      </c>
      <c r="AB86" s="62">
        <v>2</v>
      </c>
      <c r="AC86" s="150">
        <v>2700000</v>
      </c>
      <c r="AD86" s="351">
        <v>3</v>
      </c>
      <c r="AE86" s="49"/>
      <c r="AF86" s="49"/>
      <c r="AG86" s="49"/>
      <c r="AH86" s="49"/>
      <c r="AI86" s="49"/>
      <c r="AJ86" s="49"/>
      <c r="AK86" s="49"/>
      <c r="AL86" s="49"/>
      <c r="AM86" s="49"/>
      <c r="AN86" s="49"/>
      <c r="AO86" s="49"/>
      <c r="AP86" s="49"/>
      <c r="AQ86" s="49"/>
      <c r="AR86" s="49"/>
      <c r="AS86" s="49"/>
      <c r="AT86" s="49"/>
      <c r="AU86" s="49"/>
    </row>
    <row r="87" spans="1:47">
      <c r="A87" s="49"/>
      <c r="B87" s="49"/>
      <c r="C87" s="49"/>
      <c r="D87" s="49"/>
      <c r="E87" s="49"/>
      <c r="F87" s="49"/>
      <c r="G87" s="56"/>
      <c r="H87" s="279">
        <v>15</v>
      </c>
      <c r="I87" s="62">
        <v>389</v>
      </c>
      <c r="J87" s="62">
        <v>199</v>
      </c>
      <c r="K87" s="352">
        <f t="shared" si="4"/>
        <v>238.79999999999998</v>
      </c>
      <c r="L87" s="62">
        <v>300</v>
      </c>
      <c r="M87" s="62">
        <v>3</v>
      </c>
      <c r="N87" s="150">
        <v>3400000</v>
      </c>
      <c r="O87" s="351">
        <v>4</v>
      </c>
      <c r="P87" s="49"/>
      <c r="Q87" s="49"/>
      <c r="R87" s="49"/>
      <c r="S87" s="97"/>
      <c r="T87" s="279">
        <v>15</v>
      </c>
      <c r="U87" s="62">
        <v>389</v>
      </c>
      <c r="V87" s="62">
        <v>176</v>
      </c>
      <c r="W87" s="352">
        <f t="shared" si="5"/>
        <v>123.19999999999999</v>
      </c>
      <c r="X87" s="62" t="s">
        <v>1524</v>
      </c>
      <c r="Y87" s="62">
        <v>4</v>
      </c>
      <c r="Z87" s="62">
        <v>5</v>
      </c>
      <c r="AA87" s="62">
        <v>4</v>
      </c>
      <c r="AB87" s="62">
        <v>2</v>
      </c>
      <c r="AC87" s="150">
        <v>3500000</v>
      </c>
      <c r="AD87" s="351">
        <v>4</v>
      </c>
      <c r="AE87" s="49"/>
      <c r="AF87" s="49"/>
      <c r="AG87" s="49"/>
      <c r="AH87" s="49"/>
      <c r="AI87" s="49"/>
      <c r="AJ87" s="49"/>
      <c r="AK87" s="49"/>
      <c r="AL87" s="49"/>
      <c r="AM87" s="49"/>
      <c r="AN87" s="49"/>
      <c r="AO87" s="49"/>
      <c r="AP87" s="49"/>
      <c r="AQ87" s="49"/>
      <c r="AR87" s="49"/>
      <c r="AS87" s="49"/>
      <c r="AT87" s="49"/>
      <c r="AU87" s="49"/>
    </row>
    <row r="88" spans="1:47">
      <c r="A88" s="49"/>
      <c r="B88" s="49"/>
      <c r="C88" s="49"/>
      <c r="D88" s="49"/>
      <c r="E88" s="49"/>
      <c r="F88" s="49"/>
      <c r="G88" s="56"/>
      <c r="H88" s="279">
        <v>16</v>
      </c>
      <c r="I88" s="62">
        <v>389</v>
      </c>
      <c r="J88" s="62">
        <v>216</v>
      </c>
      <c r="K88" s="352">
        <f t="shared" si="4"/>
        <v>259.2</v>
      </c>
      <c r="L88" s="62">
        <v>300</v>
      </c>
      <c r="M88" s="62">
        <v>3</v>
      </c>
      <c r="N88" s="150">
        <v>3600000</v>
      </c>
      <c r="O88" s="351">
        <v>4</v>
      </c>
      <c r="P88" s="49"/>
      <c r="Q88" s="49"/>
      <c r="R88" s="49"/>
      <c r="S88" s="97"/>
      <c r="T88" s="279">
        <v>16</v>
      </c>
      <c r="U88" s="62">
        <v>389</v>
      </c>
      <c r="V88" s="62">
        <v>176</v>
      </c>
      <c r="W88" s="352">
        <f t="shared" si="5"/>
        <v>123.19999999999999</v>
      </c>
      <c r="X88" s="62" t="s">
        <v>1524</v>
      </c>
      <c r="Y88" s="62">
        <v>4</v>
      </c>
      <c r="Z88" s="62">
        <v>5</v>
      </c>
      <c r="AA88" s="62">
        <v>6</v>
      </c>
      <c r="AB88" s="62">
        <v>2</v>
      </c>
      <c r="AC88" s="150">
        <v>3700000</v>
      </c>
      <c r="AD88" s="351">
        <v>4</v>
      </c>
      <c r="AE88" s="49"/>
      <c r="AF88" s="49"/>
      <c r="AG88" s="49"/>
      <c r="AH88" s="49"/>
      <c r="AI88" s="49"/>
      <c r="AJ88" s="49"/>
      <c r="AK88" s="49"/>
      <c r="AL88" s="49"/>
      <c r="AM88" s="49"/>
      <c r="AN88" s="49"/>
      <c r="AO88" s="49"/>
      <c r="AP88" s="49"/>
      <c r="AQ88" s="49"/>
      <c r="AR88" s="49"/>
      <c r="AS88" s="49"/>
      <c r="AT88" s="49"/>
      <c r="AU88" s="49"/>
    </row>
    <row r="89" spans="1:47">
      <c r="A89" s="49"/>
      <c r="B89" s="49"/>
      <c r="C89" s="49"/>
      <c r="D89" s="49"/>
      <c r="E89" s="49"/>
      <c r="F89" s="49"/>
      <c r="G89" s="56"/>
      <c r="H89" s="280">
        <v>17</v>
      </c>
      <c r="I89" s="62">
        <v>428</v>
      </c>
      <c r="J89" s="62">
        <v>233</v>
      </c>
      <c r="K89" s="352">
        <f t="shared" si="4"/>
        <v>279.59999999999997</v>
      </c>
      <c r="L89" s="62">
        <v>300</v>
      </c>
      <c r="M89" s="62">
        <v>3</v>
      </c>
      <c r="N89" s="150">
        <v>4100000</v>
      </c>
      <c r="O89" s="351">
        <v>5</v>
      </c>
      <c r="P89" s="49"/>
      <c r="Q89" s="49"/>
      <c r="R89" s="49"/>
      <c r="S89" s="97"/>
      <c r="T89" s="280">
        <v>17</v>
      </c>
      <c r="U89" s="62">
        <v>428</v>
      </c>
      <c r="V89" s="62">
        <f>V88+19</f>
        <v>195</v>
      </c>
      <c r="W89" s="352">
        <f t="shared" si="5"/>
        <v>136.5</v>
      </c>
      <c r="X89" s="62" t="s">
        <v>1524</v>
      </c>
      <c r="Y89" s="62">
        <v>4</v>
      </c>
      <c r="Z89" s="62">
        <v>5</v>
      </c>
      <c r="AA89" s="62">
        <v>6</v>
      </c>
      <c r="AB89" s="62">
        <v>2</v>
      </c>
      <c r="AC89" s="150">
        <v>4200000</v>
      </c>
      <c r="AD89" s="351">
        <v>5</v>
      </c>
      <c r="AE89" s="49"/>
      <c r="AF89" s="49"/>
      <c r="AG89" s="49"/>
      <c r="AH89" s="49"/>
      <c r="AI89" s="49"/>
      <c r="AJ89" s="49"/>
      <c r="AK89" s="49"/>
      <c r="AL89" s="49"/>
      <c r="AM89" s="49"/>
      <c r="AN89" s="49"/>
      <c r="AO89" s="49"/>
      <c r="AP89" s="49"/>
      <c r="AQ89" s="49"/>
      <c r="AR89" s="49"/>
      <c r="AS89" s="49"/>
      <c r="AT89" s="49"/>
      <c r="AU89" s="49"/>
    </row>
    <row r="90" spans="1:47">
      <c r="A90" s="49"/>
      <c r="B90" s="49"/>
      <c r="C90" s="49"/>
      <c r="D90" s="49"/>
      <c r="E90" s="49"/>
      <c r="F90" s="49"/>
      <c r="G90" s="56"/>
      <c r="H90" s="280">
        <v>18</v>
      </c>
      <c r="I90" s="62">
        <v>471</v>
      </c>
      <c r="J90" s="62">
        <v>251</v>
      </c>
      <c r="K90" s="352">
        <f t="shared" si="4"/>
        <v>301.2</v>
      </c>
      <c r="L90" s="62">
        <v>300</v>
      </c>
      <c r="M90" s="62">
        <v>3</v>
      </c>
      <c r="N90" s="150">
        <v>4300000</v>
      </c>
      <c r="O90" s="351">
        <v>5</v>
      </c>
      <c r="P90" s="49"/>
      <c r="Q90" s="49"/>
      <c r="R90" s="49"/>
      <c r="S90" s="97"/>
      <c r="T90" s="280">
        <v>18</v>
      </c>
      <c r="U90" s="62">
        <v>471</v>
      </c>
      <c r="V90" s="62">
        <f>V89+19</f>
        <v>214</v>
      </c>
      <c r="W90" s="352">
        <f t="shared" si="5"/>
        <v>149.79999999999998</v>
      </c>
      <c r="X90" s="62" t="s">
        <v>1524</v>
      </c>
      <c r="Y90" s="62">
        <v>4</v>
      </c>
      <c r="Z90" s="62">
        <v>5</v>
      </c>
      <c r="AA90" s="62">
        <v>6</v>
      </c>
      <c r="AB90" s="62">
        <v>2</v>
      </c>
      <c r="AC90" s="150">
        <v>4400000</v>
      </c>
      <c r="AD90" s="351">
        <v>5</v>
      </c>
      <c r="AE90" s="49"/>
      <c r="AF90" s="49"/>
      <c r="AG90" s="49"/>
      <c r="AH90" s="49"/>
      <c r="AI90" s="49"/>
      <c r="AJ90" s="49"/>
      <c r="AK90" s="49"/>
      <c r="AL90" s="49"/>
      <c r="AM90" s="49"/>
      <c r="AN90" s="49"/>
      <c r="AO90" s="49"/>
      <c r="AP90" s="49"/>
      <c r="AQ90" s="49"/>
      <c r="AR90" s="49"/>
      <c r="AS90" s="49"/>
      <c r="AT90" s="49"/>
      <c r="AU90" s="49"/>
    </row>
    <row r="91" spans="1:47">
      <c r="A91" s="49"/>
      <c r="B91" s="49"/>
      <c r="C91" s="49"/>
      <c r="D91" s="49"/>
      <c r="E91" s="49"/>
      <c r="F91" s="49"/>
      <c r="G91" s="49"/>
      <c r="H91" s="49" t="s">
        <v>1536</v>
      </c>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row>
    <row r="92" spans="1:47">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row>
    <row r="93" spans="1:47">
      <c r="A93" s="49"/>
      <c r="B93" s="49"/>
      <c r="C93" s="49"/>
      <c r="D93" s="49"/>
      <c r="E93" s="49"/>
      <c r="F93" s="49" t="s">
        <v>1537</v>
      </c>
      <c r="G93" s="49"/>
      <c r="H93" s="49" t="s">
        <v>1538</v>
      </c>
      <c r="I93" s="49"/>
      <c r="J93" s="49"/>
      <c r="K93" s="49"/>
      <c r="L93" s="49"/>
      <c r="M93" s="49"/>
      <c r="N93" s="49"/>
      <c r="O93" s="49"/>
      <c r="P93" s="49"/>
      <c r="Q93" s="49"/>
      <c r="R93" s="49" t="s">
        <v>1539</v>
      </c>
      <c r="S93" s="49"/>
      <c r="T93" s="49" t="s">
        <v>1540</v>
      </c>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row>
    <row r="94" spans="1:47">
      <c r="A94" s="49"/>
      <c r="B94" s="49"/>
      <c r="C94" s="49"/>
      <c r="D94" s="49"/>
      <c r="E94" s="49"/>
      <c r="F94" s="52" t="s">
        <v>242</v>
      </c>
      <c r="G94" s="64"/>
      <c r="H94" s="108" t="s">
        <v>243</v>
      </c>
      <c r="I94" s="65" t="s">
        <v>244</v>
      </c>
      <c r="J94" s="65" t="s">
        <v>1541</v>
      </c>
      <c r="K94" s="65" t="s">
        <v>1542</v>
      </c>
      <c r="L94" s="65" t="s">
        <v>345</v>
      </c>
      <c r="M94" s="65" t="s">
        <v>1446</v>
      </c>
      <c r="N94" s="65" t="s">
        <v>246</v>
      </c>
      <c r="O94" s="65" t="s">
        <v>247</v>
      </c>
      <c r="P94" s="49"/>
      <c r="Q94" s="49"/>
      <c r="R94" s="84" t="s">
        <v>242</v>
      </c>
      <c r="S94" s="84"/>
      <c r="T94" s="108" t="s">
        <v>243</v>
      </c>
      <c r="U94" s="65" t="s">
        <v>244</v>
      </c>
      <c r="V94" s="65" t="s">
        <v>245</v>
      </c>
      <c r="W94" s="65" t="s">
        <v>250</v>
      </c>
      <c r="X94" s="65" t="s">
        <v>545</v>
      </c>
      <c r="Y94" s="65" t="s">
        <v>1446</v>
      </c>
      <c r="Z94" s="65" t="s">
        <v>1483</v>
      </c>
      <c r="AA94" s="65" t="s">
        <v>247</v>
      </c>
      <c r="AB94" s="49"/>
      <c r="AC94" s="49"/>
      <c r="AD94" s="49"/>
      <c r="AE94" s="49"/>
      <c r="AF94" s="49"/>
      <c r="AG94" s="49"/>
      <c r="AH94" s="49"/>
      <c r="AI94" s="49"/>
      <c r="AJ94" s="49"/>
      <c r="AK94" s="49"/>
      <c r="AL94" s="49"/>
      <c r="AM94" s="49"/>
      <c r="AN94" s="49"/>
      <c r="AO94" s="49"/>
      <c r="AP94" s="49"/>
      <c r="AQ94" s="49"/>
      <c r="AR94" s="49"/>
      <c r="AS94" s="49"/>
      <c r="AT94" s="49"/>
      <c r="AU94" s="49"/>
    </row>
    <row r="95" spans="1:47">
      <c r="A95" s="49"/>
      <c r="B95" s="49"/>
      <c r="C95" s="49"/>
      <c r="D95" s="49"/>
      <c r="E95" s="49"/>
      <c r="F95" s="49" t="s">
        <v>349</v>
      </c>
      <c r="G95" s="97"/>
      <c r="H95" s="278">
        <v>1</v>
      </c>
      <c r="I95" s="62">
        <v>1320</v>
      </c>
      <c r="J95" s="62" t="s">
        <v>1543</v>
      </c>
      <c r="K95" s="62"/>
      <c r="L95" s="62"/>
      <c r="M95" s="62">
        <v>2</v>
      </c>
      <c r="N95" s="62"/>
      <c r="O95" s="351"/>
      <c r="P95" s="49"/>
      <c r="Q95" s="49"/>
      <c r="R95" s="70" t="s">
        <v>1544</v>
      </c>
      <c r="S95" s="353"/>
      <c r="T95" s="279">
        <v>1</v>
      </c>
      <c r="U95" s="62">
        <v>3135</v>
      </c>
      <c r="V95" s="62">
        <v>305</v>
      </c>
      <c r="W95" s="352">
        <f>V95*1.8</f>
        <v>549</v>
      </c>
      <c r="X95" s="62"/>
      <c r="Y95" s="62">
        <v>1</v>
      </c>
      <c r="Z95" s="62"/>
      <c r="AA95" s="49"/>
      <c r="AB95" s="49"/>
      <c r="AC95" s="49"/>
      <c r="AD95" s="49"/>
      <c r="AE95" s="49"/>
      <c r="AF95" s="49"/>
      <c r="AG95" s="49"/>
      <c r="AH95" s="49"/>
      <c r="AI95" s="49"/>
      <c r="AJ95" s="49"/>
      <c r="AK95" s="49"/>
      <c r="AL95" s="49"/>
      <c r="AM95" s="49"/>
      <c r="AN95" s="49"/>
      <c r="AO95" s="49"/>
      <c r="AP95" s="49"/>
      <c r="AQ95" s="49"/>
      <c r="AR95" s="49"/>
      <c r="AS95" s="49"/>
      <c r="AT95" s="49"/>
      <c r="AU95" s="49"/>
    </row>
    <row r="96" spans="1:47">
      <c r="A96" s="49"/>
      <c r="B96" s="49"/>
      <c r="C96" s="49"/>
      <c r="D96" s="49"/>
      <c r="E96" s="49"/>
      <c r="F96" s="88" t="s">
        <v>281</v>
      </c>
      <c r="G96" s="378"/>
      <c r="H96" s="278">
        <v>2</v>
      </c>
      <c r="I96" s="62">
        <v>1320</v>
      </c>
      <c r="J96" s="62" t="s">
        <v>1543</v>
      </c>
      <c r="K96" s="62">
        <v>4</v>
      </c>
      <c r="L96" s="62">
        <v>100</v>
      </c>
      <c r="M96" s="62">
        <v>2</v>
      </c>
      <c r="N96" s="150">
        <v>1100000</v>
      </c>
      <c r="O96" s="351">
        <v>0.5</v>
      </c>
      <c r="P96" s="49"/>
      <c r="Q96" s="49"/>
      <c r="R96" s="70" t="s">
        <v>1545</v>
      </c>
      <c r="S96" s="353"/>
      <c r="T96" s="279">
        <v>2</v>
      </c>
      <c r="U96" s="62">
        <v>3135</v>
      </c>
      <c r="V96" s="62">
        <v>305</v>
      </c>
      <c r="W96" s="352">
        <f t="shared" ref="W96:W112" si="6">V96*1.8</f>
        <v>549</v>
      </c>
      <c r="X96" s="62">
        <v>400</v>
      </c>
      <c r="Y96" s="62">
        <v>1</v>
      </c>
      <c r="Z96" s="150">
        <v>1600000</v>
      </c>
      <c r="AA96" s="351">
        <v>1</v>
      </c>
      <c r="AB96" s="49"/>
      <c r="AC96" s="49"/>
      <c r="AD96" s="49"/>
      <c r="AE96" s="49"/>
      <c r="AF96" s="49"/>
      <c r="AG96" s="49"/>
      <c r="AH96" s="49"/>
      <c r="AI96" s="49"/>
      <c r="AJ96" s="49"/>
      <c r="AK96" s="49"/>
      <c r="AL96" s="49"/>
      <c r="AM96" s="49"/>
      <c r="AN96" s="49"/>
      <c r="AO96" s="49"/>
      <c r="AP96" s="49"/>
      <c r="AQ96" s="49"/>
      <c r="AR96" s="49"/>
      <c r="AS96" s="49"/>
      <c r="AT96" s="49"/>
      <c r="AU96" s="49"/>
    </row>
    <row r="97" spans="1:47">
      <c r="A97" s="49"/>
      <c r="B97" s="49"/>
      <c r="C97" s="49"/>
      <c r="D97" s="49"/>
      <c r="E97" s="49"/>
      <c r="F97" s="49" t="s">
        <v>1546</v>
      </c>
      <c r="G97" s="97"/>
      <c r="H97" s="278">
        <v>3</v>
      </c>
      <c r="I97" s="62">
        <v>1452</v>
      </c>
      <c r="J97" s="62" t="s">
        <v>1543</v>
      </c>
      <c r="K97" s="62">
        <v>4</v>
      </c>
      <c r="L97" s="62">
        <v>100</v>
      </c>
      <c r="M97" s="62">
        <v>2</v>
      </c>
      <c r="N97" s="150">
        <v>1200000</v>
      </c>
      <c r="O97" s="351">
        <v>0.5</v>
      </c>
      <c r="P97" s="49"/>
      <c r="Q97" s="49"/>
      <c r="R97" s="88" t="s">
        <v>1547</v>
      </c>
      <c r="S97" s="354"/>
      <c r="T97" s="279">
        <v>3</v>
      </c>
      <c r="U97" s="62">
        <v>3449</v>
      </c>
      <c r="V97" s="62">
        <v>336</v>
      </c>
      <c r="W97" s="352">
        <f t="shared" si="6"/>
        <v>604.80000000000007</v>
      </c>
      <c r="X97" s="62">
        <v>400</v>
      </c>
      <c r="Y97" s="62">
        <v>1</v>
      </c>
      <c r="Z97" s="150">
        <v>1700000</v>
      </c>
      <c r="AA97" s="351">
        <v>1</v>
      </c>
      <c r="AB97" s="49"/>
      <c r="AC97" s="49"/>
      <c r="AD97" s="49"/>
      <c r="AE97" s="49"/>
      <c r="AF97" s="49"/>
      <c r="AG97" s="49"/>
      <c r="AH97" s="49"/>
      <c r="AI97" s="49"/>
      <c r="AJ97" s="49"/>
      <c r="AK97" s="49"/>
      <c r="AL97" s="49"/>
      <c r="AM97" s="49"/>
      <c r="AN97" s="49"/>
      <c r="AO97" s="49"/>
      <c r="AP97" s="49"/>
      <c r="AQ97" s="49"/>
      <c r="AR97" s="49"/>
      <c r="AS97" s="49"/>
      <c r="AT97" s="49"/>
      <c r="AU97" s="49"/>
    </row>
    <row r="98" spans="1:47">
      <c r="A98" s="49"/>
      <c r="B98" s="49"/>
      <c r="C98" s="49"/>
      <c r="D98" s="49"/>
      <c r="E98" s="49"/>
      <c r="F98" s="49" t="s">
        <v>1548</v>
      </c>
      <c r="G98" s="97"/>
      <c r="H98" s="278">
        <v>4</v>
      </c>
      <c r="I98" s="62">
        <v>1452</v>
      </c>
      <c r="J98" s="62" t="s">
        <v>1549</v>
      </c>
      <c r="K98" s="62">
        <v>4</v>
      </c>
      <c r="L98" s="62">
        <v>100</v>
      </c>
      <c r="M98" s="62">
        <v>2</v>
      </c>
      <c r="N98" s="150">
        <v>1300000</v>
      </c>
      <c r="O98" s="351">
        <v>1</v>
      </c>
      <c r="P98" s="49"/>
      <c r="Q98" s="49"/>
      <c r="R98" s="84" t="s">
        <v>287</v>
      </c>
      <c r="S98" s="355"/>
      <c r="T98" s="279">
        <v>4</v>
      </c>
      <c r="U98" s="62">
        <v>3449</v>
      </c>
      <c r="V98" s="62">
        <v>336</v>
      </c>
      <c r="W98" s="352">
        <f t="shared" si="6"/>
        <v>604.80000000000007</v>
      </c>
      <c r="X98" s="62">
        <v>480</v>
      </c>
      <c r="Y98" s="62">
        <v>1</v>
      </c>
      <c r="Z98" s="150">
        <v>1800000</v>
      </c>
      <c r="AA98" s="351">
        <v>2</v>
      </c>
      <c r="AB98" s="49"/>
      <c r="AC98" s="49"/>
      <c r="AD98" s="49"/>
      <c r="AE98" s="49"/>
      <c r="AF98" s="49"/>
      <c r="AG98" s="49"/>
      <c r="AH98" s="49"/>
      <c r="AI98" s="49"/>
      <c r="AJ98" s="49"/>
      <c r="AK98" s="49"/>
      <c r="AL98" s="49"/>
      <c r="AM98" s="49"/>
      <c r="AN98" s="49"/>
      <c r="AO98" s="49"/>
      <c r="AP98" s="49"/>
      <c r="AQ98" s="49"/>
      <c r="AR98" s="49"/>
      <c r="AS98" s="49"/>
      <c r="AT98" s="49"/>
      <c r="AU98" s="49"/>
    </row>
    <row r="99" spans="1:47">
      <c r="A99" s="49"/>
      <c r="B99" s="49"/>
      <c r="C99" s="49"/>
      <c r="D99" s="49"/>
      <c r="E99" s="49"/>
      <c r="F99" s="49" t="s">
        <v>1550</v>
      </c>
      <c r="G99" s="97"/>
      <c r="H99" s="278">
        <v>5</v>
      </c>
      <c r="I99" s="62">
        <v>1597</v>
      </c>
      <c r="J99" s="62" t="s">
        <v>1549</v>
      </c>
      <c r="K99" s="62">
        <v>4</v>
      </c>
      <c r="L99" s="62">
        <v>100</v>
      </c>
      <c r="M99" s="62">
        <v>2</v>
      </c>
      <c r="N99" s="150">
        <v>1400000</v>
      </c>
      <c r="O99" s="351">
        <v>1</v>
      </c>
      <c r="P99" s="49"/>
      <c r="Q99" s="49"/>
      <c r="R99" s="70" t="s">
        <v>1551</v>
      </c>
      <c r="S99" s="353"/>
      <c r="T99" s="279">
        <v>5</v>
      </c>
      <c r="U99" s="62">
        <v>3794</v>
      </c>
      <c r="V99" s="62">
        <v>369</v>
      </c>
      <c r="W99" s="352">
        <f t="shared" si="6"/>
        <v>664.2</v>
      </c>
      <c r="X99" s="62">
        <v>480</v>
      </c>
      <c r="Y99" s="62">
        <v>1</v>
      </c>
      <c r="Z99" s="150">
        <v>1900000</v>
      </c>
      <c r="AA99" s="351">
        <v>2</v>
      </c>
      <c r="AB99" s="49"/>
      <c r="AC99" s="49"/>
      <c r="AD99" s="49"/>
      <c r="AE99" s="49"/>
      <c r="AF99" s="49"/>
      <c r="AG99" s="49"/>
      <c r="AH99" s="49"/>
      <c r="AI99" s="49"/>
      <c r="AJ99" s="49"/>
      <c r="AK99" s="49"/>
      <c r="AL99" s="49"/>
      <c r="AM99" s="49"/>
      <c r="AN99" s="49"/>
      <c r="AO99" s="49"/>
      <c r="AP99" s="49"/>
      <c r="AQ99" s="49"/>
      <c r="AR99" s="49"/>
      <c r="AS99" s="49"/>
      <c r="AT99" s="49"/>
      <c r="AU99" s="49"/>
    </row>
    <row r="100" spans="1:47">
      <c r="A100" s="49"/>
      <c r="B100" s="49"/>
      <c r="C100" s="49"/>
      <c r="D100" s="49"/>
      <c r="E100" s="49"/>
      <c r="F100" s="49" t="s">
        <v>1552</v>
      </c>
      <c r="G100" s="97"/>
      <c r="H100" s="278">
        <v>6</v>
      </c>
      <c r="I100" s="62">
        <v>1597</v>
      </c>
      <c r="J100" s="62" t="s">
        <v>1549</v>
      </c>
      <c r="K100" s="62">
        <v>6</v>
      </c>
      <c r="L100" s="62">
        <v>150</v>
      </c>
      <c r="M100" s="62">
        <v>2</v>
      </c>
      <c r="N100" s="150">
        <v>1500000</v>
      </c>
      <c r="O100" s="351">
        <v>2</v>
      </c>
      <c r="P100" s="49"/>
      <c r="Q100" s="49"/>
      <c r="R100" s="88" t="s">
        <v>502</v>
      </c>
      <c r="S100" s="354"/>
      <c r="T100" s="279">
        <v>6</v>
      </c>
      <c r="U100" s="62">
        <v>3794</v>
      </c>
      <c r="V100" s="62">
        <v>369</v>
      </c>
      <c r="W100" s="352">
        <f t="shared" si="6"/>
        <v>664.2</v>
      </c>
      <c r="X100" s="62">
        <v>580</v>
      </c>
      <c r="Y100" s="62">
        <v>1</v>
      </c>
      <c r="Z100" s="150">
        <v>2000000</v>
      </c>
      <c r="AA100" s="351">
        <v>3</v>
      </c>
      <c r="AB100" s="49"/>
      <c r="AC100" s="49"/>
      <c r="AD100" s="49"/>
      <c r="AE100" s="49"/>
      <c r="AF100" s="49"/>
      <c r="AG100" s="49"/>
      <c r="AH100" s="49"/>
      <c r="AI100" s="49"/>
      <c r="AJ100" s="49"/>
      <c r="AK100" s="49"/>
      <c r="AL100" s="49"/>
      <c r="AM100" s="49"/>
      <c r="AN100" s="49"/>
      <c r="AO100" s="49"/>
      <c r="AP100" s="49"/>
      <c r="AQ100" s="49"/>
      <c r="AR100" s="49"/>
      <c r="AS100" s="49"/>
      <c r="AT100" s="49"/>
      <c r="AU100" s="49"/>
    </row>
    <row r="101" spans="1:47">
      <c r="A101" s="49"/>
      <c r="B101" s="49"/>
      <c r="C101" s="49"/>
      <c r="D101" s="49"/>
      <c r="E101" s="49"/>
      <c r="F101" s="49"/>
      <c r="G101" s="97"/>
      <c r="H101" s="278">
        <v>7</v>
      </c>
      <c r="I101" s="62">
        <v>1757</v>
      </c>
      <c r="J101" s="62" t="s">
        <v>1549</v>
      </c>
      <c r="K101" s="62">
        <v>6</v>
      </c>
      <c r="L101" s="62">
        <v>150</v>
      </c>
      <c r="M101" s="62">
        <v>2</v>
      </c>
      <c r="N101" s="150">
        <v>1600000</v>
      </c>
      <c r="O101" s="351">
        <v>2</v>
      </c>
      <c r="P101" s="49"/>
      <c r="Q101" s="49"/>
      <c r="R101" s="70" t="s">
        <v>1553</v>
      </c>
      <c r="S101" s="355"/>
      <c r="T101" s="279">
        <v>7</v>
      </c>
      <c r="U101" s="62">
        <v>4173</v>
      </c>
      <c r="V101" s="62">
        <v>406</v>
      </c>
      <c r="W101" s="352">
        <f t="shared" si="6"/>
        <v>730.80000000000007</v>
      </c>
      <c r="X101" s="62">
        <v>580</v>
      </c>
      <c r="Y101" s="62">
        <v>1</v>
      </c>
      <c r="Z101" s="150">
        <v>2200000</v>
      </c>
      <c r="AA101" s="351">
        <v>3</v>
      </c>
      <c r="AB101" s="49"/>
      <c r="AC101" s="49"/>
      <c r="AD101" s="49"/>
      <c r="AE101" s="49"/>
      <c r="AF101" s="49"/>
      <c r="AG101" s="49"/>
      <c r="AH101" s="49"/>
      <c r="AI101" s="49"/>
      <c r="AJ101" s="49"/>
      <c r="AK101" s="49"/>
      <c r="AL101" s="49"/>
      <c r="AM101" s="49"/>
      <c r="AN101" s="49"/>
      <c r="AO101" s="49"/>
      <c r="AP101" s="49"/>
      <c r="AQ101" s="49"/>
      <c r="AR101" s="49"/>
      <c r="AS101" s="49"/>
      <c r="AT101" s="49"/>
      <c r="AU101" s="49"/>
    </row>
    <row r="102" spans="1:47">
      <c r="A102" s="49"/>
      <c r="B102" s="49"/>
      <c r="C102" s="49"/>
      <c r="D102" s="49"/>
      <c r="E102" s="49"/>
      <c r="F102" s="49"/>
      <c r="G102" s="97"/>
      <c r="H102" s="278">
        <v>8</v>
      </c>
      <c r="I102" s="62">
        <v>1757</v>
      </c>
      <c r="J102" s="62" t="s">
        <v>1554</v>
      </c>
      <c r="K102" s="62">
        <v>6</v>
      </c>
      <c r="L102" s="62">
        <v>150</v>
      </c>
      <c r="M102" s="62">
        <v>2</v>
      </c>
      <c r="N102" s="150">
        <v>1700000</v>
      </c>
      <c r="O102" s="351">
        <v>3</v>
      </c>
      <c r="P102" s="49"/>
      <c r="Q102" s="49"/>
      <c r="R102" s="49"/>
      <c r="S102" s="97"/>
      <c r="T102" s="279">
        <v>8</v>
      </c>
      <c r="U102" s="62">
        <v>4173</v>
      </c>
      <c r="V102" s="62">
        <v>406</v>
      </c>
      <c r="W102" s="352">
        <f t="shared" si="6"/>
        <v>730.80000000000007</v>
      </c>
      <c r="X102" s="62">
        <v>680</v>
      </c>
      <c r="Y102" s="62">
        <v>1</v>
      </c>
      <c r="Z102" s="150">
        <v>2400000</v>
      </c>
      <c r="AA102" s="351">
        <v>4</v>
      </c>
      <c r="AB102" s="49"/>
      <c r="AC102" s="49"/>
      <c r="AD102" s="49"/>
      <c r="AE102" s="49"/>
      <c r="AF102" s="49"/>
      <c r="AG102" s="49"/>
      <c r="AH102" s="49"/>
      <c r="AI102" s="49"/>
      <c r="AJ102" s="49"/>
      <c r="AK102" s="49"/>
      <c r="AL102" s="49"/>
      <c r="AM102" s="49"/>
      <c r="AN102" s="49"/>
      <c r="AO102" s="49"/>
      <c r="AP102" s="49"/>
      <c r="AQ102" s="49"/>
      <c r="AR102" s="49"/>
      <c r="AS102" s="49"/>
      <c r="AT102" s="49"/>
      <c r="AU102" s="49"/>
    </row>
    <row r="103" spans="1:47">
      <c r="A103" s="49"/>
      <c r="B103" s="49"/>
      <c r="C103" s="49"/>
      <c r="D103" s="49"/>
      <c r="E103" s="49"/>
      <c r="F103" s="49"/>
      <c r="G103" s="97"/>
      <c r="H103" s="278">
        <v>9</v>
      </c>
      <c r="I103" s="62">
        <v>1933</v>
      </c>
      <c r="J103" s="62" t="s">
        <v>1554</v>
      </c>
      <c r="K103" s="62">
        <v>6</v>
      </c>
      <c r="L103" s="62">
        <v>150</v>
      </c>
      <c r="M103" s="62">
        <v>2</v>
      </c>
      <c r="N103" s="150">
        <v>1800000</v>
      </c>
      <c r="O103" s="351">
        <v>3</v>
      </c>
      <c r="P103" s="49"/>
      <c r="Q103" s="49"/>
      <c r="R103" s="49"/>
      <c r="S103" s="97"/>
      <c r="T103" s="279">
        <v>9</v>
      </c>
      <c r="U103" s="62">
        <v>4590</v>
      </c>
      <c r="V103" s="62">
        <v>447</v>
      </c>
      <c r="W103" s="352">
        <f t="shared" si="6"/>
        <v>804.6</v>
      </c>
      <c r="X103" s="62">
        <v>680</v>
      </c>
      <c r="Y103" s="62">
        <v>1</v>
      </c>
      <c r="Z103" s="150">
        <v>2600000</v>
      </c>
      <c r="AA103" s="351">
        <v>4</v>
      </c>
      <c r="AB103" s="49"/>
      <c r="AC103" s="49"/>
      <c r="AD103" s="49"/>
      <c r="AE103" s="49"/>
      <c r="AF103" s="49"/>
      <c r="AG103" s="49"/>
      <c r="AH103" s="49"/>
      <c r="AI103" s="49"/>
      <c r="AJ103" s="49"/>
      <c r="AK103" s="49"/>
      <c r="AL103" s="49"/>
      <c r="AM103" s="49"/>
      <c r="AN103" s="49"/>
      <c r="AO103" s="49"/>
      <c r="AP103" s="49"/>
      <c r="AQ103" s="49"/>
      <c r="AR103" s="49"/>
      <c r="AS103" s="49"/>
      <c r="AT103" s="49"/>
      <c r="AU103" s="49"/>
    </row>
    <row r="104" spans="1:47">
      <c r="A104" s="49"/>
      <c r="B104" s="49"/>
      <c r="C104" s="49"/>
      <c r="D104" s="49"/>
      <c r="E104" s="49"/>
      <c r="F104" s="49"/>
      <c r="G104" s="97"/>
      <c r="H104" s="278">
        <v>10</v>
      </c>
      <c r="I104" s="62">
        <v>1933</v>
      </c>
      <c r="J104" s="62" t="s">
        <v>1554</v>
      </c>
      <c r="K104" s="62">
        <v>9</v>
      </c>
      <c r="L104" s="62">
        <v>225</v>
      </c>
      <c r="M104" s="62">
        <v>2</v>
      </c>
      <c r="N104" s="150">
        <v>2000000</v>
      </c>
      <c r="O104" s="351">
        <v>3</v>
      </c>
      <c r="P104" s="49"/>
      <c r="Q104" s="49"/>
      <c r="R104" s="49"/>
      <c r="S104" s="97"/>
      <c r="T104" s="279">
        <v>10</v>
      </c>
      <c r="U104" s="62">
        <v>4590</v>
      </c>
      <c r="V104" s="62">
        <v>447</v>
      </c>
      <c r="W104" s="352">
        <f t="shared" si="6"/>
        <v>804.6</v>
      </c>
      <c r="X104" s="62">
        <v>800</v>
      </c>
      <c r="Y104" s="62">
        <v>1</v>
      </c>
      <c r="Z104" s="150">
        <v>2800000</v>
      </c>
      <c r="AA104" s="351">
        <v>4</v>
      </c>
      <c r="AB104" s="49"/>
      <c r="AC104" s="49"/>
      <c r="AD104" s="49"/>
      <c r="AE104" s="49"/>
      <c r="AF104" s="49"/>
      <c r="AG104" s="49"/>
      <c r="AH104" s="49"/>
      <c r="AI104" s="49"/>
      <c r="AJ104" s="49"/>
      <c r="AK104" s="49"/>
      <c r="AL104" s="49"/>
      <c r="AM104" s="49"/>
      <c r="AN104" s="49"/>
      <c r="AO104" s="49"/>
      <c r="AP104" s="49"/>
      <c r="AQ104" s="49"/>
      <c r="AR104" s="49"/>
      <c r="AS104" s="49"/>
      <c r="AT104" s="49"/>
      <c r="AU104" s="49"/>
    </row>
    <row r="105" spans="1:47">
      <c r="A105" s="49"/>
      <c r="B105" s="49"/>
      <c r="C105" s="49"/>
      <c r="D105" s="49"/>
      <c r="E105" s="49"/>
      <c r="F105" s="49"/>
      <c r="G105" s="97"/>
      <c r="H105" s="278">
        <v>11</v>
      </c>
      <c r="I105" s="62">
        <v>2126</v>
      </c>
      <c r="J105" s="62" t="s">
        <v>1554</v>
      </c>
      <c r="K105" s="62">
        <v>9</v>
      </c>
      <c r="L105" s="62">
        <v>225</v>
      </c>
      <c r="M105" s="62">
        <v>2</v>
      </c>
      <c r="N105" s="150">
        <v>2200000</v>
      </c>
      <c r="O105" s="351">
        <v>3</v>
      </c>
      <c r="P105" s="49"/>
      <c r="Q105" s="49"/>
      <c r="R105" s="49"/>
      <c r="S105" s="97"/>
      <c r="T105" s="279">
        <v>11</v>
      </c>
      <c r="U105" s="62">
        <v>5049</v>
      </c>
      <c r="V105" s="62">
        <v>491</v>
      </c>
      <c r="W105" s="352">
        <f t="shared" si="6"/>
        <v>883.80000000000007</v>
      </c>
      <c r="X105" s="62">
        <v>800</v>
      </c>
      <c r="Y105" s="62">
        <v>1</v>
      </c>
      <c r="Z105" s="150">
        <v>3000000</v>
      </c>
      <c r="AA105" s="351">
        <v>4</v>
      </c>
      <c r="AB105" s="49"/>
      <c r="AC105" s="49"/>
      <c r="AD105" s="49"/>
      <c r="AE105" s="49"/>
      <c r="AF105" s="49"/>
      <c r="AG105" s="49"/>
      <c r="AH105" s="49"/>
      <c r="AI105" s="49"/>
      <c r="AJ105" s="49"/>
      <c r="AK105" s="49"/>
      <c r="AL105" s="49"/>
      <c r="AM105" s="49"/>
      <c r="AN105" s="49"/>
      <c r="AO105" s="49"/>
      <c r="AP105" s="49"/>
      <c r="AQ105" s="49"/>
      <c r="AR105" s="49"/>
      <c r="AS105" s="49"/>
      <c r="AT105" s="49"/>
      <c r="AU105" s="49"/>
    </row>
    <row r="106" spans="1:47">
      <c r="A106" s="49"/>
      <c r="B106" s="49"/>
      <c r="C106" s="49"/>
      <c r="D106" s="49"/>
      <c r="E106" s="49"/>
      <c r="F106" s="49"/>
      <c r="G106" s="97"/>
      <c r="H106" s="278">
        <v>12</v>
      </c>
      <c r="I106" s="62">
        <v>2126</v>
      </c>
      <c r="J106" s="62" t="s">
        <v>1555</v>
      </c>
      <c r="K106" s="62">
        <v>9</v>
      </c>
      <c r="L106" s="62">
        <v>225</v>
      </c>
      <c r="M106" s="62">
        <v>2</v>
      </c>
      <c r="N106" s="150">
        <v>2400000</v>
      </c>
      <c r="O106" s="351">
        <v>3</v>
      </c>
      <c r="P106" s="49"/>
      <c r="Q106" s="49"/>
      <c r="R106" s="49"/>
      <c r="S106" s="97"/>
      <c r="T106" s="279">
        <v>12</v>
      </c>
      <c r="U106" s="62">
        <v>5049</v>
      </c>
      <c r="V106" s="62">
        <v>491</v>
      </c>
      <c r="W106" s="352">
        <f t="shared" si="6"/>
        <v>883.80000000000007</v>
      </c>
      <c r="X106" s="62">
        <v>920</v>
      </c>
      <c r="Y106" s="62">
        <v>1</v>
      </c>
      <c r="Z106" s="150">
        <v>3200000</v>
      </c>
      <c r="AA106" s="351">
        <v>4</v>
      </c>
      <c r="AB106" s="49"/>
      <c r="AC106" s="49"/>
      <c r="AD106" s="49"/>
      <c r="AE106" s="49"/>
      <c r="AF106" s="49"/>
      <c r="AG106" s="49"/>
      <c r="AH106" s="49"/>
      <c r="AI106" s="49"/>
      <c r="AJ106" s="49"/>
      <c r="AK106" s="49"/>
      <c r="AL106" s="49"/>
      <c r="AM106" s="49"/>
      <c r="AN106" s="49"/>
      <c r="AO106" s="49"/>
      <c r="AP106" s="49"/>
      <c r="AQ106" s="49"/>
      <c r="AR106" s="49"/>
      <c r="AS106" s="49"/>
      <c r="AT106" s="49"/>
      <c r="AU106" s="49"/>
    </row>
    <row r="107" spans="1:47">
      <c r="A107" s="49"/>
      <c r="B107" s="49"/>
      <c r="C107" s="49"/>
      <c r="D107" s="49"/>
      <c r="E107" s="49"/>
      <c r="F107" s="49"/>
      <c r="G107" s="97"/>
      <c r="H107" s="278">
        <v>13</v>
      </c>
      <c r="I107" s="62">
        <v>2339</v>
      </c>
      <c r="J107" s="62" t="s">
        <v>1555</v>
      </c>
      <c r="K107" s="62">
        <v>9</v>
      </c>
      <c r="L107" s="62">
        <v>225</v>
      </c>
      <c r="M107" s="62">
        <v>2</v>
      </c>
      <c r="N107" s="150">
        <v>2600000</v>
      </c>
      <c r="O107" s="351">
        <v>3</v>
      </c>
      <c r="P107" s="49"/>
      <c r="Q107" s="49"/>
      <c r="R107" s="49"/>
      <c r="S107" s="97"/>
      <c r="T107" s="279">
        <v>13</v>
      </c>
      <c r="U107" s="62">
        <v>5554</v>
      </c>
      <c r="V107" s="62">
        <v>540</v>
      </c>
      <c r="W107" s="352">
        <f t="shared" si="6"/>
        <v>972</v>
      </c>
      <c r="X107" s="62">
        <v>920</v>
      </c>
      <c r="Y107" s="62">
        <v>1</v>
      </c>
      <c r="Z107" s="150">
        <v>3400000</v>
      </c>
      <c r="AA107" s="351">
        <v>4</v>
      </c>
      <c r="AB107" s="49"/>
      <c r="AC107" s="49"/>
      <c r="AD107" s="49"/>
      <c r="AE107" s="49"/>
      <c r="AF107" s="49"/>
      <c r="AG107" s="49"/>
      <c r="AH107" s="49"/>
      <c r="AI107" s="49"/>
      <c r="AJ107" s="49"/>
      <c r="AK107" s="49"/>
      <c r="AL107" s="49"/>
      <c r="AM107" s="49"/>
      <c r="AN107" s="49"/>
      <c r="AO107" s="49"/>
      <c r="AP107" s="49"/>
      <c r="AQ107" s="49"/>
      <c r="AR107" s="49"/>
      <c r="AS107" s="49"/>
      <c r="AT107" s="49"/>
      <c r="AU107" s="49"/>
    </row>
    <row r="108" spans="1:47">
      <c r="A108" s="49"/>
      <c r="B108" s="49"/>
      <c r="C108" s="49"/>
      <c r="D108" s="49"/>
      <c r="E108" s="49"/>
      <c r="F108" s="49"/>
      <c r="G108" s="97"/>
      <c r="H108" s="278">
        <v>14</v>
      </c>
      <c r="I108" s="62">
        <v>2339</v>
      </c>
      <c r="J108" s="62" t="s">
        <v>1555</v>
      </c>
      <c r="K108" s="62">
        <v>12</v>
      </c>
      <c r="L108" s="62">
        <v>300</v>
      </c>
      <c r="M108" s="62">
        <v>2</v>
      </c>
      <c r="N108" s="150">
        <v>2800000</v>
      </c>
      <c r="O108" s="351">
        <v>3</v>
      </c>
      <c r="P108" s="49"/>
      <c r="Q108" s="49"/>
      <c r="R108" s="49"/>
      <c r="S108" s="97"/>
      <c r="T108" s="279">
        <v>14</v>
      </c>
      <c r="U108" s="62">
        <v>5554</v>
      </c>
      <c r="V108" s="62">
        <v>540</v>
      </c>
      <c r="W108" s="352">
        <f t="shared" si="6"/>
        <v>972</v>
      </c>
      <c r="X108" s="62">
        <v>1060</v>
      </c>
      <c r="Y108" s="62">
        <v>1</v>
      </c>
      <c r="Z108" s="150">
        <v>3600000</v>
      </c>
      <c r="AA108" s="351">
        <v>4</v>
      </c>
      <c r="AB108" s="49"/>
      <c r="AC108" s="49"/>
      <c r="AD108" s="49"/>
      <c r="AE108" s="49"/>
      <c r="AF108" s="49"/>
      <c r="AG108" s="49"/>
      <c r="AH108" s="49"/>
      <c r="AI108" s="49"/>
      <c r="AJ108" s="49"/>
      <c r="AK108" s="49"/>
      <c r="AL108" s="49"/>
      <c r="AM108" s="49"/>
      <c r="AN108" s="49"/>
      <c r="AO108" s="49"/>
      <c r="AP108" s="49"/>
      <c r="AQ108" s="49"/>
      <c r="AR108" s="49"/>
      <c r="AS108" s="49"/>
      <c r="AT108" s="49"/>
      <c r="AU108" s="49"/>
    </row>
    <row r="109" spans="1:47">
      <c r="A109" s="49"/>
      <c r="B109" s="49"/>
      <c r="C109" s="49"/>
      <c r="D109" s="49"/>
      <c r="E109" s="49"/>
      <c r="F109" s="49"/>
      <c r="G109" s="97"/>
      <c r="H109" s="279">
        <v>15</v>
      </c>
      <c r="I109" s="62">
        <v>2573</v>
      </c>
      <c r="J109" s="62" t="s">
        <v>1555</v>
      </c>
      <c r="K109" s="62">
        <v>12</v>
      </c>
      <c r="L109" s="62">
        <v>300</v>
      </c>
      <c r="M109" s="62">
        <v>2</v>
      </c>
      <c r="N109" s="150">
        <v>3700000</v>
      </c>
      <c r="O109" s="351">
        <v>4</v>
      </c>
      <c r="P109" s="49"/>
      <c r="Q109" s="49"/>
      <c r="R109" s="49"/>
      <c r="S109" s="97"/>
      <c r="T109" s="279">
        <v>15</v>
      </c>
      <c r="U109" s="62">
        <v>6109</v>
      </c>
      <c r="V109" s="62">
        <v>594</v>
      </c>
      <c r="W109" s="352">
        <f t="shared" si="6"/>
        <v>1069.2</v>
      </c>
      <c r="X109" s="62">
        <v>1060</v>
      </c>
      <c r="Y109" s="62">
        <v>1</v>
      </c>
      <c r="Z109" s="150">
        <v>3800000</v>
      </c>
      <c r="AA109" s="351">
        <v>4</v>
      </c>
      <c r="AB109" s="49"/>
      <c r="AC109" s="49"/>
      <c r="AD109" s="49"/>
      <c r="AE109" s="49"/>
      <c r="AF109" s="49"/>
      <c r="AG109" s="49"/>
      <c r="AH109" s="49"/>
      <c r="AI109" s="49"/>
      <c r="AJ109" s="49"/>
      <c r="AK109" s="49"/>
      <c r="AL109" s="49"/>
      <c r="AM109" s="49"/>
      <c r="AN109" s="49"/>
      <c r="AO109" s="49"/>
      <c r="AP109" s="49"/>
      <c r="AQ109" s="49"/>
      <c r="AR109" s="49"/>
      <c r="AS109" s="49"/>
      <c r="AT109" s="49"/>
      <c r="AU109" s="49"/>
    </row>
    <row r="110" spans="1:47">
      <c r="A110" s="49"/>
      <c r="B110" s="49"/>
      <c r="C110" s="49"/>
      <c r="D110" s="49"/>
      <c r="E110" s="49"/>
      <c r="F110" s="49"/>
      <c r="G110" s="97"/>
      <c r="H110" s="279">
        <v>16</v>
      </c>
      <c r="I110" s="62">
        <v>2573</v>
      </c>
      <c r="J110" s="62" t="s">
        <v>1556</v>
      </c>
      <c r="K110" s="62">
        <v>12</v>
      </c>
      <c r="L110" s="62">
        <v>300</v>
      </c>
      <c r="M110" s="62">
        <v>2</v>
      </c>
      <c r="N110" s="150">
        <v>3800000</v>
      </c>
      <c r="O110" s="351">
        <v>4</v>
      </c>
      <c r="P110" s="49"/>
      <c r="Q110" s="49"/>
      <c r="R110" s="49"/>
      <c r="S110" s="97"/>
      <c r="T110" s="279">
        <v>16</v>
      </c>
      <c r="U110" s="62">
        <v>6109</v>
      </c>
      <c r="V110" s="62">
        <v>594</v>
      </c>
      <c r="W110" s="352">
        <f t="shared" si="6"/>
        <v>1069.2</v>
      </c>
      <c r="X110" s="62">
        <v>1200</v>
      </c>
      <c r="Y110" s="62">
        <v>1</v>
      </c>
      <c r="Z110" s="150">
        <v>4000000</v>
      </c>
      <c r="AA110" s="351">
        <v>4</v>
      </c>
      <c r="AB110" s="49"/>
      <c r="AC110" s="49"/>
      <c r="AD110" s="49"/>
      <c r="AE110" s="49"/>
      <c r="AF110" s="49"/>
      <c r="AG110" s="49"/>
      <c r="AH110" s="49"/>
      <c r="AI110" s="49"/>
      <c r="AJ110" s="49"/>
      <c r="AK110" s="49"/>
      <c r="AL110" s="49"/>
      <c r="AM110" s="49"/>
      <c r="AN110" s="49"/>
      <c r="AO110" s="49"/>
      <c r="AP110" s="49"/>
      <c r="AQ110" s="49"/>
      <c r="AR110" s="49"/>
      <c r="AS110" s="49"/>
      <c r="AT110" s="49"/>
      <c r="AU110" s="49"/>
    </row>
    <row r="111" spans="1:47">
      <c r="A111" s="49"/>
      <c r="B111" s="49"/>
      <c r="C111" s="49"/>
      <c r="D111" s="49"/>
      <c r="E111" s="49"/>
      <c r="F111" s="49"/>
      <c r="G111" s="97"/>
      <c r="H111" s="280">
        <v>17</v>
      </c>
      <c r="I111" s="62">
        <v>2830</v>
      </c>
      <c r="J111" s="62" t="s">
        <v>1556</v>
      </c>
      <c r="K111" s="62">
        <v>12</v>
      </c>
      <c r="L111" s="62">
        <v>300</v>
      </c>
      <c r="M111" s="62">
        <v>2</v>
      </c>
      <c r="N111" s="150">
        <v>4300000</v>
      </c>
      <c r="O111" s="351">
        <v>5</v>
      </c>
      <c r="P111" s="49"/>
      <c r="Q111" s="49"/>
      <c r="R111" s="49"/>
      <c r="S111" s="97"/>
      <c r="T111" s="280">
        <v>17</v>
      </c>
      <c r="U111" s="62">
        <v>6720</v>
      </c>
      <c r="V111" s="62">
        <v>653</v>
      </c>
      <c r="W111" s="352">
        <f t="shared" si="6"/>
        <v>1175.4000000000001</v>
      </c>
      <c r="X111" s="62">
        <v>1200</v>
      </c>
      <c r="Y111" s="62">
        <v>1</v>
      </c>
      <c r="Z111" s="150">
        <v>4600000</v>
      </c>
      <c r="AA111" s="351">
        <v>5</v>
      </c>
      <c r="AB111" s="49"/>
      <c r="AC111" s="49"/>
      <c r="AD111" s="49"/>
      <c r="AE111" s="49"/>
      <c r="AF111" s="49"/>
      <c r="AG111" s="49"/>
      <c r="AH111" s="49"/>
      <c r="AI111" s="49"/>
      <c r="AJ111" s="49"/>
      <c r="AK111" s="49"/>
      <c r="AL111" s="49"/>
      <c r="AM111" s="49"/>
      <c r="AN111" s="49"/>
      <c r="AO111" s="49"/>
      <c r="AP111" s="49"/>
      <c r="AQ111" s="49"/>
      <c r="AR111" s="49"/>
      <c r="AS111" s="49"/>
      <c r="AT111" s="49"/>
      <c r="AU111" s="49"/>
    </row>
    <row r="112" spans="1:47">
      <c r="A112" s="49"/>
      <c r="B112" s="49"/>
      <c r="C112" s="49"/>
      <c r="D112" s="49"/>
      <c r="E112" s="49"/>
      <c r="F112" s="49"/>
      <c r="G112" s="97"/>
      <c r="H112" s="280">
        <v>18</v>
      </c>
      <c r="I112" s="62">
        <v>3113</v>
      </c>
      <c r="J112" s="62" t="s">
        <v>1556</v>
      </c>
      <c r="K112" s="62">
        <v>12</v>
      </c>
      <c r="L112" s="62">
        <v>300</v>
      </c>
      <c r="M112" s="62">
        <v>2</v>
      </c>
      <c r="N112" s="150">
        <v>4500000</v>
      </c>
      <c r="O112" s="351">
        <v>5</v>
      </c>
      <c r="P112" s="49"/>
      <c r="Q112" s="49"/>
      <c r="R112" s="49"/>
      <c r="S112" s="97"/>
      <c r="T112" s="280">
        <v>18</v>
      </c>
      <c r="U112" s="62">
        <v>7392</v>
      </c>
      <c r="V112" s="62">
        <v>718</v>
      </c>
      <c r="W112" s="352">
        <f t="shared" si="6"/>
        <v>1292.4000000000001</v>
      </c>
      <c r="X112" s="62">
        <v>1200</v>
      </c>
      <c r="Y112" s="62">
        <v>1</v>
      </c>
      <c r="Z112" s="150">
        <v>4800000</v>
      </c>
      <c r="AA112" s="351">
        <v>5</v>
      </c>
      <c r="AB112" s="49"/>
      <c r="AC112" s="49"/>
      <c r="AD112" s="49"/>
      <c r="AE112" s="49"/>
      <c r="AF112" s="49"/>
      <c r="AG112" s="49"/>
      <c r="AH112" s="49"/>
      <c r="AI112" s="49"/>
      <c r="AJ112" s="49"/>
      <c r="AK112" s="49"/>
      <c r="AL112" s="49"/>
      <c r="AM112" s="49"/>
      <c r="AN112" s="49"/>
      <c r="AO112" s="49"/>
      <c r="AP112" s="49"/>
      <c r="AQ112" s="49"/>
      <c r="AR112" s="49"/>
      <c r="AS112" s="49"/>
      <c r="AT112" s="49"/>
      <c r="AU112" s="49"/>
    </row>
    <row r="113" spans="1:47">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row>
    <row r="114" spans="1:47">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row>
    <row r="115" spans="1:47">
      <c r="A115" s="49"/>
      <c r="B115" s="49"/>
      <c r="C115" s="49"/>
      <c r="D115" s="49"/>
      <c r="E115" s="49"/>
      <c r="F115" s="49" t="s">
        <v>1557</v>
      </c>
      <c r="G115" s="49"/>
      <c r="H115" s="49" t="s">
        <v>1558</v>
      </c>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row>
    <row r="116" spans="1:47">
      <c r="A116" s="49"/>
      <c r="B116" s="49"/>
      <c r="C116" s="49"/>
      <c r="D116" s="49"/>
      <c r="E116" s="49"/>
      <c r="F116" s="84" t="s">
        <v>249</v>
      </c>
      <c r="G116" s="85"/>
      <c r="H116" s="65" t="s">
        <v>243</v>
      </c>
      <c r="I116" s="65" t="s">
        <v>1559</v>
      </c>
      <c r="J116" s="65" t="s">
        <v>1560</v>
      </c>
      <c r="K116" s="65" t="s">
        <v>1561</v>
      </c>
      <c r="L116" s="65" t="s">
        <v>1562</v>
      </c>
      <c r="M116" s="65" t="s">
        <v>1563</v>
      </c>
      <c r="N116" s="65" t="s">
        <v>1446</v>
      </c>
      <c r="O116" s="65" t="s">
        <v>246</v>
      </c>
      <c r="P116" s="65" t="s">
        <v>247</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row>
    <row r="117" spans="1:47">
      <c r="A117" s="49"/>
      <c r="B117" s="49"/>
      <c r="C117" s="49"/>
      <c r="D117" s="49"/>
      <c r="E117" s="49"/>
      <c r="F117" s="70" t="s">
        <v>349</v>
      </c>
      <c r="G117" s="86"/>
      <c r="H117" s="280">
        <v>1</v>
      </c>
      <c r="I117" s="62">
        <v>450</v>
      </c>
      <c r="J117" s="62">
        <v>140</v>
      </c>
      <c r="K117" s="62"/>
      <c r="L117" s="62">
        <v>900</v>
      </c>
      <c r="M117" s="62">
        <v>75</v>
      </c>
      <c r="N117" s="62">
        <v>2</v>
      </c>
      <c r="O117" s="62"/>
      <c r="P117" s="62"/>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row>
    <row r="118" spans="1:47">
      <c r="A118" s="49"/>
      <c r="B118" s="49"/>
      <c r="C118" s="49"/>
      <c r="D118" s="49"/>
      <c r="E118" s="49"/>
      <c r="F118" s="70" t="s">
        <v>1564</v>
      </c>
      <c r="G118" s="86"/>
      <c r="H118" s="280">
        <v>2</v>
      </c>
      <c r="I118" s="62">
        <v>450</v>
      </c>
      <c r="J118" s="62">
        <v>140</v>
      </c>
      <c r="K118" s="382">
        <v>4</v>
      </c>
      <c r="L118" s="62">
        <v>900</v>
      </c>
      <c r="M118" s="62">
        <v>75</v>
      </c>
      <c r="N118" s="62">
        <v>2</v>
      </c>
      <c r="O118" s="150">
        <v>1600000</v>
      </c>
      <c r="P118" s="147">
        <v>1</v>
      </c>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row>
    <row r="119" spans="1:47">
      <c r="A119" s="49"/>
      <c r="B119" s="49"/>
      <c r="C119" s="49"/>
      <c r="D119" s="49"/>
      <c r="E119" s="49"/>
      <c r="F119" s="88" t="s">
        <v>287</v>
      </c>
      <c r="G119" s="89"/>
      <c r="H119" s="280">
        <v>3</v>
      </c>
      <c r="I119" s="62">
        <v>450</v>
      </c>
      <c r="J119" s="62">
        <v>140</v>
      </c>
      <c r="K119" s="382">
        <v>4</v>
      </c>
      <c r="L119" s="62">
        <v>990</v>
      </c>
      <c r="M119" s="62">
        <v>83</v>
      </c>
      <c r="N119" s="62">
        <v>2</v>
      </c>
      <c r="O119" s="150">
        <v>1700000</v>
      </c>
      <c r="P119" s="147">
        <v>1</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row>
    <row r="120" spans="1:47">
      <c r="A120" s="49"/>
      <c r="B120" s="49"/>
      <c r="C120" s="49"/>
      <c r="D120" s="49"/>
      <c r="E120" s="49"/>
      <c r="F120" s="84" t="s">
        <v>1565</v>
      </c>
      <c r="G120" s="85"/>
      <c r="H120" s="280">
        <v>4</v>
      </c>
      <c r="I120" s="62">
        <v>450</v>
      </c>
      <c r="J120" s="62">
        <v>140</v>
      </c>
      <c r="K120" s="382">
        <v>4</v>
      </c>
      <c r="L120" s="62">
        <v>1089</v>
      </c>
      <c r="M120" s="62">
        <v>91</v>
      </c>
      <c r="N120" s="62">
        <v>2</v>
      </c>
      <c r="O120" s="150">
        <v>1800000</v>
      </c>
      <c r="P120" s="147">
        <v>2</v>
      </c>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row>
    <row r="121" spans="1:47">
      <c r="A121" s="49"/>
      <c r="B121" s="49"/>
      <c r="C121" s="49"/>
      <c r="D121" s="49"/>
      <c r="E121" s="49"/>
      <c r="F121" s="70" t="s">
        <v>1566</v>
      </c>
      <c r="G121" s="86"/>
      <c r="H121" s="280">
        <v>5</v>
      </c>
      <c r="I121" s="62">
        <v>450</v>
      </c>
      <c r="J121" s="62">
        <v>140</v>
      </c>
      <c r="K121" s="382">
        <v>4</v>
      </c>
      <c r="L121" s="62">
        <v>1198</v>
      </c>
      <c r="M121" s="62">
        <v>100</v>
      </c>
      <c r="N121" s="62">
        <v>2</v>
      </c>
      <c r="O121" s="150">
        <v>1900000</v>
      </c>
      <c r="P121" s="147">
        <v>2</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row>
    <row r="122" spans="1:47">
      <c r="A122" s="49"/>
      <c r="B122" s="49"/>
      <c r="C122" s="49"/>
      <c r="D122" s="49"/>
      <c r="E122" s="49"/>
      <c r="F122" s="70" t="s">
        <v>1528</v>
      </c>
      <c r="G122" s="86"/>
      <c r="H122" s="280">
        <v>6</v>
      </c>
      <c r="I122" s="62">
        <v>450</v>
      </c>
      <c r="J122" s="62">
        <v>140</v>
      </c>
      <c r="K122" s="382">
        <v>5</v>
      </c>
      <c r="L122" s="62">
        <v>1198</v>
      </c>
      <c r="M122" s="62">
        <v>100</v>
      </c>
      <c r="N122" s="62">
        <v>2</v>
      </c>
      <c r="O122" s="150">
        <v>2000000</v>
      </c>
      <c r="P122" s="147">
        <v>3</v>
      </c>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row>
    <row r="123" spans="1:47">
      <c r="A123" s="49"/>
      <c r="B123" s="49"/>
      <c r="C123" s="49"/>
      <c r="D123" s="49"/>
      <c r="E123" s="49"/>
      <c r="F123" s="70"/>
      <c r="G123" s="86"/>
      <c r="H123" s="280">
        <v>7</v>
      </c>
      <c r="I123" s="62">
        <v>450</v>
      </c>
      <c r="J123" s="62">
        <v>140</v>
      </c>
      <c r="K123" s="382">
        <v>5</v>
      </c>
      <c r="L123" s="62">
        <v>1318</v>
      </c>
      <c r="M123" s="62">
        <v>110</v>
      </c>
      <c r="N123" s="62">
        <v>2</v>
      </c>
      <c r="O123" s="150">
        <v>2200000</v>
      </c>
      <c r="P123" s="147">
        <v>3</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row>
    <row r="124" spans="1:47">
      <c r="A124" s="49"/>
      <c r="B124" s="49"/>
      <c r="C124" s="49"/>
      <c r="D124" s="49"/>
      <c r="E124" s="49"/>
      <c r="F124" s="70"/>
      <c r="G124" s="86"/>
      <c r="H124" s="280">
        <v>8</v>
      </c>
      <c r="I124" s="62">
        <v>450</v>
      </c>
      <c r="J124" s="62">
        <v>140</v>
      </c>
      <c r="K124" s="382">
        <v>5</v>
      </c>
      <c r="L124" s="62">
        <v>1318</v>
      </c>
      <c r="M124" s="62">
        <v>110</v>
      </c>
      <c r="N124" s="62">
        <v>3</v>
      </c>
      <c r="O124" s="150">
        <v>2400000</v>
      </c>
      <c r="P124" s="147">
        <v>4</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row>
    <row r="125" spans="1:47">
      <c r="A125" s="49"/>
      <c r="B125" s="49"/>
      <c r="C125" s="49"/>
      <c r="D125" s="49"/>
      <c r="E125" s="49"/>
      <c r="F125" s="49"/>
      <c r="G125" s="56"/>
      <c r="H125" s="280">
        <v>9</v>
      </c>
      <c r="I125" s="62">
        <v>450</v>
      </c>
      <c r="J125" s="62">
        <v>140</v>
      </c>
      <c r="K125" s="382">
        <v>5</v>
      </c>
      <c r="L125" s="62">
        <v>1450</v>
      </c>
      <c r="M125" s="62">
        <v>121</v>
      </c>
      <c r="N125" s="62">
        <v>3</v>
      </c>
      <c r="O125" s="150">
        <v>2600000</v>
      </c>
      <c r="P125" s="147">
        <v>4</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row>
    <row r="126" spans="1:47">
      <c r="A126" s="49"/>
      <c r="B126" s="49"/>
      <c r="C126" s="49"/>
      <c r="D126" s="49"/>
      <c r="E126" s="49"/>
      <c r="F126" s="49"/>
      <c r="G126" s="56"/>
      <c r="H126" s="280">
        <v>10</v>
      </c>
      <c r="I126" s="62">
        <v>550</v>
      </c>
      <c r="J126" s="62">
        <v>180</v>
      </c>
      <c r="K126" s="382">
        <v>5</v>
      </c>
      <c r="L126" s="62">
        <v>1450</v>
      </c>
      <c r="M126" s="62">
        <v>121</v>
      </c>
      <c r="N126" s="62">
        <v>3</v>
      </c>
      <c r="O126" s="150">
        <v>2800000</v>
      </c>
      <c r="P126" s="147">
        <v>4</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row>
    <row r="127" spans="1:47">
      <c r="A127" s="49"/>
      <c r="B127" s="49"/>
      <c r="C127" s="49"/>
      <c r="D127" s="49"/>
      <c r="E127" s="49"/>
      <c r="F127" s="49"/>
      <c r="G127" s="56"/>
      <c r="H127" s="280">
        <v>11</v>
      </c>
      <c r="I127" s="62">
        <v>550</v>
      </c>
      <c r="J127" s="62">
        <v>180</v>
      </c>
      <c r="K127" s="382">
        <v>5</v>
      </c>
      <c r="L127" s="62">
        <v>1595</v>
      </c>
      <c r="M127" s="62">
        <v>133</v>
      </c>
      <c r="N127" s="62">
        <v>3</v>
      </c>
      <c r="O127" s="150">
        <v>3000000</v>
      </c>
      <c r="P127" s="147">
        <v>4</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row>
    <row r="128" spans="1:47">
      <c r="A128" s="49"/>
      <c r="B128" s="49"/>
      <c r="C128" s="49"/>
      <c r="D128" s="49"/>
      <c r="E128" s="49"/>
      <c r="F128" s="49"/>
      <c r="G128" s="56"/>
      <c r="H128" s="280">
        <v>12</v>
      </c>
      <c r="I128" s="62">
        <v>550</v>
      </c>
      <c r="J128" s="62">
        <v>180</v>
      </c>
      <c r="K128" s="382">
        <v>6</v>
      </c>
      <c r="L128" s="62">
        <v>1595</v>
      </c>
      <c r="M128" s="62">
        <v>133</v>
      </c>
      <c r="N128" s="62">
        <v>3</v>
      </c>
      <c r="O128" s="150">
        <v>3200000</v>
      </c>
      <c r="P128" s="147">
        <v>4</v>
      </c>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row>
    <row r="129" spans="1:47">
      <c r="A129" s="49"/>
      <c r="B129" s="49"/>
      <c r="C129" s="49"/>
      <c r="D129" s="49"/>
      <c r="E129" s="49"/>
      <c r="F129" s="49"/>
      <c r="G129" s="56"/>
      <c r="H129" s="280">
        <v>13</v>
      </c>
      <c r="I129" s="62">
        <v>550</v>
      </c>
      <c r="J129" s="62">
        <v>180</v>
      </c>
      <c r="K129" s="382">
        <v>6</v>
      </c>
      <c r="L129" s="62">
        <v>1755</v>
      </c>
      <c r="M129" s="62">
        <v>146</v>
      </c>
      <c r="N129" s="62">
        <v>3</v>
      </c>
      <c r="O129" s="150">
        <v>3400000</v>
      </c>
      <c r="P129" s="147">
        <v>4</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row>
    <row r="130" spans="1:47">
      <c r="A130" s="49"/>
      <c r="B130" s="49"/>
      <c r="C130" s="49"/>
      <c r="D130" s="49"/>
      <c r="E130" s="49"/>
      <c r="F130" s="49"/>
      <c r="G130" s="56"/>
      <c r="H130" s="280">
        <v>14</v>
      </c>
      <c r="I130" s="62">
        <v>650</v>
      </c>
      <c r="J130" s="62">
        <v>220</v>
      </c>
      <c r="K130" s="382">
        <v>6</v>
      </c>
      <c r="L130" s="62">
        <v>1755</v>
      </c>
      <c r="M130" s="62">
        <v>146</v>
      </c>
      <c r="N130" s="62">
        <v>3</v>
      </c>
      <c r="O130" s="150">
        <v>3600000</v>
      </c>
      <c r="P130" s="147">
        <v>4</v>
      </c>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row>
    <row r="131" spans="1:47">
      <c r="A131" s="49"/>
      <c r="B131" s="49"/>
      <c r="C131" s="49"/>
      <c r="D131" s="49"/>
      <c r="E131" s="49"/>
      <c r="F131" s="49"/>
      <c r="G131" s="56"/>
      <c r="H131" s="280">
        <v>15</v>
      </c>
      <c r="I131" s="62">
        <v>650</v>
      </c>
      <c r="J131" s="62">
        <v>220</v>
      </c>
      <c r="K131" s="382">
        <v>6</v>
      </c>
      <c r="L131" s="62">
        <v>1931</v>
      </c>
      <c r="M131" s="62">
        <v>161</v>
      </c>
      <c r="N131" s="62">
        <v>3</v>
      </c>
      <c r="O131" s="150">
        <v>3800000</v>
      </c>
      <c r="P131" s="147">
        <v>4</v>
      </c>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row>
    <row r="132" spans="1:47">
      <c r="A132" s="49"/>
      <c r="B132" s="49"/>
      <c r="C132" s="49"/>
      <c r="D132" s="49"/>
      <c r="E132" s="49"/>
      <c r="F132" s="49"/>
      <c r="G132" s="56"/>
      <c r="H132" s="280">
        <v>16</v>
      </c>
      <c r="I132" s="62">
        <v>650</v>
      </c>
      <c r="J132" s="62">
        <v>220</v>
      </c>
      <c r="K132" s="382">
        <v>7</v>
      </c>
      <c r="L132" s="62">
        <v>1931</v>
      </c>
      <c r="M132" s="62">
        <v>161</v>
      </c>
      <c r="N132" s="62">
        <v>3</v>
      </c>
      <c r="O132" s="150">
        <v>4000000</v>
      </c>
      <c r="P132" s="147">
        <v>4</v>
      </c>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row>
    <row r="133" spans="1:47">
      <c r="A133" s="49"/>
      <c r="B133" s="49"/>
      <c r="C133" s="49"/>
      <c r="D133" s="49"/>
      <c r="E133" s="49"/>
      <c r="F133" s="49"/>
      <c r="G133" s="56"/>
      <c r="H133" s="280">
        <v>17</v>
      </c>
      <c r="I133" s="62">
        <v>650</v>
      </c>
      <c r="J133" s="62">
        <v>220</v>
      </c>
      <c r="K133" s="382">
        <v>7</v>
      </c>
      <c r="L133" s="62">
        <v>2124</v>
      </c>
      <c r="M133" s="62">
        <v>177</v>
      </c>
      <c r="N133" s="62">
        <v>3</v>
      </c>
      <c r="O133" s="150">
        <v>4200000</v>
      </c>
      <c r="P133" s="147">
        <v>5</v>
      </c>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row>
    <row r="134" spans="1:47">
      <c r="A134" s="49"/>
      <c r="B134" s="49"/>
      <c r="C134" s="49"/>
      <c r="D134" s="49"/>
      <c r="E134" s="49"/>
      <c r="F134" s="49"/>
      <c r="G134" s="56"/>
      <c r="H134" s="280">
        <v>18</v>
      </c>
      <c r="I134" s="62">
        <v>650</v>
      </c>
      <c r="J134" s="62">
        <v>220</v>
      </c>
      <c r="K134" s="382">
        <v>7</v>
      </c>
      <c r="L134" s="62">
        <v>2124</v>
      </c>
      <c r="M134" s="62">
        <v>195</v>
      </c>
      <c r="N134" s="62">
        <v>3</v>
      </c>
      <c r="O134" s="150">
        <v>4400000</v>
      </c>
      <c r="P134" s="147">
        <v>5</v>
      </c>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row>
    <row r="135" spans="1:47">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row>
    <row r="136" spans="1:47">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row>
    <row r="137" spans="1:47">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row>
    <row r="138" spans="1:47">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row>
    <row r="139" spans="1:47">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row>
    <row r="140" spans="1:47">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row>
    <row r="141" spans="1:47">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row>
    <row r="142" spans="1:47">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row>
  </sheetData>
  <mergeCells count="4">
    <mergeCell ref="A1:C2"/>
    <mergeCell ref="D1:E2"/>
    <mergeCell ref="A3:C4"/>
    <mergeCell ref="AE1:AF2"/>
  </mergeCells>
  <conditionalFormatting sqref="A1:AU142">
    <cfRule type="expression" dxfId="40" priority="1">
      <formula>颜色主题="魔法"</formula>
    </cfRule>
  </conditionalFormatting>
  <dataValidations count="19">
    <dataValidation allowBlank="1" showInputMessage="1" showErrorMessage="1" promptTitle="====================" prompt="飞行速度：14格/秒_x000a_可否追踪：可以_x000a_弹道轨迹：抛物线_x000a_参考时间：0.25秒_x000a_" sqref="Z5" xr:uid="{00000000-0002-0000-0400-000000000000}"/>
    <dataValidation allowBlank="1" showInputMessage="1" showErrorMessage="1" promptTitle="=========================" prompt="移速的单位是：秒/格_x000a_与游戏显示的数值n的转换方法是：n/8" sqref="F9 R9 AG9 F31 R31 F53 R53 F75 R75 F96 R97 F118" xr:uid="{00000000-0002-0000-0400-000001000000}"/>
    <dataValidation allowBlank="1" showInputMessage="1" showErrorMessage="1" promptTitle="=========================" prompt="攻速决定了单位开火所需要的时间，_x000a_每次伤害=攻速*每秒伤害。" sqref="F8 R8 AG8 F30 R30 X50 F52 R52 R56 F74 R74 R96" xr:uid="{00000000-0002-0000-0400-000002000000}"/>
    <dataValidation allowBlank="1" showInputMessage="1" showErrorMessage="1" promptTitle="=========================" prompt="此项目决定了兵种的攻击目标和偏好。_x000a_攻击任何目标，选择最近的攻击！" sqref="F6 R6 AG6 R28 R50 F72 R72 F94 R94" xr:uid="{00000000-0002-0000-0400-000003000000}"/>
    <dataValidation allowBlank="1" showInputMessage="1" showErrorMessage="1" promptTitle="=========================" prompt="射程指的是单位可以攻击到目标的最远距离" sqref="F7 R7 AG7 F29 R29 F51 R51 F73 R73 F77 F95 R95 F117" xr:uid="{00000000-0002-0000-0400-000004000000}"/>
    <dataValidation allowBlank="1" showInputMessage="1" showErrorMessage="1" promptTitle="=========================" prompt="野蛮人狂暴模式下的移速_x000a_" sqref="F11" xr:uid="{00000000-0002-0000-0400-000005000000}"/>
    <dataValidation allowBlank="1" showInputMessage="1" showErrorMessage="1" promptTitle="=========================" prompt="单体攻击：一次攻击只击中一个目标，并且永远不会击空。" sqref="F10 R10 F32 R32 F76 R98 F119" xr:uid="{00000000-0002-0000-0400-000006000000}"/>
    <dataValidation allowBlank="1" showInputMessage="1" showErrorMessage="1" promptTitle="====================" prompt="在隐形期间，弓箭手仅仅无法作为攻击目标。_x000a_陷阱或者其他间接伤害都可以伤害到她们。_x000a_" sqref="R11" xr:uid="{00000000-0002-0000-0400-000007000000}"/>
    <dataValidation allowBlank="1" showInputMessage="1" showErrorMessage="1" promptTitle="=====================" prompt="野蛮人狂暴模式下的每秒伤害比例" sqref="F12" xr:uid="{00000000-0002-0000-0400-000008000000}"/>
    <dataValidation allowBlank="1" showInputMessage="1" showErrorMessage="1" promptTitle="=========================" prompt="陆军单位有被弹射陷阱和隐形弹簧作用的风险。_x000a_弹射质量代表了部队的规模，数值越大，弹射相同数量的部队所需要的弹射能力越大。_x000a_" sqref="F13 R13 F35 F58 R78 F79 R101 F122" xr:uid="{00000000-0002-0000-0400-000009000000}"/>
    <dataValidation allowBlank="1" showInputMessage="1" showErrorMessage="1" promptTitle="====================" prompt="飞行速度：3.8格/秒_x000a_可否追踪：可以_x000a_弹道轨迹：抛物线_x000a_参考时间：0.72秒_x000a_" sqref="Z27" xr:uid="{00000000-0002-0000-0400-00000A000000}"/>
    <dataValidation allowBlank="1" showInputMessage="1" showErrorMessage="1" promptTitle="======================" prompt="此项目决定了兵种的攻击目标和偏好。_x000a_优先攻击最近偏好目标，否则选择最近的攻击！" sqref="F28" xr:uid="{00000000-0002-0000-0400-00000B000000}"/>
    <dataValidation allowBlank="1" showInputMessage="1" showErrorMessage="1" promptTitle="====================" prompt="飞行速度：4.5格/秒_x000a_可否追踪：可以_x000a_弹道轨迹：抛物线_x000a_参考时间：0.78秒_x000a_" sqref="O49" xr:uid="{00000000-0002-0000-0400-00000C000000}"/>
    <dataValidation allowBlank="1" showInputMessage="1" showErrorMessage="1" promptTitle="====================" prompt="飞行速度：4.75格/秒_x000a_可否追踪：可以_x000a_弹道轨迹：抛物线_x000a_参考时间：0.58秒_x000a_" sqref="AB49" xr:uid="{00000000-0002-0000-0400-00000D000000}"/>
    <dataValidation allowBlank="1" showInputMessage="1" showErrorMessage="1" promptTitle="=========================" prompt="带有溅射半径的兵种都可以产生溅射伤害，从而可以击中多个单位，但有可能会因为高速移动而被闪避。_x000a_" sqref="F54 R54 R76" xr:uid="{00000000-0002-0000-0400-00000E000000}"/>
    <dataValidation allowBlank="1" showInputMessage="1" showErrorMessage="1" promptTitle="=========================" prompt="此项的含义是：兵种会对被克制单位有更多倍的伤害。" sqref="F55" xr:uid="{00000000-0002-0000-0400-00000F000000}"/>
    <dataValidation allowBlank="1" showInputMessage="1" showErrorMessage="1" promptTitle="====================" prompt="飞行速度：12格/秒_x000a_可否追踪：可以_x000a_弹道轨迹：直线_x000a_参考时间：0.375秒_x000a_" sqref="N71" xr:uid="{00000000-0002-0000-0400-000010000000}"/>
    <dataValidation allowBlank="1" showInputMessage="1" showErrorMessage="1" promptTitle="====================" prompt="飞行速度：5格/秒_x000a_可否追踪：不能_x000a_弹道轨迹：直线_x000a_参考时间：0.8秒_x000a_" sqref="AC71" xr:uid="{00000000-0002-0000-0400-000011000000}"/>
    <dataValidation allowBlank="1" showInputMessage="1" showErrorMessage="1" promptTitle="======================" prompt="每秒钟生命值降低25，直到报废" sqref="F78" xr:uid="{00000000-0002-0000-0400-000012000000}"/>
  </dataValidations>
  <hyperlinks>
    <hyperlink ref="D4" location="'3.1夜本军队'!F5：O24" tooltip="狂暴的无情战士，擅长人海战术" display="01.狂暴野蛮人" xr:uid="{00000000-0004-0000-0400-000000000000}"/>
    <hyperlink ref="D5" location="'3.1夜本军队'!R5：Z24" tooltip="隐秘在黑暗中的射手，开局不能被锁定" display="02.隐秘弓箭手" xr:uid="{00000000-0004-0000-0400-000001000000}"/>
    <hyperlink ref="D6" location="'3.1夜本军队'!F27：O46" tooltip="肉盾单位，可以抵抗大量伤害" display="03.巨人拳击手" xr:uid="{00000000-0004-0000-0400-000002000000}"/>
    <hyperlink ref="D7" location="'3.1夜本军队'!R27：Z46" tooltip="会飞的小精灵，能远距离攻击目标" display="04.异变亡灵" xr:uid="{00000000-0004-0000-0400-000003000000}"/>
    <hyperlink ref="D8" location="'3.1夜本军队'!F49：O68" tooltip="投掷炸弹，对城墙致命" display="05.炸弹兵" xr:uid="{00000000-0004-0000-0400-000004000000}"/>
    <hyperlink ref="D9" location="'3.1夜本军队'!R49：AB68" tooltip="小龙什么的最可爱了" display="06.飞龙宝宝" xr:uid="{00000000-0004-0000-0400-000005000000}"/>
    <hyperlink ref="D10" location="'3.1夜本军队'!F71：N90" tooltip="极高伤害的远程单位，只不过有点脆" display="07.加农炮战车" xr:uid="{00000000-0004-0000-0400-000006000000}"/>
    <hyperlink ref="D11" location="'3.1夜本军队'!R71：AC90" tooltip="召唤蝙蝠以支援" display="08.暗夜女巫" xr:uid="{00000000-0004-0000-0400-000007000000}"/>
    <hyperlink ref="D12" location="'3.1夜本军队'!F93：O112" tooltip="召唤骷髅的高血量气球" display="09.骷髅气球" xr:uid="{00000000-0004-0000-0400-000008000000}"/>
    <hyperlink ref="D13" location="'3.1夜本军队'!R93：Z112" tooltip="仿佛是一名真正的英雄" display="10.超级皮卡" xr:uid="{00000000-0004-0000-0400-000009000000}"/>
    <hyperlink ref="D16" location="'3.1夜本军队'!AE2：AT37" tooltip="可以多次释放技能的英雄，存活越久优势越大" display="&gt;&gt;战争机器" xr:uid="{00000000-0004-0000-0400-00000A000000}"/>
    <hyperlink ref="D14" location="'3.1夜本军队'!F115：P134" tooltip="会飞的野猪，而且可以瘫痪目标" display="11.野猪飞骑" xr:uid="{00000000-0004-0000-0400-00000B000000}"/>
    <hyperlink ref="AE6" location="'3.1夜本军队'!D1：AC136" tooltip="夜本军队个个带有自己的技能" display="&gt;&gt;夜本军队" xr:uid="{00000000-0004-0000-0400-00000C000000}"/>
    <hyperlink ref="D17" location="'3.1夜本军队'!A1:C11" tooltip="返回主界面" display="○主界面" xr:uid="{00000000-0004-0000-0400-00000D000000}"/>
    <hyperlink ref="AE7" location="'3.1夜本军队'!A1:C11" tooltip="返回主界面" display="○主界面" xr:uid="{00000000-0004-0000-0400-00000E000000}"/>
    <hyperlink ref="AE4" location="'3.1夜本军队'!AG5：AQ36" tooltip="可持久化放技能，存活越久优势越大" display="01.战争机器" xr:uid="{00000000-0004-0000-0400-00000F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P75"/>
  <sheetViews>
    <sheetView workbookViewId="0">
      <selection sqref="A1:C2"/>
    </sheetView>
  </sheetViews>
  <sheetFormatPr defaultColWidth="9" defaultRowHeight="14.15"/>
  <cols>
    <col min="13" max="13" width="9.35546875" customWidth="1"/>
    <col min="23" max="23" width="9.35546875" customWidth="1"/>
    <col min="33" max="33" width="9.35546875" customWidth="1"/>
    <col min="44" max="44" width="9" customWidth="1"/>
    <col min="53" max="54" width="9.35546875" customWidth="1"/>
    <col min="56" max="56" width="9.35546875"/>
    <col min="65" max="65" width="9.35546875" customWidth="1"/>
  </cols>
  <sheetData>
    <row r="1" spans="1:68" ht="14.25" customHeight="1">
      <c r="A1" s="536" t="s">
        <v>1567</v>
      </c>
      <c r="B1" s="536"/>
      <c r="C1" s="536"/>
      <c r="D1" s="537" t="s">
        <v>1035</v>
      </c>
      <c r="E1" s="537"/>
      <c r="F1" s="49"/>
      <c r="G1" s="49"/>
      <c r="H1" s="49"/>
      <c r="I1" s="49"/>
      <c r="J1" s="49"/>
      <c r="K1" s="49"/>
      <c r="L1" s="49"/>
      <c r="M1" s="118"/>
      <c r="N1" s="118"/>
      <c r="O1" s="118"/>
      <c r="P1" s="118"/>
      <c r="Q1" s="118"/>
      <c r="R1" s="118"/>
      <c r="S1" s="118"/>
      <c r="T1" s="118"/>
      <c r="U1" s="118"/>
      <c r="V1" s="118"/>
      <c r="W1" s="118"/>
      <c r="X1" s="118"/>
      <c r="Y1" s="118"/>
      <c r="Z1" s="49"/>
      <c r="AA1" s="49"/>
      <c r="AB1" s="49"/>
      <c r="AC1" s="49"/>
      <c r="AD1" s="49"/>
      <c r="AE1" s="49"/>
      <c r="AF1" s="49"/>
      <c r="AG1" s="49"/>
      <c r="AH1" s="49"/>
      <c r="AI1" s="49"/>
      <c r="AJ1" s="537" t="s">
        <v>1077</v>
      </c>
      <c r="AK1" s="537"/>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row>
    <row r="2" spans="1:68" ht="15" customHeight="1">
      <c r="A2" s="536"/>
      <c r="B2" s="536"/>
      <c r="C2" s="536"/>
      <c r="D2" s="538"/>
      <c r="E2" s="538"/>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49"/>
      <c r="AI2" s="49"/>
      <c r="AJ2" s="538"/>
      <c r="AK2" s="538"/>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49"/>
    </row>
    <row r="3" spans="1:68">
      <c r="A3" s="539" t="s">
        <v>1568</v>
      </c>
      <c r="B3" s="539"/>
      <c r="C3" s="539"/>
      <c r="D3" s="54" t="s">
        <v>1433</v>
      </c>
      <c r="E3" s="49"/>
      <c r="F3" s="118"/>
      <c r="G3" s="118"/>
      <c r="H3" s="118"/>
      <c r="I3" s="118"/>
      <c r="J3" s="118"/>
      <c r="K3" s="118"/>
      <c r="L3" s="118"/>
      <c r="M3" s="118"/>
      <c r="N3" s="118"/>
      <c r="O3" s="118"/>
      <c r="P3" s="118"/>
      <c r="Q3" s="118"/>
      <c r="R3" s="118"/>
      <c r="S3" s="118"/>
      <c r="T3" s="118"/>
      <c r="U3" s="118"/>
      <c r="V3" s="118"/>
      <c r="W3" s="118"/>
      <c r="X3" s="118"/>
      <c r="Y3" s="118"/>
      <c r="Z3" s="49"/>
      <c r="AA3" s="49"/>
      <c r="AB3" s="49"/>
      <c r="AC3" s="49"/>
      <c r="AD3" s="49"/>
      <c r="AE3" s="49"/>
      <c r="AF3" s="49"/>
      <c r="AG3" s="49"/>
      <c r="AH3" s="49"/>
      <c r="AI3" s="49"/>
      <c r="AJ3" s="49" t="s">
        <v>231</v>
      </c>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row>
    <row r="4" spans="1:68">
      <c r="A4" s="539"/>
      <c r="B4" s="539"/>
      <c r="C4" s="539"/>
      <c r="D4" s="216" t="s">
        <v>1569</v>
      </c>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118"/>
      <c r="AJ4" s="54" t="s">
        <v>1080</v>
      </c>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row>
    <row r="5" spans="1:68">
      <c r="A5" s="62" t="s">
        <v>238</v>
      </c>
      <c r="B5" s="62" t="s">
        <v>239</v>
      </c>
      <c r="C5" s="62" t="s">
        <v>240</v>
      </c>
      <c r="D5" s="216" t="s">
        <v>1570</v>
      </c>
      <c r="E5" s="49"/>
      <c r="F5" s="49" t="s">
        <v>1571</v>
      </c>
      <c r="G5" s="49"/>
      <c r="H5" s="49"/>
      <c r="I5" s="49"/>
      <c r="J5" s="49"/>
      <c r="K5" s="49"/>
      <c r="L5" s="49"/>
      <c r="M5" s="49"/>
      <c r="N5" s="49"/>
      <c r="O5" s="49"/>
      <c r="P5" s="49" t="s">
        <v>1572</v>
      </c>
      <c r="Q5" s="49"/>
      <c r="R5" s="137" t="s">
        <v>1084</v>
      </c>
      <c r="S5" s="49"/>
      <c r="T5" s="49"/>
      <c r="U5" s="49"/>
      <c r="V5" s="49"/>
      <c r="W5" s="49"/>
      <c r="X5" s="49"/>
      <c r="Y5" s="49"/>
      <c r="Z5" s="49" t="s">
        <v>1573</v>
      </c>
      <c r="AA5" s="49"/>
      <c r="AB5" s="137" t="s">
        <v>1084</v>
      </c>
      <c r="AC5" s="49"/>
      <c r="AD5" s="49"/>
      <c r="AE5" s="49"/>
      <c r="AF5" s="49"/>
      <c r="AG5" s="49"/>
      <c r="AH5" s="49"/>
      <c r="AI5" s="118"/>
      <c r="AJ5" s="54" t="s">
        <v>1574</v>
      </c>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row>
    <row r="6" spans="1:68">
      <c r="A6" s="120" t="s">
        <v>1442</v>
      </c>
      <c r="B6" s="87">
        <v>4</v>
      </c>
      <c r="C6" s="79" t="s">
        <v>1443</v>
      </c>
      <c r="D6" s="216" t="s">
        <v>1575</v>
      </c>
      <c r="E6" s="49"/>
      <c r="F6" s="52" t="s">
        <v>1103</v>
      </c>
      <c r="G6" s="117"/>
      <c r="H6" s="108" t="s">
        <v>243</v>
      </c>
      <c r="I6" s="65" t="s">
        <v>244</v>
      </c>
      <c r="J6" s="65" t="s">
        <v>1104</v>
      </c>
      <c r="K6" s="65" t="s">
        <v>1091</v>
      </c>
      <c r="L6" s="49"/>
      <c r="M6" s="49"/>
      <c r="N6" s="49"/>
      <c r="O6" s="49"/>
      <c r="P6" s="52" t="s">
        <v>1099</v>
      </c>
      <c r="Q6" s="64"/>
      <c r="R6" s="108" t="s">
        <v>243</v>
      </c>
      <c r="S6" s="65" t="s">
        <v>244</v>
      </c>
      <c r="T6" s="65" t="s">
        <v>245</v>
      </c>
      <c r="U6" s="65" t="s">
        <v>250</v>
      </c>
      <c r="V6" s="65" t="s">
        <v>1091</v>
      </c>
      <c r="W6" s="65" t="s">
        <v>1092</v>
      </c>
      <c r="X6" s="49"/>
      <c r="Y6" s="49"/>
      <c r="Z6" s="52" t="s">
        <v>1099</v>
      </c>
      <c r="AA6" s="64"/>
      <c r="AB6" s="108" t="s">
        <v>243</v>
      </c>
      <c r="AC6" s="65" t="s">
        <v>244</v>
      </c>
      <c r="AD6" s="65" t="s">
        <v>245</v>
      </c>
      <c r="AE6" s="65" t="s">
        <v>250</v>
      </c>
      <c r="AF6" s="65" t="s">
        <v>1091</v>
      </c>
      <c r="AG6" s="65" t="s">
        <v>1092</v>
      </c>
      <c r="AH6" s="49"/>
      <c r="AI6" s="118"/>
      <c r="AJ6" s="54" t="s">
        <v>1576</v>
      </c>
      <c r="AK6" s="49"/>
      <c r="AL6" s="49" t="s">
        <v>1577</v>
      </c>
      <c r="AM6" s="49"/>
      <c r="AN6" s="49"/>
      <c r="AO6" s="49"/>
      <c r="AP6" s="49"/>
      <c r="AQ6" s="49"/>
      <c r="AR6" s="49"/>
      <c r="AS6" s="49"/>
      <c r="AT6" s="49"/>
      <c r="AU6" s="49"/>
      <c r="AV6" s="49" t="s">
        <v>1578</v>
      </c>
      <c r="AW6" s="49"/>
      <c r="AX6" s="49"/>
      <c r="AY6" s="49"/>
      <c r="AZ6" s="49"/>
      <c r="BA6" s="49"/>
      <c r="BB6" s="49"/>
      <c r="BC6" s="49"/>
      <c r="BD6" s="49"/>
      <c r="BE6" s="49"/>
      <c r="BF6" s="49" t="s">
        <v>1579</v>
      </c>
      <c r="BG6" s="49"/>
      <c r="BH6" s="49"/>
      <c r="BI6" s="49"/>
      <c r="BJ6" s="49"/>
      <c r="BK6" s="49"/>
      <c r="BL6" s="49"/>
      <c r="BM6" s="49"/>
      <c r="BN6" s="49"/>
      <c r="BO6" s="49"/>
      <c r="BP6" s="49"/>
    </row>
    <row r="7" spans="1:68">
      <c r="A7" s="120" t="s">
        <v>1449</v>
      </c>
      <c r="B7" s="99">
        <v>5</v>
      </c>
      <c r="C7" s="79" t="s">
        <v>270</v>
      </c>
      <c r="D7" s="216" t="s">
        <v>1580</v>
      </c>
      <c r="E7" s="49"/>
      <c r="F7" s="49" t="s">
        <v>1114</v>
      </c>
      <c r="G7" s="297"/>
      <c r="H7" s="87">
        <v>1</v>
      </c>
      <c r="I7" s="62">
        <v>1300</v>
      </c>
      <c r="J7" s="62">
        <v>1</v>
      </c>
      <c r="K7" s="62">
        <v>4000</v>
      </c>
      <c r="L7" s="49"/>
      <c r="M7" s="49"/>
      <c r="N7" s="49"/>
      <c r="O7" s="49"/>
      <c r="P7" s="49" t="s">
        <v>1112</v>
      </c>
      <c r="Q7" s="56"/>
      <c r="R7" s="87">
        <v>1</v>
      </c>
      <c r="S7" s="62">
        <v>500</v>
      </c>
      <c r="T7" s="62">
        <v>62.5</v>
      </c>
      <c r="U7" s="62">
        <v>50</v>
      </c>
      <c r="V7" s="150">
        <v>10000</v>
      </c>
      <c r="W7" s="124">
        <v>6.9444444444444404E-4</v>
      </c>
      <c r="X7" s="49"/>
      <c r="Y7" s="49"/>
      <c r="Z7" s="49" t="s">
        <v>1164</v>
      </c>
      <c r="AA7" s="56"/>
      <c r="AB7" s="87">
        <v>1</v>
      </c>
      <c r="AC7" s="62">
        <v>600</v>
      </c>
      <c r="AD7" s="62">
        <f>AE7*4/(1.6+0.192*4)</f>
        <v>84.459459459459453</v>
      </c>
      <c r="AE7" s="62">
        <v>50</v>
      </c>
      <c r="AF7" s="150">
        <v>20000</v>
      </c>
      <c r="AG7" s="124">
        <v>6.9444444444444397E-3</v>
      </c>
      <c r="AH7" s="49"/>
      <c r="AI7" s="118"/>
      <c r="AJ7" s="54" t="s">
        <v>1581</v>
      </c>
      <c r="AK7" s="49"/>
      <c r="AL7" s="52" t="s">
        <v>1088</v>
      </c>
      <c r="AM7" s="64"/>
      <c r="AN7" s="65" t="s">
        <v>243</v>
      </c>
      <c r="AO7" s="65" t="s">
        <v>244</v>
      </c>
      <c r="AP7" s="65" t="s">
        <v>1089</v>
      </c>
      <c r="AQ7" s="65" t="s">
        <v>1091</v>
      </c>
      <c r="AR7" s="65" t="s">
        <v>1092</v>
      </c>
      <c r="AS7" s="49"/>
      <c r="AT7" s="49"/>
      <c r="AU7" s="49"/>
      <c r="AV7" s="52" t="s">
        <v>1107</v>
      </c>
      <c r="AW7" s="64"/>
      <c r="AX7" s="65" t="s">
        <v>243</v>
      </c>
      <c r="AY7" s="65" t="s">
        <v>244</v>
      </c>
      <c r="AZ7" s="65" t="s">
        <v>1178</v>
      </c>
      <c r="BA7" s="65" t="s">
        <v>1091</v>
      </c>
      <c r="BB7" s="65" t="s">
        <v>1092</v>
      </c>
      <c r="BC7" s="49"/>
      <c r="BD7" s="49"/>
      <c r="BE7" s="49"/>
      <c r="BF7" s="52" t="s">
        <v>1107</v>
      </c>
      <c r="BG7" s="64"/>
      <c r="BH7" s="65" t="s">
        <v>1582</v>
      </c>
      <c r="BI7" s="65" t="s">
        <v>244</v>
      </c>
      <c r="BJ7" s="65" t="s">
        <v>1091</v>
      </c>
      <c r="BK7" s="65" t="s">
        <v>1092</v>
      </c>
      <c r="BL7" s="49"/>
      <c r="BM7" s="49"/>
      <c r="BN7" s="49"/>
      <c r="BO7" s="49"/>
      <c r="BP7" s="49"/>
    </row>
    <row r="8" spans="1:68">
      <c r="A8" s="120" t="s">
        <v>1452</v>
      </c>
      <c r="B8" s="90">
        <v>6</v>
      </c>
      <c r="C8" s="79" t="s">
        <v>290</v>
      </c>
      <c r="D8" s="216" t="s">
        <v>1583</v>
      </c>
      <c r="E8" s="49"/>
      <c r="F8" s="49" t="s">
        <v>1120</v>
      </c>
      <c r="G8" s="297"/>
      <c r="H8" s="87">
        <v>2</v>
      </c>
      <c r="I8" s="62">
        <v>1600</v>
      </c>
      <c r="J8" s="62">
        <v>1</v>
      </c>
      <c r="K8" s="150">
        <v>10000</v>
      </c>
      <c r="L8" s="49"/>
      <c r="M8" s="49"/>
      <c r="N8" s="49"/>
      <c r="O8" s="49"/>
      <c r="P8" s="60" t="s">
        <v>895</v>
      </c>
      <c r="Q8" s="61"/>
      <c r="R8" s="87">
        <v>2</v>
      </c>
      <c r="S8" s="62">
        <v>575</v>
      </c>
      <c r="T8" s="62">
        <v>68.75</v>
      </c>
      <c r="U8" s="62">
        <v>55</v>
      </c>
      <c r="V8" s="150">
        <v>20000</v>
      </c>
      <c r="W8" s="124">
        <v>3.4722222222222199E-3</v>
      </c>
      <c r="X8" s="49"/>
      <c r="Y8" s="49"/>
      <c r="Z8" s="49" t="s">
        <v>1159</v>
      </c>
      <c r="AA8" s="56"/>
      <c r="AB8" s="87">
        <v>2</v>
      </c>
      <c r="AC8" s="62">
        <v>690</v>
      </c>
      <c r="AD8" s="62">
        <f t="shared" ref="AD8:AD15" si="0">AE8*4/(1.6+0.192*4)</f>
        <v>92.905405405405389</v>
      </c>
      <c r="AE8" s="62">
        <v>55</v>
      </c>
      <c r="AF8" s="150">
        <v>50000</v>
      </c>
      <c r="AG8" s="124">
        <v>4.1666666666666699E-2</v>
      </c>
      <c r="AH8" s="49"/>
      <c r="AI8" s="118"/>
      <c r="AJ8" s="54" t="s">
        <v>1584</v>
      </c>
      <c r="AK8" s="49"/>
      <c r="AL8" s="60" t="s">
        <v>1106</v>
      </c>
      <c r="AM8" s="61"/>
      <c r="AN8" s="87">
        <v>1</v>
      </c>
      <c r="AO8" s="62">
        <v>100</v>
      </c>
      <c r="AP8" s="62">
        <v>50000</v>
      </c>
      <c r="AQ8" s="62"/>
      <c r="AR8" s="124"/>
      <c r="AS8" s="49"/>
      <c r="AT8" s="49"/>
      <c r="AU8" s="49"/>
      <c r="AV8" s="60" t="s">
        <v>1106</v>
      </c>
      <c r="AW8" s="61"/>
      <c r="AX8" s="87">
        <v>1</v>
      </c>
      <c r="AY8" s="62">
        <v>300</v>
      </c>
      <c r="AZ8" s="62" t="s">
        <v>1585</v>
      </c>
      <c r="BA8" s="62">
        <v>1000</v>
      </c>
      <c r="BB8" s="124"/>
      <c r="BC8" s="49"/>
      <c r="BD8" s="49"/>
      <c r="BE8" s="49"/>
      <c r="BF8" s="60" t="s">
        <v>1117</v>
      </c>
      <c r="BG8" s="61"/>
      <c r="BH8" s="87">
        <v>1</v>
      </c>
      <c r="BI8" s="62">
        <v>300</v>
      </c>
      <c r="BJ8" s="62" t="s">
        <v>163</v>
      </c>
      <c r="BK8" s="62" t="s">
        <v>163</v>
      </c>
      <c r="BL8" s="49"/>
      <c r="BM8" s="49"/>
      <c r="BN8" s="49"/>
      <c r="BO8" s="49"/>
      <c r="BP8" s="49"/>
    </row>
    <row r="9" spans="1:68">
      <c r="A9" s="120" t="s">
        <v>269</v>
      </c>
      <c r="B9" s="278">
        <v>7</v>
      </c>
      <c r="C9" s="79" t="s">
        <v>1456</v>
      </c>
      <c r="D9" s="216" t="s">
        <v>1586</v>
      </c>
      <c r="E9" s="49"/>
      <c r="F9" s="300"/>
      <c r="G9" s="297"/>
      <c r="H9" s="87">
        <v>3</v>
      </c>
      <c r="I9" s="62">
        <v>1920</v>
      </c>
      <c r="J9" s="62">
        <v>1</v>
      </c>
      <c r="K9" s="150">
        <v>100000</v>
      </c>
      <c r="L9" s="49"/>
      <c r="M9" s="49"/>
      <c r="N9" s="49"/>
      <c r="O9" s="49"/>
      <c r="P9" s="49" t="s">
        <v>1126</v>
      </c>
      <c r="Q9" s="64"/>
      <c r="R9" s="87">
        <v>3</v>
      </c>
      <c r="S9" s="62">
        <v>661</v>
      </c>
      <c r="T9" s="62">
        <v>76.25</v>
      </c>
      <c r="U9" s="62">
        <v>61</v>
      </c>
      <c r="V9" s="150">
        <v>50000</v>
      </c>
      <c r="W9" s="124">
        <v>8.3333333333333301E-2</v>
      </c>
      <c r="X9" s="49"/>
      <c r="Y9" s="49"/>
      <c r="Z9" s="60" t="s">
        <v>1587</v>
      </c>
      <c r="AA9" s="61"/>
      <c r="AB9" s="87">
        <v>3</v>
      </c>
      <c r="AC9" s="62">
        <v>794</v>
      </c>
      <c r="AD9" s="62">
        <f t="shared" si="0"/>
        <v>103.04054054054053</v>
      </c>
      <c r="AE9" s="62">
        <v>61</v>
      </c>
      <c r="AF9" s="150">
        <v>80000</v>
      </c>
      <c r="AG9" s="124">
        <v>0.125</v>
      </c>
      <c r="AH9" s="49"/>
      <c r="AI9" s="118"/>
      <c r="AJ9" s="54" t="s">
        <v>1588</v>
      </c>
      <c r="AK9" s="49"/>
      <c r="AL9" s="49" t="s">
        <v>1116</v>
      </c>
      <c r="AM9" s="56"/>
      <c r="AN9" s="87">
        <v>2</v>
      </c>
      <c r="AO9" s="62">
        <v>800</v>
      </c>
      <c r="AP9" s="62">
        <v>75000</v>
      </c>
      <c r="AQ9" s="62">
        <v>3500</v>
      </c>
      <c r="AR9" s="124">
        <v>3.4722222222222199E-3</v>
      </c>
      <c r="AS9" s="49"/>
      <c r="AT9" s="49"/>
      <c r="AU9" s="49"/>
      <c r="AV9" s="49" t="s">
        <v>1589</v>
      </c>
      <c r="AW9" s="56"/>
      <c r="AX9" s="87">
        <v>2</v>
      </c>
      <c r="AY9" s="62">
        <v>345</v>
      </c>
      <c r="AZ9" s="62" t="s">
        <v>1590</v>
      </c>
      <c r="BA9" s="62">
        <v>4000</v>
      </c>
      <c r="BB9" s="124">
        <v>6.9444444444444404E-4</v>
      </c>
      <c r="BC9" s="49"/>
      <c r="BD9" s="49"/>
      <c r="BE9" s="49"/>
      <c r="BF9" s="49" t="s">
        <v>1591</v>
      </c>
      <c r="BG9" s="56"/>
      <c r="BH9" s="87">
        <v>2</v>
      </c>
      <c r="BI9" s="62">
        <v>300</v>
      </c>
      <c r="BJ9" s="150">
        <v>12000</v>
      </c>
      <c r="BK9" s="124">
        <v>3.4722222222222199E-3</v>
      </c>
      <c r="BL9" s="49"/>
      <c r="BM9" s="49"/>
      <c r="BN9" s="49"/>
      <c r="BO9" s="49"/>
      <c r="BP9" s="49"/>
    </row>
    <row r="10" spans="1:68">
      <c r="A10" s="120" t="s">
        <v>276</v>
      </c>
      <c r="B10" s="279">
        <v>8</v>
      </c>
      <c r="C10" s="79" t="s">
        <v>1458</v>
      </c>
      <c r="D10" s="216" t="s">
        <v>1592</v>
      </c>
      <c r="E10" s="49"/>
      <c r="F10" s="49"/>
      <c r="G10" s="297"/>
      <c r="H10" s="87">
        <v>4</v>
      </c>
      <c r="I10" s="62">
        <v>2304</v>
      </c>
      <c r="J10" s="62">
        <v>1</v>
      </c>
      <c r="K10" s="150">
        <v>300000</v>
      </c>
      <c r="L10" s="49"/>
      <c r="M10" s="49"/>
      <c r="N10" s="49"/>
      <c r="O10" s="49"/>
      <c r="P10" s="49" t="s">
        <v>1107</v>
      </c>
      <c r="Q10" s="56"/>
      <c r="R10" s="87">
        <v>4</v>
      </c>
      <c r="S10" s="62">
        <v>760</v>
      </c>
      <c r="T10" s="62">
        <v>83.75</v>
      </c>
      <c r="U10" s="62">
        <v>67</v>
      </c>
      <c r="V10" s="150">
        <v>200000</v>
      </c>
      <c r="W10" s="124">
        <v>0.33333333333333298</v>
      </c>
      <c r="X10" s="49"/>
      <c r="Y10" s="49"/>
      <c r="Z10" s="49" t="s">
        <v>1126</v>
      </c>
      <c r="AA10" s="56"/>
      <c r="AB10" s="87">
        <v>4</v>
      </c>
      <c r="AC10" s="62">
        <v>913</v>
      </c>
      <c r="AD10" s="62">
        <f t="shared" si="0"/>
        <v>113.17567567567566</v>
      </c>
      <c r="AE10" s="62">
        <v>67</v>
      </c>
      <c r="AF10" s="150">
        <v>300000</v>
      </c>
      <c r="AG10" s="124">
        <v>0.5</v>
      </c>
      <c r="AH10" s="49"/>
      <c r="AI10" s="118"/>
      <c r="AJ10" s="54" t="s">
        <v>1593</v>
      </c>
      <c r="AK10" s="49"/>
      <c r="AL10" s="49" t="s">
        <v>1594</v>
      </c>
      <c r="AM10" s="56"/>
      <c r="AN10" s="87">
        <v>3</v>
      </c>
      <c r="AO10" s="62">
        <v>960</v>
      </c>
      <c r="AP10" s="62">
        <v>100000</v>
      </c>
      <c r="AQ10" s="150">
        <v>30000</v>
      </c>
      <c r="AR10" s="124">
        <v>4.2000000000000003E-2</v>
      </c>
      <c r="AS10" s="49"/>
      <c r="AT10" s="49"/>
      <c r="AU10" s="49"/>
      <c r="AV10" s="49" t="s">
        <v>1129</v>
      </c>
      <c r="AW10" s="56"/>
      <c r="AX10" s="87">
        <v>3</v>
      </c>
      <c r="AY10" s="62">
        <v>397</v>
      </c>
      <c r="AZ10" s="62" t="s">
        <v>1595</v>
      </c>
      <c r="BA10" s="150">
        <v>10000</v>
      </c>
      <c r="BB10" s="124">
        <v>6.9444444444444397E-3</v>
      </c>
      <c r="BC10" s="49"/>
      <c r="BD10" s="49"/>
      <c r="BE10" s="49"/>
      <c r="BF10" s="49" t="s">
        <v>1129</v>
      </c>
      <c r="BG10" s="56"/>
      <c r="BH10" s="87">
        <v>3</v>
      </c>
      <c r="BI10" s="62">
        <v>300</v>
      </c>
      <c r="BJ10" s="150">
        <v>180000</v>
      </c>
      <c r="BK10" s="124">
        <v>0.125</v>
      </c>
      <c r="BL10" s="49"/>
      <c r="BM10" s="49"/>
      <c r="BN10" s="49"/>
      <c r="BO10" s="49"/>
      <c r="BP10" s="49"/>
    </row>
    <row r="11" spans="1:68">
      <c r="A11" s="120" t="s">
        <v>284</v>
      </c>
      <c r="B11" s="280">
        <v>9</v>
      </c>
      <c r="C11" s="79" t="s">
        <v>1461</v>
      </c>
      <c r="D11" s="216" t="s">
        <v>1596</v>
      </c>
      <c r="E11" s="49"/>
      <c r="F11" s="118"/>
      <c r="G11" s="297"/>
      <c r="H11" s="99">
        <v>5</v>
      </c>
      <c r="I11" s="62">
        <v>2764</v>
      </c>
      <c r="J11" s="62">
        <v>2</v>
      </c>
      <c r="K11" s="150">
        <v>800000</v>
      </c>
      <c r="L11" s="49"/>
      <c r="M11" s="49"/>
      <c r="N11" s="49"/>
      <c r="O11" s="49"/>
      <c r="P11" s="49" t="s">
        <v>1117</v>
      </c>
      <c r="Q11" s="56"/>
      <c r="R11" s="99">
        <v>5</v>
      </c>
      <c r="S11" s="62">
        <v>874</v>
      </c>
      <c r="T11" s="62">
        <v>92.5</v>
      </c>
      <c r="U11" s="62">
        <v>74</v>
      </c>
      <c r="V11" s="150">
        <v>600000</v>
      </c>
      <c r="W11" s="124">
        <v>1</v>
      </c>
      <c r="X11" s="49"/>
      <c r="Y11" s="49"/>
      <c r="Z11" s="49" t="s">
        <v>1107</v>
      </c>
      <c r="AA11" s="56"/>
      <c r="AB11" s="99">
        <v>5</v>
      </c>
      <c r="AC11" s="62">
        <v>1050</v>
      </c>
      <c r="AD11" s="62">
        <f t="shared" si="0"/>
        <v>124.99999999999999</v>
      </c>
      <c r="AE11" s="62">
        <v>74</v>
      </c>
      <c r="AF11" s="150">
        <v>900000</v>
      </c>
      <c r="AG11" s="124">
        <v>1</v>
      </c>
      <c r="AH11" s="49"/>
      <c r="AI11" s="118"/>
      <c r="AJ11" s="54" t="s">
        <v>1597</v>
      </c>
      <c r="AK11" s="49"/>
      <c r="AL11" s="49"/>
      <c r="AM11" s="56"/>
      <c r="AN11" s="87">
        <v>4</v>
      </c>
      <c r="AO11" s="62">
        <v>1152</v>
      </c>
      <c r="AP11" s="62">
        <v>150000</v>
      </c>
      <c r="AQ11" s="150">
        <v>200000</v>
      </c>
      <c r="AR11" s="124">
        <v>1</v>
      </c>
      <c r="AS11" s="49"/>
      <c r="AT11" s="49"/>
      <c r="AU11" s="49"/>
      <c r="AV11" s="49" t="s">
        <v>1598</v>
      </c>
      <c r="AW11" s="56"/>
      <c r="AX11" s="87">
        <v>4</v>
      </c>
      <c r="AY11" s="62">
        <v>457</v>
      </c>
      <c r="AZ11" s="62" t="s">
        <v>146</v>
      </c>
      <c r="BA11" s="150">
        <v>25000</v>
      </c>
      <c r="BB11" s="124">
        <v>2.0833333333333301E-2</v>
      </c>
      <c r="BC11" s="49"/>
      <c r="BD11" s="49"/>
      <c r="BE11" s="49"/>
      <c r="BF11" s="49"/>
      <c r="BG11" s="56"/>
      <c r="BH11" s="87">
        <v>4</v>
      </c>
      <c r="BI11" s="62">
        <v>300</v>
      </c>
      <c r="BJ11" s="150">
        <v>350000</v>
      </c>
      <c r="BK11" s="124">
        <v>0.33333333333333298</v>
      </c>
      <c r="BL11" s="49"/>
      <c r="BM11" s="49"/>
      <c r="BN11" s="49"/>
      <c r="BO11" s="49"/>
      <c r="BP11" s="49"/>
    </row>
    <row r="12" spans="1:68">
      <c r="A12" s="49"/>
      <c r="B12" s="49"/>
      <c r="C12" s="49"/>
      <c r="D12" s="216" t="s">
        <v>1599</v>
      </c>
      <c r="E12" s="49"/>
      <c r="F12" s="118"/>
      <c r="G12" s="297"/>
      <c r="H12" s="90">
        <v>6</v>
      </c>
      <c r="I12" s="62">
        <v>3316</v>
      </c>
      <c r="J12" s="62">
        <v>3</v>
      </c>
      <c r="K12" s="150">
        <v>1200000</v>
      </c>
      <c r="L12" s="49"/>
      <c r="M12" s="49"/>
      <c r="N12" s="49"/>
      <c r="O12" s="49"/>
      <c r="P12" s="49"/>
      <c r="Q12" s="56"/>
      <c r="R12" s="90">
        <v>6</v>
      </c>
      <c r="S12" s="62">
        <v>1005</v>
      </c>
      <c r="T12" s="62">
        <v>101.25</v>
      </c>
      <c r="U12" s="62">
        <v>81</v>
      </c>
      <c r="V12" s="150">
        <v>1000000</v>
      </c>
      <c r="W12" s="124">
        <v>1</v>
      </c>
      <c r="X12" s="49"/>
      <c r="Y12" s="49"/>
      <c r="Z12" s="49" t="s">
        <v>1117</v>
      </c>
      <c r="AA12" s="56"/>
      <c r="AB12" s="90">
        <v>6</v>
      </c>
      <c r="AC12" s="62">
        <v>1208</v>
      </c>
      <c r="AD12" s="62">
        <f t="shared" si="0"/>
        <v>136.82432432432429</v>
      </c>
      <c r="AE12" s="62">
        <v>81</v>
      </c>
      <c r="AF12" s="150">
        <v>1400000</v>
      </c>
      <c r="AG12" s="124">
        <v>1</v>
      </c>
      <c r="AH12" s="49"/>
      <c r="AI12" s="118"/>
      <c r="AJ12" s="54" t="s">
        <v>1600</v>
      </c>
      <c r="AK12" s="49"/>
      <c r="AL12" s="49"/>
      <c r="AM12" s="56"/>
      <c r="AN12" s="99">
        <v>5</v>
      </c>
      <c r="AO12" s="62">
        <v>1382</v>
      </c>
      <c r="AP12" s="62">
        <v>300000</v>
      </c>
      <c r="AQ12" s="150">
        <v>400000</v>
      </c>
      <c r="AR12" s="124">
        <v>2</v>
      </c>
      <c r="AS12" s="49"/>
      <c r="AT12" s="49"/>
      <c r="AU12" s="49"/>
      <c r="AV12" s="49"/>
      <c r="AW12" s="56"/>
      <c r="AX12" s="87">
        <v>5</v>
      </c>
      <c r="AY12" s="62">
        <v>526</v>
      </c>
      <c r="AZ12" s="62" t="s">
        <v>147</v>
      </c>
      <c r="BA12" s="150">
        <v>100000</v>
      </c>
      <c r="BB12" s="124">
        <v>0.125</v>
      </c>
      <c r="BC12" s="49"/>
      <c r="BD12" s="49"/>
      <c r="BE12" s="49"/>
      <c r="BF12" s="49"/>
      <c r="BG12" s="56"/>
      <c r="BH12" s="278">
        <v>5</v>
      </c>
      <c r="BI12" s="62">
        <v>300</v>
      </c>
      <c r="BJ12" s="150">
        <v>2500000</v>
      </c>
      <c r="BK12" s="124">
        <v>2</v>
      </c>
      <c r="BL12" s="49"/>
      <c r="BM12" s="49"/>
      <c r="BN12" s="49"/>
      <c r="BO12" s="49"/>
      <c r="BP12" s="49"/>
    </row>
    <row r="13" spans="1:68">
      <c r="A13" s="49"/>
      <c r="B13" s="49"/>
      <c r="C13" s="49"/>
      <c r="D13" s="216" t="s">
        <v>1601</v>
      </c>
      <c r="E13" s="49"/>
      <c r="F13" s="49"/>
      <c r="G13" s="297"/>
      <c r="H13" s="278">
        <v>7</v>
      </c>
      <c r="I13" s="62">
        <v>3980</v>
      </c>
      <c r="J13" s="62">
        <v>4</v>
      </c>
      <c r="K13" s="150">
        <v>2000000</v>
      </c>
      <c r="L13" s="49"/>
      <c r="M13" s="49"/>
      <c r="N13" s="49"/>
      <c r="O13" s="49"/>
      <c r="P13" s="49"/>
      <c r="Q13" s="56"/>
      <c r="R13" s="278">
        <v>7</v>
      </c>
      <c r="S13" s="62">
        <v>1156</v>
      </c>
      <c r="T13" s="62">
        <v>111.25</v>
      </c>
      <c r="U13" s="62">
        <v>89</v>
      </c>
      <c r="V13" s="150">
        <v>1800000</v>
      </c>
      <c r="W13" s="124">
        <v>2</v>
      </c>
      <c r="X13" s="49"/>
      <c r="Y13" s="49"/>
      <c r="Z13" s="49"/>
      <c r="AA13" s="56"/>
      <c r="AB13" s="278">
        <v>7</v>
      </c>
      <c r="AC13" s="62">
        <v>1389</v>
      </c>
      <c r="AD13" s="62">
        <f t="shared" si="0"/>
        <v>150.33783783783781</v>
      </c>
      <c r="AE13" s="62">
        <v>89</v>
      </c>
      <c r="AF13" s="150">
        <v>2200000</v>
      </c>
      <c r="AG13" s="124">
        <v>2</v>
      </c>
      <c r="AH13" s="49"/>
      <c r="AI13" s="118"/>
      <c r="AJ13" s="54" t="s">
        <v>1602</v>
      </c>
      <c r="AK13" s="49"/>
      <c r="AL13" s="49"/>
      <c r="AM13" s="56"/>
      <c r="AN13" s="90">
        <v>6</v>
      </c>
      <c r="AO13" s="62">
        <v>1658</v>
      </c>
      <c r="AP13" s="62">
        <v>400000</v>
      </c>
      <c r="AQ13" s="150">
        <v>1200000</v>
      </c>
      <c r="AR13" s="124">
        <v>3</v>
      </c>
      <c r="AS13" s="49"/>
      <c r="AT13" s="49"/>
      <c r="AU13" s="49"/>
      <c r="AV13" s="49"/>
      <c r="AW13" s="56"/>
      <c r="AX13" s="87">
        <v>6</v>
      </c>
      <c r="AY13" s="62">
        <v>605</v>
      </c>
      <c r="AZ13" s="62" t="s">
        <v>61</v>
      </c>
      <c r="BA13" s="150">
        <v>150000</v>
      </c>
      <c r="BB13" s="124">
        <v>0.25</v>
      </c>
      <c r="BC13" s="49"/>
      <c r="BD13" s="49"/>
      <c r="BE13" s="49"/>
      <c r="BF13" s="49"/>
      <c r="BG13" s="56"/>
      <c r="BH13" s="279">
        <v>6</v>
      </c>
      <c r="BI13" s="62">
        <v>300</v>
      </c>
      <c r="BJ13" s="150">
        <v>2500000</v>
      </c>
      <c r="BK13" s="124">
        <v>2</v>
      </c>
      <c r="BL13" s="49"/>
      <c r="BM13" s="49"/>
      <c r="BN13" s="49"/>
      <c r="BO13" s="49"/>
      <c r="BP13" s="49"/>
    </row>
    <row r="14" spans="1:68">
      <c r="A14" s="49"/>
      <c r="B14" s="49"/>
      <c r="C14" s="49"/>
      <c r="D14" s="216" t="s">
        <v>1603</v>
      </c>
      <c r="E14" s="49"/>
      <c r="F14" s="49"/>
      <c r="G14" s="297"/>
      <c r="H14" s="279">
        <v>8</v>
      </c>
      <c r="I14" s="62">
        <v>4776</v>
      </c>
      <c r="J14" s="62">
        <v>6</v>
      </c>
      <c r="K14" s="150">
        <v>3000000</v>
      </c>
      <c r="L14" s="49"/>
      <c r="M14" s="49"/>
      <c r="N14" s="49"/>
      <c r="O14" s="49"/>
      <c r="P14" s="49"/>
      <c r="Q14" s="56"/>
      <c r="R14" s="279">
        <v>8</v>
      </c>
      <c r="S14" s="62">
        <v>1329</v>
      </c>
      <c r="T14" s="62">
        <v>122.5</v>
      </c>
      <c r="U14" s="62">
        <v>98</v>
      </c>
      <c r="V14" s="150">
        <v>2500000</v>
      </c>
      <c r="W14" s="124">
        <v>3</v>
      </c>
      <c r="X14" s="49"/>
      <c r="Y14" s="49"/>
      <c r="Z14" s="49"/>
      <c r="AA14" s="56"/>
      <c r="AB14" s="279">
        <v>8</v>
      </c>
      <c r="AC14" s="62">
        <v>1597</v>
      </c>
      <c r="AD14" s="62">
        <f t="shared" si="0"/>
        <v>165.54054054054052</v>
      </c>
      <c r="AE14" s="62">
        <v>98</v>
      </c>
      <c r="AF14" s="150">
        <v>3200000</v>
      </c>
      <c r="AG14" s="124">
        <v>3</v>
      </c>
      <c r="AH14" s="49"/>
      <c r="AI14" s="118"/>
      <c r="AJ14" s="54" t="s">
        <v>1604</v>
      </c>
      <c r="AK14" s="49"/>
      <c r="AL14" s="49"/>
      <c r="AM14" s="56"/>
      <c r="AN14" s="278">
        <v>7</v>
      </c>
      <c r="AO14" s="62">
        <v>1990</v>
      </c>
      <c r="AP14" s="62">
        <v>600000</v>
      </c>
      <c r="AQ14" s="150">
        <v>1800000</v>
      </c>
      <c r="AR14" s="124">
        <v>4</v>
      </c>
      <c r="AS14" s="49"/>
      <c r="AT14" s="49"/>
      <c r="AU14" s="49"/>
      <c r="AV14" s="49"/>
      <c r="AW14" s="56"/>
      <c r="AX14" s="99">
        <v>7</v>
      </c>
      <c r="AY14" s="62">
        <v>696</v>
      </c>
      <c r="AZ14" s="62" t="s">
        <v>1605</v>
      </c>
      <c r="BA14" s="150">
        <v>300000</v>
      </c>
      <c r="BB14" s="124">
        <v>0.33333333333333298</v>
      </c>
      <c r="BC14" s="49"/>
      <c r="BD14" s="49"/>
      <c r="BE14" s="49"/>
      <c r="BF14" s="49"/>
      <c r="BG14" s="49"/>
      <c r="BH14" s="49" t="s">
        <v>1606</v>
      </c>
      <c r="BI14" s="49"/>
      <c r="BJ14" s="49"/>
      <c r="BK14" s="49"/>
      <c r="BL14" s="49"/>
      <c r="BM14" s="49"/>
      <c r="BN14" s="49"/>
      <c r="BO14" s="49"/>
      <c r="BP14" s="49"/>
    </row>
    <row r="15" spans="1:68">
      <c r="A15" s="49"/>
      <c r="B15" s="49"/>
      <c r="C15" s="49"/>
      <c r="D15" s="216" t="s">
        <v>1607</v>
      </c>
      <c r="E15" s="49"/>
      <c r="F15" s="49"/>
      <c r="G15" s="49"/>
      <c r="H15" s="280">
        <v>9</v>
      </c>
      <c r="I15" s="62">
        <v>5014</v>
      </c>
      <c r="J15" s="62">
        <v>8</v>
      </c>
      <c r="K15" s="150">
        <v>4000000</v>
      </c>
      <c r="L15" s="49"/>
      <c r="M15" s="49"/>
      <c r="N15" s="49"/>
      <c r="O15" s="49"/>
      <c r="P15" s="49"/>
      <c r="Q15" s="49"/>
      <c r="R15" s="280">
        <v>9</v>
      </c>
      <c r="S15" s="62">
        <v>1395</v>
      </c>
      <c r="T15" s="62">
        <v>135</v>
      </c>
      <c r="U15" s="62">
        <v>108</v>
      </c>
      <c r="V15" s="150">
        <v>3300000</v>
      </c>
      <c r="W15" s="124">
        <v>4</v>
      </c>
      <c r="X15" s="49"/>
      <c r="Y15" s="49"/>
      <c r="Z15" s="49"/>
      <c r="AA15" s="49"/>
      <c r="AB15" s="280">
        <v>9</v>
      </c>
      <c r="AC15" s="62">
        <v>1677</v>
      </c>
      <c r="AD15" s="62">
        <f t="shared" si="0"/>
        <v>182.43243243243242</v>
      </c>
      <c r="AE15" s="62">
        <v>108</v>
      </c>
      <c r="AF15" s="150">
        <v>4200000</v>
      </c>
      <c r="AG15" s="124">
        <v>4</v>
      </c>
      <c r="AH15" s="49"/>
      <c r="AI15" s="118"/>
      <c r="AJ15" s="54" t="s">
        <v>1608</v>
      </c>
      <c r="AK15" s="49"/>
      <c r="AL15" s="49"/>
      <c r="AM15" s="56"/>
      <c r="AN15" s="279">
        <v>8</v>
      </c>
      <c r="AO15" s="62">
        <v>2388</v>
      </c>
      <c r="AP15" s="62">
        <v>800000</v>
      </c>
      <c r="AQ15" s="150">
        <v>2800000</v>
      </c>
      <c r="AR15" s="124">
        <v>5</v>
      </c>
      <c r="AS15" s="49"/>
      <c r="AT15" s="49"/>
      <c r="AU15" s="49"/>
      <c r="AV15" s="49"/>
      <c r="AW15" s="56"/>
      <c r="AX15" s="90">
        <v>8</v>
      </c>
      <c r="AY15" s="62">
        <v>800</v>
      </c>
      <c r="AZ15" s="62" t="s">
        <v>152</v>
      </c>
      <c r="BA15" s="150">
        <v>500000</v>
      </c>
      <c r="BB15" s="124">
        <v>0.41666666666666702</v>
      </c>
      <c r="BC15" s="49"/>
      <c r="BD15" s="49"/>
      <c r="BE15" s="49"/>
      <c r="BF15" s="49"/>
      <c r="BG15" s="49"/>
      <c r="BH15" s="49"/>
      <c r="BI15" s="49"/>
      <c r="BJ15" s="49"/>
      <c r="BK15" s="49"/>
      <c r="BL15" s="49"/>
      <c r="BM15" s="49"/>
      <c r="BN15" s="49"/>
      <c r="BO15" s="49"/>
      <c r="BP15" s="49"/>
    </row>
    <row r="16" spans="1:68">
      <c r="A16" s="118"/>
      <c r="B16" s="118"/>
      <c r="C16" s="118"/>
      <c r="D16" s="216" t="s">
        <v>1609</v>
      </c>
      <c r="E16" s="49"/>
      <c r="F16" s="49"/>
      <c r="G16" s="49"/>
      <c r="H16" s="49" t="s">
        <v>1610</v>
      </c>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118"/>
      <c r="AJ16" s="54" t="s">
        <v>1611</v>
      </c>
      <c r="AK16" s="49"/>
      <c r="AL16" s="49"/>
      <c r="AM16" s="49"/>
      <c r="AN16" s="280">
        <v>9</v>
      </c>
      <c r="AO16" s="62">
        <v>2507</v>
      </c>
      <c r="AP16" s="62">
        <v>1000000</v>
      </c>
      <c r="AQ16" s="150">
        <v>3800000</v>
      </c>
      <c r="AR16" s="124">
        <v>6</v>
      </c>
      <c r="AS16" s="49"/>
      <c r="AT16" s="49"/>
      <c r="AU16" s="49"/>
      <c r="AV16" s="49"/>
      <c r="AW16" s="56"/>
      <c r="AX16" s="278">
        <v>9</v>
      </c>
      <c r="AY16" s="62">
        <v>920</v>
      </c>
      <c r="AZ16" s="62" t="s">
        <v>155</v>
      </c>
      <c r="BA16" s="150">
        <v>1000000</v>
      </c>
      <c r="BB16" s="124">
        <v>0.5</v>
      </c>
      <c r="BC16" s="49"/>
      <c r="BD16" s="49"/>
      <c r="BE16" s="49"/>
      <c r="BF16" s="49"/>
      <c r="BG16" s="49"/>
      <c r="BH16" s="49"/>
      <c r="BI16" s="49"/>
      <c r="BJ16" s="49"/>
      <c r="BK16" s="49"/>
      <c r="BL16" s="49"/>
      <c r="BM16" s="49"/>
      <c r="BN16" s="49"/>
      <c r="BO16" s="49"/>
      <c r="BP16" s="49"/>
    </row>
    <row r="17" spans="1:68">
      <c r="A17" s="118"/>
      <c r="B17" s="118"/>
      <c r="C17" s="118"/>
      <c r="D17" s="216" t="s">
        <v>1612</v>
      </c>
      <c r="E17" s="49"/>
      <c r="F17" s="49"/>
      <c r="G17" s="49"/>
      <c r="H17" s="49" t="s">
        <v>1613</v>
      </c>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118"/>
      <c r="AJ17" s="54" t="s">
        <v>1614</v>
      </c>
      <c r="AK17" s="49"/>
      <c r="AL17" s="49"/>
      <c r="AM17" s="49"/>
      <c r="AN17" s="49" t="s">
        <v>1171</v>
      </c>
      <c r="AO17" s="49"/>
      <c r="AP17" s="49"/>
      <c r="AQ17" s="49"/>
      <c r="AR17" s="49"/>
      <c r="AS17" s="49"/>
      <c r="AT17" s="49"/>
      <c r="AU17" s="49"/>
      <c r="AV17" s="49"/>
      <c r="AW17" s="56"/>
      <c r="AX17" s="279">
        <v>10</v>
      </c>
      <c r="AY17" s="62">
        <v>1058</v>
      </c>
      <c r="AZ17" s="62" t="s">
        <v>158</v>
      </c>
      <c r="BA17" s="150">
        <v>1500000</v>
      </c>
      <c r="BB17" s="124">
        <v>1</v>
      </c>
      <c r="BC17" s="49"/>
      <c r="BD17" s="49"/>
      <c r="BE17" s="49"/>
      <c r="BF17" s="49"/>
      <c r="BG17" s="49"/>
      <c r="BH17" s="49"/>
      <c r="BI17" s="49"/>
      <c r="BJ17" s="49"/>
      <c r="BK17" s="49"/>
      <c r="BL17" s="49"/>
      <c r="BM17" s="49"/>
      <c r="BN17" s="49"/>
      <c r="BO17" s="49"/>
      <c r="BP17" s="49"/>
    </row>
    <row r="18" spans="1:68">
      <c r="A18" s="118"/>
      <c r="B18" s="118"/>
      <c r="C18" s="118"/>
      <c r="D18" s="54"/>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54" t="s">
        <v>1615</v>
      </c>
      <c r="AK18" s="49"/>
      <c r="AL18" s="49"/>
      <c r="AM18" s="49"/>
      <c r="AN18" s="49"/>
      <c r="AO18" s="49"/>
      <c r="AP18" s="49"/>
      <c r="AQ18" s="49"/>
      <c r="AR18" s="49"/>
      <c r="AS18" s="49"/>
      <c r="AT18" s="49"/>
      <c r="AU18" s="49"/>
      <c r="AV18" s="49"/>
      <c r="AW18" s="56"/>
      <c r="AX18" s="280">
        <v>11</v>
      </c>
      <c r="AY18" s="62">
        <v>1111</v>
      </c>
      <c r="AZ18" s="62" t="s">
        <v>160</v>
      </c>
      <c r="BA18" s="150">
        <v>2000000</v>
      </c>
      <c r="BB18" s="124">
        <v>1.5</v>
      </c>
      <c r="BC18" s="49"/>
      <c r="BD18" s="49"/>
      <c r="BE18" s="49"/>
      <c r="BF18" s="49"/>
      <c r="BG18" s="49"/>
      <c r="BH18" s="49"/>
      <c r="BI18" s="49"/>
      <c r="BJ18" s="49"/>
      <c r="BK18" s="49"/>
      <c r="BL18" s="49"/>
      <c r="BM18" s="49"/>
      <c r="BN18" s="49"/>
      <c r="BO18" s="49"/>
      <c r="BP18" s="49"/>
    </row>
    <row r="19" spans="1:68">
      <c r="A19" s="118"/>
      <c r="B19" s="118"/>
      <c r="C19" s="118"/>
      <c r="D19" s="54" t="s">
        <v>1183</v>
      </c>
      <c r="E19" s="49"/>
      <c r="F19" s="49" t="s">
        <v>1616</v>
      </c>
      <c r="G19" s="49"/>
      <c r="H19" s="137" t="s">
        <v>235</v>
      </c>
      <c r="I19" s="49"/>
      <c r="J19" s="49"/>
      <c r="K19" s="49"/>
      <c r="L19" s="49"/>
      <c r="M19" s="49"/>
      <c r="N19" s="49"/>
      <c r="O19" s="49"/>
      <c r="P19" s="49" t="s">
        <v>1617</v>
      </c>
      <c r="Q19" s="49"/>
      <c r="R19" s="137" t="s">
        <v>1210</v>
      </c>
      <c r="S19" s="49"/>
      <c r="T19" s="49"/>
      <c r="U19" s="49"/>
      <c r="V19" s="49"/>
      <c r="W19" s="49"/>
      <c r="X19" s="49"/>
      <c r="Y19" s="49"/>
      <c r="Z19" s="49" t="s">
        <v>1618</v>
      </c>
      <c r="AA19" s="49"/>
      <c r="AB19" s="137" t="s">
        <v>1619</v>
      </c>
      <c r="AC19" s="49"/>
      <c r="AD19" s="49"/>
      <c r="AE19" s="49"/>
      <c r="AF19" s="49"/>
      <c r="AG19" s="49"/>
      <c r="AH19" s="49"/>
      <c r="AI19" s="49"/>
      <c r="AJ19" s="49"/>
      <c r="AK19" s="49"/>
      <c r="AL19" s="49" t="s">
        <v>1620</v>
      </c>
      <c r="AM19" s="49"/>
      <c r="AN19" s="49"/>
      <c r="AO19" s="49"/>
      <c r="AP19" s="49"/>
      <c r="AQ19" s="49"/>
      <c r="AR19" s="49"/>
      <c r="AS19" s="49"/>
      <c r="AT19" s="49"/>
      <c r="AU19" s="49"/>
      <c r="AV19" s="49" t="s">
        <v>1621</v>
      </c>
      <c r="AW19" s="49"/>
      <c r="AX19" s="49"/>
      <c r="AY19" s="49"/>
      <c r="AZ19" s="49"/>
      <c r="BA19" s="49"/>
      <c r="BB19" s="49"/>
      <c r="BC19" s="49"/>
      <c r="BD19" s="49"/>
      <c r="BE19" s="49"/>
      <c r="BF19" s="49" t="s">
        <v>1622</v>
      </c>
      <c r="BG19" s="49"/>
      <c r="BH19" s="49"/>
      <c r="BI19" s="49"/>
      <c r="BJ19" s="49"/>
      <c r="BK19" s="49"/>
      <c r="BL19" s="49"/>
      <c r="BM19" s="49"/>
      <c r="BN19" s="49"/>
      <c r="BO19" s="49"/>
      <c r="BP19" s="49"/>
    </row>
    <row r="20" spans="1:68">
      <c r="A20" s="118"/>
      <c r="B20" s="118"/>
      <c r="C20" s="118"/>
      <c r="D20" s="54" t="s">
        <v>307</v>
      </c>
      <c r="E20" s="49"/>
      <c r="F20" s="52" t="s">
        <v>1102</v>
      </c>
      <c r="G20" s="64"/>
      <c r="H20" s="108" t="s">
        <v>243</v>
      </c>
      <c r="I20" s="65" t="s">
        <v>244</v>
      </c>
      <c r="J20" s="65" t="s">
        <v>1623</v>
      </c>
      <c r="K20" s="65" t="s">
        <v>1624</v>
      </c>
      <c r="L20" s="65" t="s">
        <v>250</v>
      </c>
      <c r="M20" s="65" t="s">
        <v>1091</v>
      </c>
      <c r="N20" s="65" t="s">
        <v>1092</v>
      </c>
      <c r="O20" s="49"/>
      <c r="P20" s="52" t="s">
        <v>1102</v>
      </c>
      <c r="Q20" s="64"/>
      <c r="R20" s="108" t="s">
        <v>243</v>
      </c>
      <c r="S20" s="65" t="s">
        <v>244</v>
      </c>
      <c r="T20" s="65" t="s">
        <v>245</v>
      </c>
      <c r="U20" s="65" t="s">
        <v>250</v>
      </c>
      <c r="V20" s="65" t="s">
        <v>1091</v>
      </c>
      <c r="W20" s="65" t="s">
        <v>1092</v>
      </c>
      <c r="X20" s="49"/>
      <c r="Y20" s="49"/>
      <c r="Z20" s="52" t="s">
        <v>1191</v>
      </c>
      <c r="AA20" s="64"/>
      <c r="AB20" s="108" t="s">
        <v>243</v>
      </c>
      <c r="AC20" s="65" t="s">
        <v>244</v>
      </c>
      <c r="AD20" s="65" t="s">
        <v>245</v>
      </c>
      <c r="AE20" s="65" t="s">
        <v>250</v>
      </c>
      <c r="AF20" s="65" t="s">
        <v>1091</v>
      </c>
      <c r="AG20" s="65" t="s">
        <v>1092</v>
      </c>
      <c r="AH20" s="49"/>
      <c r="AI20" s="49"/>
      <c r="AJ20" s="54" t="s">
        <v>1173</v>
      </c>
      <c r="AK20" s="49"/>
      <c r="AL20" s="52" t="s">
        <v>1088</v>
      </c>
      <c r="AM20" s="64"/>
      <c r="AN20" s="65" t="s">
        <v>243</v>
      </c>
      <c r="AO20" s="65" t="s">
        <v>244</v>
      </c>
      <c r="AP20" s="65" t="s">
        <v>1091</v>
      </c>
      <c r="AQ20" s="65" t="s">
        <v>1092</v>
      </c>
      <c r="AR20" s="49"/>
      <c r="AS20" s="49"/>
      <c r="AT20" s="49"/>
      <c r="AU20" s="49"/>
      <c r="AV20" s="52" t="s">
        <v>1107</v>
      </c>
      <c r="AW20" s="64"/>
      <c r="AX20" s="65" t="s">
        <v>243</v>
      </c>
      <c r="AY20" s="65" t="s">
        <v>244</v>
      </c>
      <c r="AZ20" s="65" t="s">
        <v>1625</v>
      </c>
      <c r="BA20" s="65" t="s">
        <v>1091</v>
      </c>
      <c r="BB20" s="65" t="s">
        <v>1092</v>
      </c>
      <c r="BC20" s="49"/>
      <c r="BD20" s="49"/>
      <c r="BE20" s="49"/>
      <c r="BF20" s="52" t="s">
        <v>1107</v>
      </c>
      <c r="BG20" s="117"/>
      <c r="BH20" s="108" t="s">
        <v>243</v>
      </c>
      <c r="BI20" s="65" t="s">
        <v>244</v>
      </c>
      <c r="BJ20" s="65" t="s">
        <v>1227</v>
      </c>
      <c r="BK20" s="65" t="s">
        <v>1228</v>
      </c>
      <c r="BL20" s="65" t="s">
        <v>1229</v>
      </c>
      <c r="BM20" s="65" t="s">
        <v>1091</v>
      </c>
      <c r="BN20" s="65" t="s">
        <v>1092</v>
      </c>
      <c r="BO20" s="49"/>
      <c r="BP20" s="49"/>
    </row>
    <row r="21" spans="1:68">
      <c r="A21" s="118"/>
      <c r="B21" s="118"/>
      <c r="C21" s="118"/>
      <c r="D21" s="118"/>
      <c r="E21" s="49"/>
      <c r="F21" s="49" t="s">
        <v>1126</v>
      </c>
      <c r="G21" s="56"/>
      <c r="H21" s="87">
        <v>1</v>
      </c>
      <c r="I21" s="62">
        <v>500</v>
      </c>
      <c r="J21" s="62">
        <v>35</v>
      </c>
      <c r="K21" s="62">
        <v>70</v>
      </c>
      <c r="L21" s="62">
        <v>35</v>
      </c>
      <c r="M21" s="150">
        <v>12000</v>
      </c>
      <c r="N21" s="124">
        <v>3.4722222222222199E-3</v>
      </c>
      <c r="O21" s="49"/>
      <c r="P21" s="49" t="s">
        <v>1164</v>
      </c>
      <c r="Q21" s="56"/>
      <c r="R21" s="87">
        <v>1</v>
      </c>
      <c r="S21" s="62">
        <v>300</v>
      </c>
      <c r="T21" s="62">
        <v>41.7</v>
      </c>
      <c r="U21" s="62">
        <v>25</v>
      </c>
      <c r="V21" s="150">
        <v>50000</v>
      </c>
      <c r="W21" s="124">
        <v>2.0833333333333301E-2</v>
      </c>
      <c r="X21" s="49"/>
      <c r="Y21" s="49"/>
      <c r="Z21" s="49" t="s">
        <v>1113</v>
      </c>
      <c r="AA21" s="56"/>
      <c r="AB21" s="87">
        <v>1</v>
      </c>
      <c r="AC21" s="62">
        <v>400</v>
      </c>
      <c r="AD21" s="62">
        <f>AE21*3/1.024</f>
        <v>49.8046875</v>
      </c>
      <c r="AE21" s="62">
        <v>17</v>
      </c>
      <c r="AF21" s="150">
        <v>30000</v>
      </c>
      <c r="AG21" s="124">
        <v>1.0416666666666701E-2</v>
      </c>
      <c r="AH21" s="49"/>
      <c r="AI21" s="49"/>
      <c r="AJ21" s="54" t="s">
        <v>307</v>
      </c>
      <c r="AK21" s="49"/>
      <c r="AL21" s="60" t="s">
        <v>1106</v>
      </c>
      <c r="AM21" s="61"/>
      <c r="AN21" s="87">
        <v>1</v>
      </c>
      <c r="AO21" s="62">
        <v>650</v>
      </c>
      <c r="AP21" s="62">
        <v>1000</v>
      </c>
      <c r="AQ21" s="124"/>
      <c r="AR21" s="49"/>
      <c r="AS21" s="49"/>
      <c r="AT21" s="49"/>
      <c r="AU21" s="49"/>
      <c r="AV21" s="60" t="s">
        <v>1117</v>
      </c>
      <c r="AW21" s="61"/>
      <c r="AX21" s="87">
        <v>1</v>
      </c>
      <c r="AY21" s="62">
        <v>650</v>
      </c>
      <c r="AZ21" s="62">
        <v>70000</v>
      </c>
      <c r="BA21" s="150">
        <v>20000</v>
      </c>
      <c r="BB21" s="124">
        <v>2.1000000000000001E-2</v>
      </c>
      <c r="BC21" s="49"/>
      <c r="BD21" s="49"/>
      <c r="BE21" s="49"/>
      <c r="BF21" s="60" t="s">
        <v>1117</v>
      </c>
      <c r="BG21" s="375"/>
      <c r="BH21" s="87">
        <v>1</v>
      </c>
      <c r="BI21" s="62">
        <v>300</v>
      </c>
      <c r="BJ21" s="327">
        <v>1000</v>
      </c>
      <c r="BK21" s="62">
        <v>24000</v>
      </c>
      <c r="BL21" s="62">
        <v>30</v>
      </c>
      <c r="BM21" s="62">
        <v>1000</v>
      </c>
      <c r="BN21" s="124">
        <v>6.9444444444444397E-3</v>
      </c>
      <c r="BO21" s="49"/>
      <c r="BP21" s="49"/>
    </row>
    <row r="22" spans="1:68">
      <c r="A22" s="118"/>
      <c r="B22" s="118"/>
      <c r="C22" s="118"/>
      <c r="D22" s="118"/>
      <c r="E22" s="49"/>
      <c r="F22" s="49" t="s">
        <v>1107</v>
      </c>
      <c r="G22" s="56"/>
      <c r="H22" s="87">
        <v>2</v>
      </c>
      <c r="I22" s="62">
        <v>575</v>
      </c>
      <c r="J22" s="62">
        <v>40</v>
      </c>
      <c r="K22" s="62">
        <v>80</v>
      </c>
      <c r="L22" s="62">
        <v>40</v>
      </c>
      <c r="M22" s="150">
        <v>30000</v>
      </c>
      <c r="N22" s="124">
        <v>1.0416666666666701E-2</v>
      </c>
      <c r="O22" s="49"/>
      <c r="P22" s="60" t="s">
        <v>624</v>
      </c>
      <c r="Q22" s="61"/>
      <c r="R22" s="87">
        <v>2</v>
      </c>
      <c r="S22" s="62">
        <v>345</v>
      </c>
      <c r="T22" s="62">
        <v>46.7</v>
      </c>
      <c r="U22" s="62">
        <v>28</v>
      </c>
      <c r="V22" s="150">
        <v>100000</v>
      </c>
      <c r="W22" s="124">
        <v>0.125</v>
      </c>
      <c r="X22" s="49"/>
      <c r="Y22" s="49"/>
      <c r="Z22" s="49" t="s">
        <v>1626</v>
      </c>
      <c r="AA22" s="56"/>
      <c r="AB22" s="87">
        <v>2</v>
      </c>
      <c r="AC22" s="62">
        <v>460</v>
      </c>
      <c r="AD22" s="62">
        <f t="shared" ref="AD22:AD29" si="1">AE22*3/1.024</f>
        <v>55.6640625</v>
      </c>
      <c r="AE22" s="62">
        <v>19</v>
      </c>
      <c r="AF22" s="150">
        <v>80000</v>
      </c>
      <c r="AG22" s="124">
        <v>8.3333333333333301E-2</v>
      </c>
      <c r="AH22" s="49"/>
      <c r="AI22" s="49"/>
      <c r="AJ22" s="49"/>
      <c r="AK22" s="49"/>
      <c r="AL22" s="49" t="s">
        <v>1124</v>
      </c>
      <c r="AM22" s="56"/>
      <c r="AN22" s="87">
        <v>2</v>
      </c>
      <c r="AO22" s="62">
        <v>800</v>
      </c>
      <c r="AP22" s="150">
        <v>15000</v>
      </c>
      <c r="AQ22" s="124">
        <v>6.9444444444444397E-3</v>
      </c>
      <c r="AR22" s="49"/>
      <c r="AS22" s="49"/>
      <c r="AT22" s="49"/>
      <c r="AU22" s="49"/>
      <c r="AV22" s="49" t="s">
        <v>1286</v>
      </c>
      <c r="AW22" s="56"/>
      <c r="AX22" s="87">
        <v>2</v>
      </c>
      <c r="AY22" s="62">
        <v>800</v>
      </c>
      <c r="AZ22" s="62">
        <v>150000</v>
      </c>
      <c r="BA22" s="150">
        <v>80000</v>
      </c>
      <c r="BB22" s="124">
        <v>4.2000000000000003E-2</v>
      </c>
      <c r="BC22" s="49"/>
      <c r="BD22" s="49"/>
      <c r="BE22" s="49"/>
      <c r="BF22" s="52" t="s">
        <v>1234</v>
      </c>
      <c r="BG22" s="376"/>
      <c r="BH22" s="87">
        <v>2</v>
      </c>
      <c r="BI22" s="62">
        <v>345</v>
      </c>
      <c r="BJ22" s="327">
        <v>1200</v>
      </c>
      <c r="BK22" s="62">
        <v>28800</v>
      </c>
      <c r="BL22" s="62">
        <v>40</v>
      </c>
      <c r="BM22" s="62">
        <v>5000</v>
      </c>
      <c r="BN22" s="124">
        <v>1.38888888888889E-2</v>
      </c>
      <c r="BO22" s="49"/>
      <c r="BP22" s="49"/>
    </row>
    <row r="23" spans="1:68">
      <c r="A23" s="118"/>
      <c r="B23" s="118"/>
      <c r="C23" s="118"/>
      <c r="D23" s="118"/>
      <c r="E23" s="49"/>
      <c r="F23" s="60" t="s">
        <v>1117</v>
      </c>
      <c r="G23" s="61"/>
      <c r="H23" s="87">
        <v>3</v>
      </c>
      <c r="I23" s="62">
        <v>661</v>
      </c>
      <c r="J23" s="62">
        <v>44</v>
      </c>
      <c r="K23" s="62">
        <v>88</v>
      </c>
      <c r="L23" s="62">
        <v>44</v>
      </c>
      <c r="M23" s="150">
        <v>60000</v>
      </c>
      <c r="N23" s="124">
        <v>8.3333333333333301E-2</v>
      </c>
      <c r="O23" s="49"/>
      <c r="P23" s="49" t="s">
        <v>1126</v>
      </c>
      <c r="Q23" s="64"/>
      <c r="R23" s="87">
        <v>3</v>
      </c>
      <c r="S23" s="62">
        <v>397</v>
      </c>
      <c r="T23" s="62">
        <v>51.7</v>
      </c>
      <c r="U23" s="62">
        <v>31</v>
      </c>
      <c r="V23" s="150">
        <v>150000</v>
      </c>
      <c r="W23" s="124">
        <v>0.20833333333333301</v>
      </c>
      <c r="X23" s="49"/>
      <c r="Y23" s="49"/>
      <c r="Z23" s="60" t="s">
        <v>1627</v>
      </c>
      <c r="AA23" s="61"/>
      <c r="AB23" s="87">
        <v>3</v>
      </c>
      <c r="AC23" s="62">
        <v>529</v>
      </c>
      <c r="AD23" s="62">
        <f t="shared" si="1"/>
        <v>61.5234375</v>
      </c>
      <c r="AE23" s="62">
        <v>21</v>
      </c>
      <c r="AF23" s="150">
        <v>120000</v>
      </c>
      <c r="AG23" s="124">
        <v>0.16700000000000001</v>
      </c>
      <c r="AH23" s="49"/>
      <c r="AI23" s="49"/>
      <c r="AJ23" s="49"/>
      <c r="AK23" s="49"/>
      <c r="AL23" s="49" t="s">
        <v>1129</v>
      </c>
      <c r="AM23" s="56"/>
      <c r="AN23" s="87">
        <v>3</v>
      </c>
      <c r="AO23" s="62">
        <v>960</v>
      </c>
      <c r="AP23" s="150">
        <v>50000</v>
      </c>
      <c r="AQ23" s="124">
        <v>2.0833333333333301E-2</v>
      </c>
      <c r="AR23" s="49"/>
      <c r="AS23" s="49"/>
      <c r="AT23" s="49"/>
      <c r="AU23" s="49"/>
      <c r="AV23" s="49" t="s">
        <v>1116</v>
      </c>
      <c r="AW23" s="56"/>
      <c r="AX23" s="87">
        <v>3</v>
      </c>
      <c r="AY23" s="62">
        <v>960</v>
      </c>
      <c r="AZ23" s="62">
        <v>250000</v>
      </c>
      <c r="BA23" s="150">
        <v>200000</v>
      </c>
      <c r="BB23" s="124">
        <v>0.125</v>
      </c>
      <c r="BC23" s="49"/>
      <c r="BD23" s="49"/>
      <c r="BE23" s="49"/>
      <c r="BF23" s="49" t="s">
        <v>1116</v>
      </c>
      <c r="BG23" s="377"/>
      <c r="BH23" s="87">
        <v>3</v>
      </c>
      <c r="BI23" s="62">
        <v>397</v>
      </c>
      <c r="BJ23" s="327">
        <v>1500</v>
      </c>
      <c r="BK23" s="62">
        <v>36000</v>
      </c>
      <c r="BL23" s="62">
        <v>50</v>
      </c>
      <c r="BM23" s="150">
        <v>10000</v>
      </c>
      <c r="BN23" s="124">
        <v>3.125E-2</v>
      </c>
      <c r="BO23" s="49"/>
      <c r="BP23" s="49"/>
    </row>
    <row r="24" spans="1:68">
      <c r="A24" s="118"/>
      <c r="B24" s="118"/>
      <c r="C24" s="118"/>
      <c r="D24" s="118"/>
      <c r="E24" s="49"/>
      <c r="F24" s="52" t="s">
        <v>1628</v>
      </c>
      <c r="G24" s="64"/>
      <c r="H24" s="87">
        <v>4</v>
      </c>
      <c r="I24" s="62">
        <v>760</v>
      </c>
      <c r="J24" s="62">
        <v>48</v>
      </c>
      <c r="K24" s="62">
        <v>96</v>
      </c>
      <c r="L24" s="62">
        <v>48</v>
      </c>
      <c r="M24" s="150">
        <v>250000</v>
      </c>
      <c r="N24" s="124">
        <v>0.33333333333333298</v>
      </c>
      <c r="O24" s="49"/>
      <c r="P24" s="49" t="s">
        <v>1223</v>
      </c>
      <c r="Q24" s="56"/>
      <c r="R24" s="87">
        <v>4</v>
      </c>
      <c r="S24" s="62">
        <v>457</v>
      </c>
      <c r="T24" s="62">
        <v>56.7</v>
      </c>
      <c r="U24" s="62">
        <v>34</v>
      </c>
      <c r="V24" s="150">
        <v>280000</v>
      </c>
      <c r="W24" s="124">
        <v>0.41666666666666702</v>
      </c>
      <c r="X24" s="49"/>
      <c r="Y24" s="49"/>
      <c r="Z24" s="49" t="s">
        <v>1126</v>
      </c>
      <c r="AA24" s="64"/>
      <c r="AB24" s="87">
        <v>4</v>
      </c>
      <c r="AC24" s="62">
        <v>608</v>
      </c>
      <c r="AD24" s="62">
        <f t="shared" si="1"/>
        <v>67.3828125</v>
      </c>
      <c r="AE24" s="62">
        <v>23</v>
      </c>
      <c r="AF24" s="150">
        <v>300000</v>
      </c>
      <c r="AG24" s="124">
        <v>0.5</v>
      </c>
      <c r="AH24" s="49"/>
      <c r="AI24" s="49"/>
      <c r="AJ24" s="49"/>
      <c r="AK24" s="49"/>
      <c r="AL24" s="49"/>
      <c r="AM24" s="56"/>
      <c r="AN24" s="87">
        <v>4</v>
      </c>
      <c r="AO24" s="62">
        <v>1152</v>
      </c>
      <c r="AP24" s="150">
        <v>300000</v>
      </c>
      <c r="AQ24" s="124">
        <v>0.33333333333333298</v>
      </c>
      <c r="AR24" s="49"/>
      <c r="AS24" s="49"/>
      <c r="AT24" s="49"/>
      <c r="AU24" s="49"/>
      <c r="AV24" s="49"/>
      <c r="AW24" s="56"/>
      <c r="AX24" s="87">
        <v>4</v>
      </c>
      <c r="AY24" s="62">
        <v>1152</v>
      </c>
      <c r="AZ24" s="62">
        <v>350000</v>
      </c>
      <c r="BA24" s="150">
        <v>300000</v>
      </c>
      <c r="BB24" s="124">
        <v>0.25</v>
      </c>
      <c r="BC24" s="49"/>
      <c r="BD24" s="49"/>
      <c r="BE24" s="49"/>
      <c r="BF24" s="300"/>
      <c r="BG24" s="377"/>
      <c r="BH24" s="87">
        <v>4</v>
      </c>
      <c r="BI24" s="62">
        <v>457</v>
      </c>
      <c r="BJ24" s="327">
        <v>1800</v>
      </c>
      <c r="BK24" s="62">
        <v>43200</v>
      </c>
      <c r="BL24" s="62">
        <v>60</v>
      </c>
      <c r="BM24" s="150">
        <v>30000</v>
      </c>
      <c r="BN24" s="124">
        <v>8.3333333333333301E-2</v>
      </c>
      <c r="BO24" s="49"/>
      <c r="BP24" s="49"/>
    </row>
    <row r="25" spans="1:68">
      <c r="A25" s="118"/>
      <c r="B25" s="118"/>
      <c r="C25" s="118"/>
      <c r="D25" s="118"/>
      <c r="E25" s="49"/>
      <c r="F25" s="49" t="s">
        <v>1113</v>
      </c>
      <c r="G25" s="56"/>
      <c r="H25" s="99">
        <v>5</v>
      </c>
      <c r="I25" s="62">
        <v>874</v>
      </c>
      <c r="J25" s="62">
        <v>53</v>
      </c>
      <c r="K25" s="62">
        <v>106</v>
      </c>
      <c r="L25" s="62">
        <v>53</v>
      </c>
      <c r="M25" s="150">
        <v>800000</v>
      </c>
      <c r="N25" s="124">
        <v>1</v>
      </c>
      <c r="O25" s="49"/>
      <c r="P25" s="49" t="s">
        <v>1120</v>
      </c>
      <c r="Q25" s="56"/>
      <c r="R25" s="99">
        <v>5</v>
      </c>
      <c r="S25" s="62">
        <v>526</v>
      </c>
      <c r="T25" s="62">
        <v>61.7</v>
      </c>
      <c r="U25" s="62">
        <v>37</v>
      </c>
      <c r="V25" s="150">
        <v>700000</v>
      </c>
      <c r="W25" s="124">
        <v>1</v>
      </c>
      <c r="X25" s="49"/>
      <c r="Y25" s="49"/>
      <c r="Z25" s="49" t="s">
        <v>1223</v>
      </c>
      <c r="AA25" s="56"/>
      <c r="AB25" s="99">
        <v>5</v>
      </c>
      <c r="AC25" s="62">
        <v>699</v>
      </c>
      <c r="AD25" s="62">
        <f t="shared" si="1"/>
        <v>73.2421875</v>
      </c>
      <c r="AE25" s="62">
        <v>25</v>
      </c>
      <c r="AF25" s="150">
        <v>800000</v>
      </c>
      <c r="AG25" s="124">
        <v>1</v>
      </c>
      <c r="AH25" s="49"/>
      <c r="AI25" s="49"/>
      <c r="AJ25" s="49"/>
      <c r="AK25" s="49"/>
      <c r="AL25" s="49"/>
      <c r="AM25" s="56"/>
      <c r="AN25" s="99">
        <v>5</v>
      </c>
      <c r="AO25" s="62">
        <v>1382</v>
      </c>
      <c r="AP25" s="150">
        <v>700000</v>
      </c>
      <c r="AQ25" s="124">
        <v>0.5</v>
      </c>
      <c r="AR25" s="49"/>
      <c r="AS25" s="49"/>
      <c r="AT25" s="49"/>
      <c r="AU25" s="49"/>
      <c r="AV25" s="49"/>
      <c r="AW25" s="56"/>
      <c r="AX25" s="99">
        <v>5</v>
      </c>
      <c r="AY25" s="62">
        <v>1382</v>
      </c>
      <c r="AZ25" s="62">
        <v>600000</v>
      </c>
      <c r="BA25" s="150">
        <v>600000</v>
      </c>
      <c r="BB25" s="124">
        <v>0.33333333333333298</v>
      </c>
      <c r="BC25" s="49"/>
      <c r="BD25" s="49"/>
      <c r="BE25" s="49"/>
      <c r="BF25" s="49"/>
      <c r="BG25" s="377"/>
      <c r="BH25" s="99">
        <v>5</v>
      </c>
      <c r="BI25" s="62">
        <v>526</v>
      </c>
      <c r="BJ25" s="327">
        <v>2100</v>
      </c>
      <c r="BK25" s="62">
        <v>50400</v>
      </c>
      <c r="BL25" s="62">
        <v>70</v>
      </c>
      <c r="BM25" s="150">
        <v>60000</v>
      </c>
      <c r="BN25" s="124">
        <v>0.20833333333333301</v>
      </c>
      <c r="BO25" s="49"/>
      <c r="BP25" s="49"/>
    </row>
    <row r="26" spans="1:68">
      <c r="A26" s="118"/>
      <c r="B26" s="118"/>
      <c r="C26" s="118"/>
      <c r="D26" s="118"/>
      <c r="E26" s="49"/>
      <c r="F26" s="60" t="s">
        <v>272</v>
      </c>
      <c r="G26" s="61"/>
      <c r="H26" s="90">
        <v>6</v>
      </c>
      <c r="I26" s="62">
        <v>1005</v>
      </c>
      <c r="J26" s="62">
        <v>58</v>
      </c>
      <c r="K26" s="62">
        <v>116</v>
      </c>
      <c r="L26" s="62">
        <v>58</v>
      </c>
      <c r="M26" s="150">
        <v>1200000</v>
      </c>
      <c r="N26" s="124">
        <v>1</v>
      </c>
      <c r="O26" s="49"/>
      <c r="P26" s="52" t="s">
        <v>1232</v>
      </c>
      <c r="Q26" s="117"/>
      <c r="R26" s="90">
        <v>6</v>
      </c>
      <c r="S26" s="62">
        <v>605</v>
      </c>
      <c r="T26" s="62">
        <v>68.3</v>
      </c>
      <c r="U26" s="62">
        <v>41</v>
      </c>
      <c r="V26" s="150">
        <v>1300000</v>
      </c>
      <c r="W26" s="124">
        <v>1</v>
      </c>
      <c r="X26" s="49"/>
      <c r="Y26" s="49"/>
      <c r="Z26" s="49" t="s">
        <v>1117</v>
      </c>
      <c r="AA26" s="56"/>
      <c r="AB26" s="90">
        <v>6</v>
      </c>
      <c r="AC26" s="62">
        <v>804</v>
      </c>
      <c r="AD26" s="62">
        <f t="shared" si="1"/>
        <v>82.03125</v>
      </c>
      <c r="AE26" s="62">
        <v>28</v>
      </c>
      <c r="AF26" s="150">
        <v>1200000</v>
      </c>
      <c r="AG26" s="124">
        <v>1</v>
      </c>
      <c r="AH26" s="49"/>
      <c r="AI26" s="49"/>
      <c r="AJ26" s="49"/>
      <c r="AK26" s="49"/>
      <c r="AL26" s="49"/>
      <c r="AM26" s="56"/>
      <c r="AN26" s="90">
        <v>6</v>
      </c>
      <c r="AO26" s="62">
        <v>1658</v>
      </c>
      <c r="AP26" s="150">
        <v>1000000</v>
      </c>
      <c r="AQ26" s="124">
        <v>1</v>
      </c>
      <c r="AR26" s="49"/>
      <c r="AS26" s="49"/>
      <c r="AT26" s="49"/>
      <c r="AU26" s="49"/>
      <c r="AV26" s="49"/>
      <c r="AW26" s="56"/>
      <c r="AX26" s="90">
        <v>6</v>
      </c>
      <c r="AY26" s="62">
        <v>1658</v>
      </c>
      <c r="AZ26" s="62">
        <v>800000</v>
      </c>
      <c r="BA26" s="150">
        <v>1000000</v>
      </c>
      <c r="BB26" s="124">
        <v>0.41699999999999998</v>
      </c>
      <c r="BC26" s="49"/>
      <c r="BD26" s="49"/>
      <c r="BE26" s="49"/>
      <c r="BF26" s="49"/>
      <c r="BG26" s="377"/>
      <c r="BH26" s="90">
        <v>6</v>
      </c>
      <c r="BI26" s="62">
        <v>605</v>
      </c>
      <c r="BJ26" s="327">
        <v>2500</v>
      </c>
      <c r="BK26" s="62">
        <v>60000</v>
      </c>
      <c r="BL26" s="62">
        <v>80</v>
      </c>
      <c r="BM26" s="150">
        <v>100000</v>
      </c>
      <c r="BN26" s="124">
        <v>0.33333333333333298</v>
      </c>
      <c r="BO26" s="49"/>
      <c r="BP26" s="49"/>
    </row>
    <row r="27" spans="1:68">
      <c r="A27" s="118"/>
      <c r="B27" s="118"/>
      <c r="C27" s="118"/>
      <c r="D27" s="118"/>
      <c r="E27" s="49"/>
      <c r="F27" s="52" t="s">
        <v>1629</v>
      </c>
      <c r="G27" s="64"/>
      <c r="H27" s="278">
        <v>7</v>
      </c>
      <c r="I27" s="62">
        <v>1156</v>
      </c>
      <c r="J27" s="62">
        <v>64</v>
      </c>
      <c r="K27" s="62">
        <v>128</v>
      </c>
      <c r="L27" s="62">
        <v>64</v>
      </c>
      <c r="M27" s="150">
        <v>2000000</v>
      </c>
      <c r="N27" s="124">
        <v>2</v>
      </c>
      <c r="O27" s="49"/>
      <c r="P27" s="49" t="s">
        <v>1236</v>
      </c>
      <c r="Q27" s="297"/>
      <c r="R27" s="278">
        <v>7</v>
      </c>
      <c r="S27" s="62">
        <v>696</v>
      </c>
      <c r="T27" s="62">
        <v>75</v>
      </c>
      <c r="U27" s="62">
        <v>45</v>
      </c>
      <c r="V27" s="150">
        <v>2100000</v>
      </c>
      <c r="W27" s="124">
        <v>2</v>
      </c>
      <c r="X27" s="49"/>
      <c r="Y27" s="49"/>
      <c r="Z27" s="49"/>
      <c r="AA27" s="297"/>
      <c r="AB27" s="278">
        <v>7</v>
      </c>
      <c r="AC27" s="62">
        <v>925</v>
      </c>
      <c r="AD27" s="62">
        <f t="shared" si="1"/>
        <v>90.8203125</v>
      </c>
      <c r="AE27" s="62">
        <v>31</v>
      </c>
      <c r="AF27" s="150">
        <v>2000000</v>
      </c>
      <c r="AG27" s="124">
        <v>2</v>
      </c>
      <c r="AH27" s="49"/>
      <c r="AI27" s="49"/>
      <c r="AJ27" s="49"/>
      <c r="AK27" s="49"/>
      <c r="AL27" s="49"/>
      <c r="AM27" s="56"/>
      <c r="AN27" s="278">
        <v>7</v>
      </c>
      <c r="AO27" s="62">
        <v>1990</v>
      </c>
      <c r="AP27" s="150">
        <v>2000000</v>
      </c>
      <c r="AQ27" s="124">
        <v>2</v>
      </c>
      <c r="AR27" s="49"/>
      <c r="AS27" s="49"/>
      <c r="AT27" s="49"/>
      <c r="AU27" s="49"/>
      <c r="AV27" s="49"/>
      <c r="AW27" s="56"/>
      <c r="AX27" s="278">
        <v>7</v>
      </c>
      <c r="AY27" s="62">
        <v>1990</v>
      </c>
      <c r="AZ27" s="62">
        <v>1200000</v>
      </c>
      <c r="BA27" s="150">
        <v>1500000</v>
      </c>
      <c r="BB27" s="124">
        <v>0.5</v>
      </c>
      <c r="BC27" s="49"/>
      <c r="BD27" s="49"/>
      <c r="BE27" s="49"/>
      <c r="BF27" s="49"/>
      <c r="BG27" s="377"/>
      <c r="BH27" s="278">
        <v>7</v>
      </c>
      <c r="BI27" s="62">
        <v>696</v>
      </c>
      <c r="BJ27" s="327">
        <v>3000</v>
      </c>
      <c r="BK27" s="62">
        <v>72000</v>
      </c>
      <c r="BL27" s="62">
        <v>100</v>
      </c>
      <c r="BM27" s="150">
        <v>200000</v>
      </c>
      <c r="BN27" s="124">
        <v>0.41666666666666702</v>
      </c>
      <c r="BO27" s="49"/>
      <c r="BP27" s="49"/>
    </row>
    <row r="28" spans="1:68">
      <c r="A28" s="118"/>
      <c r="B28" s="118"/>
      <c r="C28" s="118"/>
      <c r="D28" s="118"/>
      <c r="E28" s="49"/>
      <c r="F28" s="49" t="s">
        <v>1164</v>
      </c>
      <c r="G28" s="56"/>
      <c r="H28" s="279">
        <v>8</v>
      </c>
      <c r="I28" s="62">
        <v>1329</v>
      </c>
      <c r="J28" s="62">
        <v>70</v>
      </c>
      <c r="K28" s="62">
        <v>140</v>
      </c>
      <c r="L28" s="62">
        <v>70</v>
      </c>
      <c r="M28" s="150">
        <v>2800000</v>
      </c>
      <c r="N28" s="124">
        <v>3</v>
      </c>
      <c r="O28" s="49"/>
      <c r="P28" s="49" t="s">
        <v>1238</v>
      </c>
      <c r="Q28" s="297"/>
      <c r="R28" s="279">
        <v>8</v>
      </c>
      <c r="S28" s="62">
        <v>800</v>
      </c>
      <c r="T28" s="62">
        <v>83.3</v>
      </c>
      <c r="U28" s="62">
        <v>50</v>
      </c>
      <c r="V28" s="150">
        <v>3100000</v>
      </c>
      <c r="W28" s="124">
        <v>3</v>
      </c>
      <c r="X28" s="49"/>
      <c r="Y28" s="49"/>
      <c r="Z28" s="49"/>
      <c r="AA28" s="297"/>
      <c r="AB28" s="279">
        <v>8</v>
      </c>
      <c r="AC28" s="62">
        <v>1064</v>
      </c>
      <c r="AD28" s="62">
        <f t="shared" si="1"/>
        <v>99.609375</v>
      </c>
      <c r="AE28" s="62">
        <v>34</v>
      </c>
      <c r="AF28" s="150">
        <v>3000000</v>
      </c>
      <c r="AG28" s="124">
        <v>3</v>
      </c>
      <c r="AH28" s="49"/>
      <c r="AI28" s="49"/>
      <c r="AJ28" s="49"/>
      <c r="AK28" s="49"/>
      <c r="AL28" s="49"/>
      <c r="AM28" s="56"/>
      <c r="AN28" s="279">
        <v>8</v>
      </c>
      <c r="AO28" s="62">
        <v>2388</v>
      </c>
      <c r="AP28" s="150">
        <v>3000000</v>
      </c>
      <c r="AQ28" s="124">
        <v>3</v>
      </c>
      <c r="AR28" s="49"/>
      <c r="AS28" s="49"/>
      <c r="AT28" s="49"/>
      <c r="AU28" s="49"/>
      <c r="AV28" s="49"/>
      <c r="AW28" s="56"/>
      <c r="AX28" s="279">
        <v>8</v>
      </c>
      <c r="AY28" s="62">
        <v>2388</v>
      </c>
      <c r="AZ28" s="62">
        <v>1600000</v>
      </c>
      <c r="BA28" s="150">
        <v>2000000</v>
      </c>
      <c r="BB28" s="124">
        <v>1</v>
      </c>
      <c r="BC28" s="49"/>
      <c r="BD28" s="49"/>
      <c r="BE28" s="49"/>
      <c r="BF28" s="49"/>
      <c r="BG28" s="377"/>
      <c r="BH28" s="279">
        <v>8</v>
      </c>
      <c r="BI28" s="62">
        <v>800</v>
      </c>
      <c r="BJ28" s="327">
        <v>3500</v>
      </c>
      <c r="BK28" s="62">
        <v>84000</v>
      </c>
      <c r="BL28" s="62">
        <v>120</v>
      </c>
      <c r="BM28" s="150">
        <v>300000</v>
      </c>
      <c r="BN28" s="124">
        <v>0.5</v>
      </c>
      <c r="BO28" s="49"/>
      <c r="BP28" s="49"/>
    </row>
    <row r="29" spans="1:68">
      <c r="A29" s="118"/>
      <c r="B29" s="118"/>
      <c r="C29" s="118"/>
      <c r="D29" s="54"/>
      <c r="E29" s="49"/>
      <c r="F29" s="49" t="s">
        <v>1119</v>
      </c>
      <c r="G29" s="56"/>
      <c r="H29" s="280">
        <v>9</v>
      </c>
      <c r="I29" s="62">
        <v>1395</v>
      </c>
      <c r="J29" s="62">
        <v>77</v>
      </c>
      <c r="K29" s="62">
        <v>154</v>
      </c>
      <c r="L29" s="62">
        <v>77</v>
      </c>
      <c r="M29" s="150">
        <v>3600000</v>
      </c>
      <c r="N29" s="124">
        <v>4</v>
      </c>
      <c r="O29" s="49"/>
      <c r="P29" s="49" t="s">
        <v>1241</v>
      </c>
      <c r="Q29" s="297"/>
      <c r="R29" s="280">
        <v>9</v>
      </c>
      <c r="S29" s="62">
        <v>840</v>
      </c>
      <c r="T29" s="62">
        <v>91.7</v>
      </c>
      <c r="U29" s="62">
        <v>55</v>
      </c>
      <c r="V29" s="150">
        <v>4100000</v>
      </c>
      <c r="W29" s="124">
        <v>4</v>
      </c>
      <c r="X29" s="49"/>
      <c r="Y29" s="49"/>
      <c r="Z29" s="49"/>
      <c r="AA29" s="297"/>
      <c r="AB29" s="280">
        <v>9</v>
      </c>
      <c r="AC29" s="62">
        <v>1117</v>
      </c>
      <c r="AD29" s="62">
        <f t="shared" si="1"/>
        <v>108.3984375</v>
      </c>
      <c r="AE29" s="62">
        <v>37</v>
      </c>
      <c r="AF29" s="150">
        <v>4000000</v>
      </c>
      <c r="AG29" s="124">
        <v>4</v>
      </c>
      <c r="AH29" s="49"/>
      <c r="AI29" s="49"/>
      <c r="AJ29" s="49"/>
      <c r="AK29" s="49"/>
      <c r="AL29" s="49"/>
      <c r="AM29" s="49"/>
      <c r="AN29" s="280">
        <v>9</v>
      </c>
      <c r="AO29" s="62">
        <v>2507</v>
      </c>
      <c r="AP29" s="150">
        <v>4000000</v>
      </c>
      <c r="AQ29" s="124">
        <v>4</v>
      </c>
      <c r="AR29" s="49"/>
      <c r="AS29" s="49"/>
      <c r="AT29" s="49"/>
      <c r="AU29" s="49"/>
      <c r="AV29" s="49"/>
      <c r="AW29" s="56"/>
      <c r="AX29" s="280">
        <v>9</v>
      </c>
      <c r="AY29" s="62">
        <v>2507</v>
      </c>
      <c r="AZ29" s="62">
        <v>2000000</v>
      </c>
      <c r="BA29" s="150">
        <v>2500000</v>
      </c>
      <c r="BB29" s="124">
        <v>1.5</v>
      </c>
      <c r="BC29" s="49"/>
      <c r="BD29" s="49"/>
      <c r="BE29" s="49"/>
      <c r="BF29" s="49"/>
      <c r="BG29" s="97"/>
      <c r="BH29" s="280">
        <v>9</v>
      </c>
      <c r="BI29" s="62">
        <v>840</v>
      </c>
      <c r="BJ29" s="327">
        <v>4000</v>
      </c>
      <c r="BK29" s="62">
        <v>96000</v>
      </c>
      <c r="BL29" s="62">
        <v>140</v>
      </c>
      <c r="BM29" s="150">
        <v>400000</v>
      </c>
      <c r="BN29" s="124">
        <v>0.58333333333333304</v>
      </c>
      <c r="BO29" s="49"/>
      <c r="BP29" s="49"/>
    </row>
    <row r="30" spans="1:68">
      <c r="A30" s="118"/>
      <c r="B30" s="118"/>
      <c r="C30" s="118"/>
      <c r="D30" s="118"/>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t="s">
        <v>1097</v>
      </c>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row>
    <row r="31" spans="1:68">
      <c r="A31" s="118"/>
      <c r="B31" s="118"/>
      <c r="C31" s="118"/>
      <c r="D31" s="118"/>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row>
    <row r="32" spans="1:68">
      <c r="A32" s="118"/>
      <c r="B32" s="118"/>
      <c r="C32" s="118"/>
      <c r="D32" s="118"/>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row>
    <row r="33" spans="1:68">
      <c r="A33" s="118"/>
      <c r="B33" s="118"/>
      <c r="C33" s="118"/>
      <c r="D33" s="118"/>
      <c r="E33" s="49"/>
      <c r="F33" s="49" t="s">
        <v>1630</v>
      </c>
      <c r="G33" s="49"/>
      <c r="H33" s="49"/>
      <c r="I33" s="49"/>
      <c r="J33" s="49"/>
      <c r="K33" s="49"/>
      <c r="L33" s="49"/>
      <c r="M33" s="49"/>
      <c r="N33" s="49"/>
      <c r="O33" s="49"/>
      <c r="P33" s="49" t="s">
        <v>1631</v>
      </c>
      <c r="Q33" s="49"/>
      <c r="R33" s="49"/>
      <c r="S33" s="49"/>
      <c r="T33" s="49"/>
      <c r="U33" s="49"/>
      <c r="V33" s="49"/>
      <c r="W33" s="49"/>
      <c r="X33" s="49"/>
      <c r="Y33" s="49"/>
      <c r="Z33" s="49" t="s">
        <v>1632</v>
      </c>
      <c r="AA33" s="49"/>
      <c r="AB33" s="137" t="s">
        <v>107</v>
      </c>
      <c r="AC33" s="49"/>
      <c r="AD33" s="49"/>
      <c r="AE33" s="49"/>
      <c r="AF33" s="49"/>
      <c r="AG33" s="49"/>
      <c r="AH33" s="49"/>
      <c r="AI33" s="49"/>
      <c r="AJ33" s="49"/>
      <c r="AK33" s="49"/>
      <c r="AL33" s="49" t="s">
        <v>1633</v>
      </c>
      <c r="AM33" s="49"/>
      <c r="AN33" s="49"/>
      <c r="AO33" s="49"/>
      <c r="AP33" s="49"/>
      <c r="AQ33" s="49"/>
      <c r="AR33" s="49"/>
      <c r="AS33" s="49"/>
      <c r="AT33" s="49"/>
      <c r="AU33" s="49"/>
      <c r="AV33" s="49" t="s">
        <v>1634</v>
      </c>
      <c r="AW33" s="49"/>
      <c r="AX33" s="49"/>
      <c r="AY33" s="49"/>
      <c r="AZ33" s="49"/>
      <c r="BA33" s="49"/>
      <c r="BB33" s="49"/>
      <c r="BC33" s="49"/>
      <c r="BD33" s="49"/>
      <c r="BE33" s="49"/>
      <c r="BF33" s="49" t="s">
        <v>1635</v>
      </c>
      <c r="BG33" s="49"/>
      <c r="BH33" s="49"/>
      <c r="BI33" s="49"/>
      <c r="BJ33" s="49"/>
      <c r="BK33" s="49"/>
      <c r="BL33" s="49"/>
      <c r="BM33" s="49"/>
      <c r="BN33" s="49"/>
      <c r="BO33" s="49"/>
      <c r="BP33" s="49"/>
    </row>
    <row r="34" spans="1:68">
      <c r="A34" s="118"/>
      <c r="B34" s="118"/>
      <c r="C34" s="118"/>
      <c r="D34" s="54"/>
      <c r="E34" s="49"/>
      <c r="F34" s="52" t="s">
        <v>1099</v>
      </c>
      <c r="G34" s="64"/>
      <c r="H34" s="108" t="s">
        <v>243</v>
      </c>
      <c r="I34" s="65" t="s">
        <v>244</v>
      </c>
      <c r="J34" s="65" t="s">
        <v>245</v>
      </c>
      <c r="K34" s="65" t="s">
        <v>250</v>
      </c>
      <c r="L34" s="65" t="s">
        <v>1091</v>
      </c>
      <c r="M34" s="65" t="s">
        <v>1092</v>
      </c>
      <c r="N34" s="49"/>
      <c r="O34" s="49"/>
      <c r="P34" s="52" t="s">
        <v>1636</v>
      </c>
      <c r="Q34" s="64"/>
      <c r="R34" s="108" t="s">
        <v>243</v>
      </c>
      <c r="S34" s="65" t="s">
        <v>244</v>
      </c>
      <c r="T34" s="65" t="s">
        <v>1637</v>
      </c>
      <c r="U34" s="65" t="s">
        <v>1638</v>
      </c>
      <c r="V34" s="65" t="s">
        <v>1091</v>
      </c>
      <c r="W34" s="65" t="s">
        <v>1092</v>
      </c>
      <c r="X34" s="49"/>
      <c r="Y34" s="49"/>
      <c r="Z34" s="52" t="s">
        <v>1191</v>
      </c>
      <c r="AA34" s="64"/>
      <c r="AB34" s="108" t="s">
        <v>243</v>
      </c>
      <c r="AC34" s="65" t="s">
        <v>244</v>
      </c>
      <c r="AD34" s="65" t="s">
        <v>245</v>
      </c>
      <c r="AE34" s="65" t="s">
        <v>250</v>
      </c>
      <c r="AF34" s="65" t="s">
        <v>1091</v>
      </c>
      <c r="AG34" s="65" t="s">
        <v>1092</v>
      </c>
      <c r="AH34" s="49"/>
      <c r="AI34" s="49"/>
      <c r="AJ34" s="49"/>
      <c r="AK34" s="49"/>
      <c r="AL34" s="52" t="s">
        <v>1107</v>
      </c>
      <c r="AM34" s="64"/>
      <c r="AN34" s="65" t="s">
        <v>243</v>
      </c>
      <c r="AO34" s="65" t="s">
        <v>244</v>
      </c>
      <c r="AP34" s="65" t="s">
        <v>1625</v>
      </c>
      <c r="AQ34" s="65" t="s">
        <v>1091</v>
      </c>
      <c r="AR34" s="65" t="s">
        <v>1092</v>
      </c>
      <c r="AS34" s="49"/>
      <c r="AT34" s="49"/>
      <c r="AU34" s="49"/>
      <c r="AV34" s="52" t="s">
        <v>1107</v>
      </c>
      <c r="AW34" s="117"/>
      <c r="AX34" s="108" t="s">
        <v>243</v>
      </c>
      <c r="AY34" s="65" t="s">
        <v>244</v>
      </c>
      <c r="AZ34" s="65" t="s">
        <v>1227</v>
      </c>
      <c r="BA34" s="65" t="s">
        <v>1228</v>
      </c>
      <c r="BB34" s="65" t="s">
        <v>1229</v>
      </c>
      <c r="BC34" s="65" t="s">
        <v>1091</v>
      </c>
      <c r="BD34" s="65" t="s">
        <v>1092</v>
      </c>
      <c r="BE34" s="62"/>
      <c r="BF34" s="52" t="s">
        <v>1107</v>
      </c>
      <c r="BG34" s="117"/>
      <c r="BH34" s="108" t="s">
        <v>243</v>
      </c>
      <c r="BI34" s="65" t="s">
        <v>244</v>
      </c>
      <c r="BJ34" s="65" t="s">
        <v>1227</v>
      </c>
      <c r="BK34" s="65" t="s">
        <v>1639</v>
      </c>
      <c r="BL34" s="65" t="s">
        <v>1091</v>
      </c>
      <c r="BM34" s="65" t="s">
        <v>1092</v>
      </c>
      <c r="BN34" s="49"/>
      <c r="BO34" s="49"/>
      <c r="BP34" s="49"/>
    </row>
    <row r="35" spans="1:68">
      <c r="A35" s="118"/>
      <c r="B35" s="118"/>
      <c r="C35" s="118"/>
      <c r="D35" s="49"/>
      <c r="E35" s="49"/>
      <c r="F35" s="49" t="s">
        <v>1640</v>
      </c>
      <c r="G35" s="56"/>
      <c r="H35" s="87">
        <v>1</v>
      </c>
      <c r="I35" s="62">
        <v>1000</v>
      </c>
      <c r="J35" s="62">
        <v>142.9</v>
      </c>
      <c r="K35" s="62">
        <v>500</v>
      </c>
      <c r="L35" s="150">
        <v>120000</v>
      </c>
      <c r="M35" s="124">
        <v>8.3333333333333301E-2</v>
      </c>
      <c r="N35" s="49"/>
      <c r="O35" s="49"/>
      <c r="P35" s="49" t="s">
        <v>1641</v>
      </c>
      <c r="Q35" s="56"/>
      <c r="R35" s="87">
        <v>1</v>
      </c>
      <c r="S35" s="62">
        <v>300</v>
      </c>
      <c r="T35" s="62">
        <v>2</v>
      </c>
      <c r="U35" s="62">
        <v>2</v>
      </c>
      <c r="V35" s="150">
        <v>200000</v>
      </c>
      <c r="W35" s="124">
        <v>0.16700000000000001</v>
      </c>
      <c r="X35" s="49"/>
      <c r="Y35" s="49"/>
      <c r="Z35" s="49" t="s">
        <v>1642</v>
      </c>
      <c r="AA35" s="56"/>
      <c r="AB35" s="87">
        <v>1</v>
      </c>
      <c r="AC35" s="62">
        <v>1000</v>
      </c>
      <c r="AD35" s="62">
        <v>83.3</v>
      </c>
      <c r="AE35" s="62">
        <v>250</v>
      </c>
      <c r="AF35" s="150">
        <v>300000</v>
      </c>
      <c r="AG35" s="124">
        <v>0.25</v>
      </c>
      <c r="AH35" s="49"/>
      <c r="AI35" s="49"/>
      <c r="AJ35" s="49"/>
      <c r="AK35" s="49"/>
      <c r="AL35" s="60" t="s">
        <v>1117</v>
      </c>
      <c r="AM35" s="61"/>
      <c r="AN35" s="87">
        <v>1</v>
      </c>
      <c r="AO35" s="62">
        <v>650</v>
      </c>
      <c r="AP35" s="62">
        <v>70000</v>
      </c>
      <c r="AQ35" s="150">
        <v>20000</v>
      </c>
      <c r="AR35" s="124">
        <v>2.1000000000000001E-2</v>
      </c>
      <c r="AS35" s="49"/>
      <c r="AT35" s="49"/>
      <c r="AU35" s="49"/>
      <c r="AV35" s="60" t="s">
        <v>1117</v>
      </c>
      <c r="AW35" s="375"/>
      <c r="AX35" s="87">
        <v>1</v>
      </c>
      <c r="AY35" s="62">
        <v>300</v>
      </c>
      <c r="AZ35" s="327">
        <v>1000</v>
      </c>
      <c r="BA35" s="62">
        <v>24000</v>
      </c>
      <c r="BB35" s="62">
        <v>30</v>
      </c>
      <c r="BC35" s="62">
        <v>1000</v>
      </c>
      <c r="BD35" s="124">
        <v>6.9444444444444397E-3</v>
      </c>
      <c r="BE35" s="124"/>
      <c r="BF35" s="60" t="s">
        <v>1117</v>
      </c>
      <c r="BG35" s="375"/>
      <c r="BH35" s="87">
        <v>1</v>
      </c>
      <c r="BI35" s="62">
        <v>300</v>
      </c>
      <c r="BJ35" s="379">
        <v>2.2000000000000002</v>
      </c>
      <c r="BK35" s="62">
        <v>10</v>
      </c>
      <c r="BL35" s="150">
        <v>120000</v>
      </c>
      <c r="BM35" s="124">
        <v>4.1666666666666699E-2</v>
      </c>
      <c r="BN35" s="49"/>
      <c r="BO35" s="49"/>
      <c r="BP35" s="49"/>
    </row>
    <row r="36" spans="1:68">
      <c r="A36" s="118"/>
      <c r="B36" s="118"/>
      <c r="C36" s="118"/>
      <c r="D36" s="49"/>
      <c r="E36" s="49"/>
      <c r="F36" s="60" t="s">
        <v>460</v>
      </c>
      <c r="G36" s="61"/>
      <c r="H36" s="87">
        <v>2</v>
      </c>
      <c r="I36" s="62">
        <v>1150</v>
      </c>
      <c r="J36" s="62">
        <v>157.1</v>
      </c>
      <c r="K36" s="62">
        <v>550</v>
      </c>
      <c r="L36" s="150">
        <v>180000</v>
      </c>
      <c r="M36" s="124">
        <v>0.20833333333333301</v>
      </c>
      <c r="N36" s="49"/>
      <c r="O36" s="49"/>
      <c r="P36" s="60" t="s">
        <v>1643</v>
      </c>
      <c r="Q36" s="61"/>
      <c r="R36" s="87">
        <v>2</v>
      </c>
      <c r="S36" s="62">
        <v>345</v>
      </c>
      <c r="T36" s="62">
        <v>2</v>
      </c>
      <c r="U36" s="62">
        <v>4</v>
      </c>
      <c r="V36" s="150">
        <v>240000</v>
      </c>
      <c r="W36" s="124">
        <v>0.33333333333333298</v>
      </c>
      <c r="X36" s="49"/>
      <c r="Y36" s="49"/>
      <c r="Z36" s="60" t="s">
        <v>356</v>
      </c>
      <c r="AA36" s="61"/>
      <c r="AB36" s="87">
        <v>2</v>
      </c>
      <c r="AC36" s="62">
        <v>1150</v>
      </c>
      <c r="AD36" s="62">
        <v>91.7</v>
      </c>
      <c r="AE36" s="62">
        <v>275</v>
      </c>
      <c r="AF36" s="150">
        <v>320000</v>
      </c>
      <c r="AG36" s="124">
        <v>0.5</v>
      </c>
      <c r="AH36" s="49"/>
      <c r="AI36" s="49"/>
      <c r="AJ36" s="49"/>
      <c r="AK36" s="49"/>
      <c r="AL36" s="49" t="s">
        <v>1285</v>
      </c>
      <c r="AM36" s="56"/>
      <c r="AN36" s="87">
        <v>2</v>
      </c>
      <c r="AO36" s="62">
        <v>800</v>
      </c>
      <c r="AP36" s="62">
        <v>150000</v>
      </c>
      <c r="AQ36" s="150">
        <v>80000</v>
      </c>
      <c r="AR36" s="124">
        <v>4.2000000000000003E-2</v>
      </c>
      <c r="AS36" s="49"/>
      <c r="AT36" s="49"/>
      <c r="AU36" s="49"/>
      <c r="AV36" s="52" t="s">
        <v>1239</v>
      </c>
      <c r="AW36" s="376"/>
      <c r="AX36" s="87">
        <v>2</v>
      </c>
      <c r="AY36" s="62">
        <v>345</v>
      </c>
      <c r="AZ36" s="327">
        <v>1200</v>
      </c>
      <c r="BA36" s="62">
        <v>28800</v>
      </c>
      <c r="BB36" s="62">
        <v>40</v>
      </c>
      <c r="BC36" s="62">
        <v>5000</v>
      </c>
      <c r="BD36" s="124">
        <v>1.38888888888889E-2</v>
      </c>
      <c r="BE36" s="124"/>
      <c r="BF36" s="52" t="s">
        <v>1644</v>
      </c>
      <c r="BG36" s="376"/>
      <c r="BH36" s="87">
        <v>2</v>
      </c>
      <c r="BI36" s="62">
        <v>345</v>
      </c>
      <c r="BJ36" s="379">
        <v>2.4</v>
      </c>
      <c r="BK36" s="62">
        <v>11</v>
      </c>
      <c r="BL36" s="150">
        <v>180000</v>
      </c>
      <c r="BM36" s="124">
        <v>8.3333333333333301E-2</v>
      </c>
      <c r="BN36" s="49"/>
      <c r="BO36" s="49"/>
      <c r="BP36" s="49"/>
    </row>
    <row r="37" spans="1:68">
      <c r="A37" s="118"/>
      <c r="B37" s="118"/>
      <c r="C37" s="118"/>
      <c r="D37" s="49"/>
      <c r="E37" s="49"/>
      <c r="F37" s="49" t="s">
        <v>1645</v>
      </c>
      <c r="G37" s="64"/>
      <c r="H37" s="87">
        <v>3</v>
      </c>
      <c r="I37" s="62">
        <v>1323</v>
      </c>
      <c r="J37" s="62">
        <v>172.9</v>
      </c>
      <c r="K37" s="62">
        <v>605</v>
      </c>
      <c r="L37" s="150">
        <v>220000</v>
      </c>
      <c r="M37" s="124">
        <v>0.5</v>
      </c>
      <c r="N37" s="49"/>
      <c r="O37" s="49"/>
      <c r="P37" s="49" t="s">
        <v>1223</v>
      </c>
      <c r="Q37" s="64"/>
      <c r="R37" s="87">
        <v>3</v>
      </c>
      <c r="S37" s="62">
        <v>397</v>
      </c>
      <c r="T37" s="62">
        <v>3</v>
      </c>
      <c r="U37" s="62">
        <v>6</v>
      </c>
      <c r="V37" s="150">
        <v>280000</v>
      </c>
      <c r="W37" s="124">
        <v>0.5</v>
      </c>
      <c r="X37" s="49"/>
      <c r="Y37" s="49"/>
      <c r="Z37" s="49" t="s">
        <v>785</v>
      </c>
      <c r="AA37" s="64"/>
      <c r="AB37" s="87">
        <v>3</v>
      </c>
      <c r="AC37" s="62">
        <v>1323</v>
      </c>
      <c r="AD37" s="62">
        <v>101</v>
      </c>
      <c r="AE37" s="62">
        <v>303</v>
      </c>
      <c r="AF37" s="150">
        <v>340000</v>
      </c>
      <c r="AG37" s="124">
        <v>1</v>
      </c>
      <c r="AH37" s="49"/>
      <c r="AI37" s="49"/>
      <c r="AJ37" s="49"/>
      <c r="AK37" s="49"/>
      <c r="AL37" s="49" t="s">
        <v>1129</v>
      </c>
      <c r="AM37" s="56"/>
      <c r="AN37" s="87">
        <v>3</v>
      </c>
      <c r="AO37" s="62">
        <v>960</v>
      </c>
      <c r="AP37" s="62">
        <v>250000</v>
      </c>
      <c r="AQ37" s="150">
        <v>200000</v>
      </c>
      <c r="AR37" s="124">
        <v>0.125</v>
      </c>
      <c r="AS37" s="49"/>
      <c r="AT37" s="49"/>
      <c r="AU37" s="49"/>
      <c r="AV37" s="49" t="s">
        <v>1129</v>
      </c>
      <c r="AW37" s="377"/>
      <c r="AX37" s="87">
        <v>3</v>
      </c>
      <c r="AY37" s="62">
        <v>397</v>
      </c>
      <c r="AZ37" s="327">
        <v>1500</v>
      </c>
      <c r="BA37" s="62">
        <v>36000</v>
      </c>
      <c r="BB37" s="62">
        <v>50</v>
      </c>
      <c r="BC37" s="150">
        <v>10000</v>
      </c>
      <c r="BD37" s="124">
        <v>3.125E-2</v>
      </c>
      <c r="BE37" s="124"/>
      <c r="BF37" s="49" t="s">
        <v>1129</v>
      </c>
      <c r="BG37" s="377"/>
      <c r="BH37" s="87">
        <v>3</v>
      </c>
      <c r="BI37" s="62">
        <v>397</v>
      </c>
      <c r="BJ37" s="379">
        <v>2.6</v>
      </c>
      <c r="BK37" s="62">
        <v>12</v>
      </c>
      <c r="BL37" s="150">
        <v>240000</v>
      </c>
      <c r="BM37" s="124">
        <v>0.25</v>
      </c>
      <c r="BN37" s="49"/>
      <c r="BO37" s="49"/>
      <c r="BP37" s="49"/>
    </row>
    <row r="38" spans="1:68">
      <c r="A38" s="118"/>
      <c r="B38" s="118"/>
      <c r="C38" s="118"/>
      <c r="D38" s="49"/>
      <c r="E38" s="49"/>
      <c r="F38" s="49" t="s">
        <v>1107</v>
      </c>
      <c r="G38" s="56"/>
      <c r="H38" s="87">
        <v>4</v>
      </c>
      <c r="I38" s="62">
        <v>1521</v>
      </c>
      <c r="J38" s="62">
        <v>190.3</v>
      </c>
      <c r="K38" s="62">
        <v>666</v>
      </c>
      <c r="L38" s="150">
        <v>350000</v>
      </c>
      <c r="M38" s="124">
        <v>1</v>
      </c>
      <c r="N38" s="49"/>
      <c r="O38" s="49"/>
      <c r="P38" s="49" t="s">
        <v>1120</v>
      </c>
      <c r="Q38" s="56"/>
      <c r="R38" s="87">
        <v>4</v>
      </c>
      <c r="S38" s="62">
        <v>457</v>
      </c>
      <c r="T38" s="62">
        <v>3</v>
      </c>
      <c r="U38" s="62">
        <v>8</v>
      </c>
      <c r="V38" s="150">
        <v>320000</v>
      </c>
      <c r="W38" s="124">
        <v>1</v>
      </c>
      <c r="X38" s="49"/>
      <c r="Y38" s="49"/>
      <c r="Z38" s="49" t="s">
        <v>1107</v>
      </c>
      <c r="AA38" s="56"/>
      <c r="AB38" s="87">
        <v>4</v>
      </c>
      <c r="AC38" s="62">
        <v>1521</v>
      </c>
      <c r="AD38" s="62">
        <v>111</v>
      </c>
      <c r="AE38" s="62">
        <v>333</v>
      </c>
      <c r="AF38" s="150">
        <v>360000</v>
      </c>
      <c r="AG38" s="124">
        <v>2</v>
      </c>
      <c r="AH38" s="49"/>
      <c r="AI38" s="49"/>
      <c r="AJ38" s="49"/>
      <c r="AK38" s="49"/>
      <c r="AL38" s="49"/>
      <c r="AM38" s="56"/>
      <c r="AN38" s="87">
        <v>4</v>
      </c>
      <c r="AO38" s="62">
        <v>1152</v>
      </c>
      <c r="AP38" s="62">
        <v>350000</v>
      </c>
      <c r="AQ38" s="150">
        <v>300000</v>
      </c>
      <c r="AR38" s="124">
        <v>0.25</v>
      </c>
      <c r="AS38" s="49"/>
      <c r="AT38" s="49"/>
      <c r="AU38" s="300"/>
      <c r="AV38" s="300"/>
      <c r="AW38" s="377"/>
      <c r="AX38" s="87">
        <v>4</v>
      </c>
      <c r="AY38" s="62">
        <v>457</v>
      </c>
      <c r="AZ38" s="327">
        <v>1800</v>
      </c>
      <c r="BA38" s="62">
        <v>43200</v>
      </c>
      <c r="BB38" s="62">
        <v>60</v>
      </c>
      <c r="BC38" s="150">
        <v>30000</v>
      </c>
      <c r="BD38" s="124">
        <v>8.3333333333333301E-2</v>
      </c>
      <c r="BE38" s="124"/>
      <c r="BF38" s="300"/>
      <c r="BG38" s="377"/>
      <c r="BH38" s="87">
        <v>4</v>
      </c>
      <c r="BI38" s="62">
        <v>457</v>
      </c>
      <c r="BJ38" s="379">
        <v>2.9</v>
      </c>
      <c r="BK38" s="62">
        <v>13</v>
      </c>
      <c r="BL38" s="150">
        <v>450000</v>
      </c>
      <c r="BM38" s="124">
        <v>0.33333333333333298</v>
      </c>
      <c r="BN38" s="49"/>
      <c r="BO38" s="49"/>
      <c r="BP38" s="49"/>
    </row>
    <row r="39" spans="1:68">
      <c r="A39" s="118"/>
      <c r="B39" s="118"/>
      <c r="C39" s="118"/>
      <c r="D39" s="49"/>
      <c r="E39" s="49"/>
      <c r="F39" s="49" t="s">
        <v>1117</v>
      </c>
      <c r="G39" s="56"/>
      <c r="H39" s="99">
        <v>5</v>
      </c>
      <c r="I39" s="62">
        <v>1749</v>
      </c>
      <c r="J39" s="62">
        <v>209.4</v>
      </c>
      <c r="K39" s="62">
        <v>733</v>
      </c>
      <c r="L39" s="150">
        <v>1200000</v>
      </c>
      <c r="M39" s="124">
        <v>2</v>
      </c>
      <c r="N39" s="49"/>
      <c r="O39" s="49"/>
      <c r="P39" s="49"/>
      <c r="Q39" s="56"/>
      <c r="R39" s="99">
        <v>5</v>
      </c>
      <c r="S39" s="62">
        <v>526</v>
      </c>
      <c r="T39" s="62">
        <v>4</v>
      </c>
      <c r="U39" s="62">
        <v>10</v>
      </c>
      <c r="V39" s="150">
        <v>1000000</v>
      </c>
      <c r="W39" s="124">
        <v>2</v>
      </c>
      <c r="X39" s="49"/>
      <c r="Y39" s="49"/>
      <c r="Z39" s="49" t="s">
        <v>1117</v>
      </c>
      <c r="AA39" s="56"/>
      <c r="AB39" s="99">
        <v>5</v>
      </c>
      <c r="AC39" s="62">
        <v>1749</v>
      </c>
      <c r="AD39" s="62">
        <v>122</v>
      </c>
      <c r="AE39" s="62">
        <v>366</v>
      </c>
      <c r="AF39" s="150">
        <v>1200000</v>
      </c>
      <c r="AG39" s="124">
        <v>2</v>
      </c>
      <c r="AH39" s="49"/>
      <c r="AI39" s="49"/>
      <c r="AJ39" s="49"/>
      <c r="AK39" s="49"/>
      <c r="AL39" s="49"/>
      <c r="AM39" s="56"/>
      <c r="AN39" s="99">
        <v>5</v>
      </c>
      <c r="AO39" s="62">
        <v>1382</v>
      </c>
      <c r="AP39" s="62">
        <v>600000</v>
      </c>
      <c r="AQ39" s="150">
        <v>600000</v>
      </c>
      <c r="AR39" s="124">
        <v>0.33333333333333298</v>
      </c>
      <c r="AS39" s="49"/>
      <c r="AT39" s="49"/>
      <c r="AU39" s="49"/>
      <c r="AV39" s="49"/>
      <c r="AW39" s="377"/>
      <c r="AX39" s="99">
        <v>5</v>
      </c>
      <c r="AY39" s="62">
        <v>526</v>
      </c>
      <c r="AZ39" s="327">
        <v>2100</v>
      </c>
      <c r="BA39" s="62">
        <v>50400</v>
      </c>
      <c r="BB39" s="62">
        <v>70</v>
      </c>
      <c r="BC39" s="150">
        <v>60000</v>
      </c>
      <c r="BD39" s="124">
        <v>0.20833333333333301</v>
      </c>
      <c r="BE39" s="124"/>
      <c r="BF39" s="49"/>
      <c r="BG39" s="377"/>
      <c r="BH39" s="99">
        <v>5</v>
      </c>
      <c r="BI39" s="62">
        <v>526</v>
      </c>
      <c r="BJ39" s="379">
        <v>3.1</v>
      </c>
      <c r="BK39" s="62">
        <v>14</v>
      </c>
      <c r="BL39" s="150">
        <v>1000000</v>
      </c>
      <c r="BM39" s="124">
        <v>0.41666666666666702</v>
      </c>
      <c r="BN39" s="49"/>
      <c r="BO39" s="49"/>
      <c r="BP39" s="49"/>
    </row>
    <row r="40" spans="1:68">
      <c r="A40" s="118"/>
      <c r="B40" s="118"/>
      <c r="C40" s="118"/>
      <c r="D40" s="49"/>
      <c r="E40" s="49"/>
      <c r="F40" s="49" t="s">
        <v>1646</v>
      </c>
      <c r="G40" s="56"/>
      <c r="H40" s="90">
        <v>6</v>
      </c>
      <c r="I40" s="62">
        <v>2011</v>
      </c>
      <c r="J40" s="62">
        <v>230.3</v>
      </c>
      <c r="K40" s="62">
        <v>806</v>
      </c>
      <c r="L40" s="150">
        <v>1500000</v>
      </c>
      <c r="M40" s="124">
        <v>3</v>
      </c>
      <c r="N40" s="49"/>
      <c r="O40" s="49"/>
      <c r="P40" s="49"/>
      <c r="Q40" s="56"/>
      <c r="R40" s="90">
        <v>6</v>
      </c>
      <c r="S40" s="62">
        <v>605</v>
      </c>
      <c r="T40" s="62">
        <v>4</v>
      </c>
      <c r="U40" s="62">
        <v>12</v>
      </c>
      <c r="V40" s="150">
        <v>1400000</v>
      </c>
      <c r="W40" s="124">
        <v>2</v>
      </c>
      <c r="X40" s="49"/>
      <c r="Y40" s="49"/>
      <c r="Z40" s="49" t="s">
        <v>1646</v>
      </c>
      <c r="AA40" s="56"/>
      <c r="AB40" s="90">
        <v>6</v>
      </c>
      <c r="AC40" s="62">
        <v>2011</v>
      </c>
      <c r="AD40" s="62">
        <v>134.30000000000001</v>
      </c>
      <c r="AE40" s="62">
        <v>403</v>
      </c>
      <c r="AF40" s="150">
        <v>1500000</v>
      </c>
      <c r="AG40" s="124">
        <v>3</v>
      </c>
      <c r="AH40" s="49"/>
      <c r="AI40" s="49"/>
      <c r="AJ40" s="49"/>
      <c r="AK40" s="49"/>
      <c r="AL40" s="49"/>
      <c r="AM40" s="56"/>
      <c r="AN40" s="90">
        <v>6</v>
      </c>
      <c r="AO40" s="62">
        <v>1658</v>
      </c>
      <c r="AP40" s="62">
        <v>800000</v>
      </c>
      <c r="AQ40" s="150">
        <v>1000000</v>
      </c>
      <c r="AR40" s="124">
        <v>0.41699999999999998</v>
      </c>
      <c r="AS40" s="49"/>
      <c r="AT40" s="49"/>
      <c r="AU40" s="49"/>
      <c r="AV40" s="49"/>
      <c r="AW40" s="377"/>
      <c r="AX40" s="90">
        <v>6</v>
      </c>
      <c r="AY40" s="62">
        <v>605</v>
      </c>
      <c r="AZ40" s="327">
        <v>2500</v>
      </c>
      <c r="BA40" s="62">
        <v>60000</v>
      </c>
      <c r="BB40" s="62">
        <v>80</v>
      </c>
      <c r="BC40" s="150">
        <v>100000</v>
      </c>
      <c r="BD40" s="124">
        <v>0.33333333333333298</v>
      </c>
      <c r="BE40" s="124"/>
      <c r="BF40" s="49"/>
      <c r="BG40" s="377"/>
      <c r="BH40" s="90">
        <v>6</v>
      </c>
      <c r="BI40" s="62">
        <v>605</v>
      </c>
      <c r="BJ40" s="379">
        <v>3.4</v>
      </c>
      <c r="BK40" s="62">
        <v>16</v>
      </c>
      <c r="BL40" s="150">
        <v>1500000</v>
      </c>
      <c r="BM40" s="124">
        <v>0.5</v>
      </c>
      <c r="BN40" s="49"/>
      <c r="BO40" s="49"/>
      <c r="BP40" s="49"/>
    </row>
    <row r="41" spans="1:68">
      <c r="A41" s="118"/>
      <c r="B41" s="118"/>
      <c r="C41" s="118"/>
      <c r="D41" s="49"/>
      <c r="E41" s="49"/>
      <c r="F41" s="49"/>
      <c r="G41" s="56"/>
      <c r="H41" s="278">
        <v>7</v>
      </c>
      <c r="I41" s="62">
        <v>2313</v>
      </c>
      <c r="J41" s="62">
        <v>253.4</v>
      </c>
      <c r="K41" s="62">
        <v>887</v>
      </c>
      <c r="L41" s="150">
        <v>2400000</v>
      </c>
      <c r="M41" s="124">
        <v>3</v>
      </c>
      <c r="N41" s="49"/>
      <c r="O41" s="49"/>
      <c r="P41" s="49"/>
      <c r="Q41" s="56"/>
      <c r="R41" s="278">
        <v>7</v>
      </c>
      <c r="S41" s="62">
        <v>696</v>
      </c>
      <c r="T41" s="62">
        <v>5</v>
      </c>
      <c r="U41" s="62">
        <v>14</v>
      </c>
      <c r="V41" s="150">
        <v>2300000</v>
      </c>
      <c r="W41" s="124">
        <v>3</v>
      </c>
      <c r="X41" s="49"/>
      <c r="Y41" s="49"/>
      <c r="Z41" s="49"/>
      <c r="AA41" s="56"/>
      <c r="AB41" s="278">
        <v>7</v>
      </c>
      <c r="AC41" s="62">
        <v>2313</v>
      </c>
      <c r="AD41" s="62">
        <v>147.69999999999999</v>
      </c>
      <c r="AE41" s="62">
        <v>443</v>
      </c>
      <c r="AF41" s="150">
        <v>2400000</v>
      </c>
      <c r="AG41" s="124">
        <v>3</v>
      </c>
      <c r="AH41" s="49"/>
      <c r="AI41" s="49"/>
      <c r="AJ41" s="49"/>
      <c r="AK41" s="49"/>
      <c r="AL41" s="49"/>
      <c r="AM41" s="56"/>
      <c r="AN41" s="278">
        <v>7</v>
      </c>
      <c r="AO41" s="62">
        <v>1990</v>
      </c>
      <c r="AP41" s="62">
        <v>1200000</v>
      </c>
      <c r="AQ41" s="150">
        <v>1500000</v>
      </c>
      <c r="AR41" s="124">
        <v>0.5</v>
      </c>
      <c r="AS41" s="49"/>
      <c r="AT41" s="49"/>
      <c r="AU41" s="49"/>
      <c r="AV41" s="49"/>
      <c r="AW41" s="377"/>
      <c r="AX41" s="278">
        <v>7</v>
      </c>
      <c r="AY41" s="62">
        <v>696</v>
      </c>
      <c r="AZ41" s="327">
        <v>3000</v>
      </c>
      <c r="BA41" s="62">
        <v>72000</v>
      </c>
      <c r="BB41" s="62">
        <v>100</v>
      </c>
      <c r="BC41" s="150">
        <v>200000</v>
      </c>
      <c r="BD41" s="124">
        <v>0.41666666666666702</v>
      </c>
      <c r="BE41" s="124"/>
      <c r="BF41" s="49"/>
      <c r="BG41" s="377"/>
      <c r="BH41" s="278">
        <v>7</v>
      </c>
      <c r="BI41" s="62">
        <v>696</v>
      </c>
      <c r="BJ41" s="379">
        <v>3.8</v>
      </c>
      <c r="BK41" s="62">
        <v>18</v>
      </c>
      <c r="BL41" s="150">
        <v>2500000</v>
      </c>
      <c r="BM41" s="124">
        <v>1</v>
      </c>
      <c r="BN41" s="49"/>
      <c r="BO41" s="49"/>
      <c r="BP41" s="49"/>
    </row>
    <row r="42" spans="1:68">
      <c r="A42" s="118"/>
      <c r="B42" s="118"/>
      <c r="C42" s="118"/>
      <c r="D42" s="49"/>
      <c r="E42" s="49"/>
      <c r="F42" s="49"/>
      <c r="G42" s="56"/>
      <c r="H42" s="279">
        <v>8</v>
      </c>
      <c r="I42" s="62">
        <v>2660</v>
      </c>
      <c r="J42" s="62">
        <v>278.89999999999998</v>
      </c>
      <c r="K42" s="62">
        <v>976</v>
      </c>
      <c r="L42" s="150">
        <v>3400000</v>
      </c>
      <c r="M42" s="124">
        <v>4</v>
      </c>
      <c r="N42" s="49"/>
      <c r="O42" s="49"/>
      <c r="P42" s="49"/>
      <c r="Q42" s="56"/>
      <c r="R42" s="279">
        <v>8</v>
      </c>
      <c r="S42" s="62">
        <v>800</v>
      </c>
      <c r="T42" s="62">
        <v>5</v>
      </c>
      <c r="U42" s="62">
        <v>16</v>
      </c>
      <c r="V42" s="150">
        <v>3200000</v>
      </c>
      <c r="W42" s="124">
        <v>4</v>
      </c>
      <c r="X42" s="49"/>
      <c r="Y42" s="49"/>
      <c r="Z42" s="49"/>
      <c r="AA42" s="56"/>
      <c r="AB42" s="279">
        <v>8</v>
      </c>
      <c r="AC42" s="62">
        <v>2660</v>
      </c>
      <c r="AD42" s="62">
        <v>162.30000000000001</v>
      </c>
      <c r="AE42" s="62">
        <v>487</v>
      </c>
      <c r="AF42" s="150">
        <v>3400000</v>
      </c>
      <c r="AG42" s="124">
        <v>4</v>
      </c>
      <c r="AH42" s="49"/>
      <c r="AI42" s="49"/>
      <c r="AJ42" s="49"/>
      <c r="AK42" s="49"/>
      <c r="AL42" s="49"/>
      <c r="AM42" s="56"/>
      <c r="AN42" s="279">
        <v>8</v>
      </c>
      <c r="AO42" s="62">
        <v>2388</v>
      </c>
      <c r="AP42" s="62">
        <v>1600000</v>
      </c>
      <c r="AQ42" s="150">
        <v>2000000</v>
      </c>
      <c r="AR42" s="124">
        <v>1</v>
      </c>
      <c r="AS42" s="49"/>
      <c r="AT42" s="49"/>
      <c r="AU42" s="49"/>
      <c r="AV42" s="49"/>
      <c r="AW42" s="377"/>
      <c r="AX42" s="279">
        <v>8</v>
      </c>
      <c r="AY42" s="62">
        <v>800</v>
      </c>
      <c r="AZ42" s="327">
        <v>3500</v>
      </c>
      <c r="BA42" s="62">
        <v>84000</v>
      </c>
      <c r="BB42" s="62">
        <v>120</v>
      </c>
      <c r="BC42" s="150">
        <v>300000</v>
      </c>
      <c r="BD42" s="124">
        <v>0.5</v>
      </c>
      <c r="BE42" s="124"/>
      <c r="BF42" s="49"/>
      <c r="BG42" s="377"/>
      <c r="BH42" s="279">
        <v>8</v>
      </c>
      <c r="BI42" s="62">
        <v>800</v>
      </c>
      <c r="BJ42" s="379">
        <v>4.3</v>
      </c>
      <c r="BK42" s="62">
        <v>20</v>
      </c>
      <c r="BL42" s="150">
        <v>3500000</v>
      </c>
      <c r="BM42" s="124">
        <v>2</v>
      </c>
      <c r="BN42" s="49"/>
      <c r="BO42" s="49"/>
      <c r="BP42" s="49"/>
    </row>
    <row r="43" spans="1:68">
      <c r="A43" s="118"/>
      <c r="B43" s="118"/>
      <c r="C43" s="118"/>
      <c r="D43" s="49"/>
      <c r="E43" s="49"/>
      <c r="F43" s="49"/>
      <c r="G43" s="49"/>
      <c r="H43" s="280">
        <v>9</v>
      </c>
      <c r="I43" s="62">
        <v>2793</v>
      </c>
      <c r="J43" s="62">
        <v>306.89999999999998</v>
      </c>
      <c r="K43" s="62">
        <v>1074</v>
      </c>
      <c r="L43" s="150">
        <v>4400000</v>
      </c>
      <c r="M43" s="124">
        <v>5</v>
      </c>
      <c r="N43" s="49"/>
      <c r="O43" s="49"/>
      <c r="P43" s="49"/>
      <c r="Q43" s="49"/>
      <c r="R43" s="280">
        <v>9</v>
      </c>
      <c r="S43" s="62">
        <v>840</v>
      </c>
      <c r="T43" s="62">
        <v>5</v>
      </c>
      <c r="U43" s="62">
        <v>18</v>
      </c>
      <c r="V43" s="150">
        <v>4100000</v>
      </c>
      <c r="W43" s="124">
        <v>5</v>
      </c>
      <c r="X43" s="49"/>
      <c r="Y43" s="49"/>
      <c r="Z43" s="49"/>
      <c r="AA43" s="49"/>
      <c r="AB43" s="280">
        <v>9</v>
      </c>
      <c r="AC43" s="62">
        <v>2793</v>
      </c>
      <c r="AD43" s="62">
        <v>178.7</v>
      </c>
      <c r="AE43" s="62">
        <v>536</v>
      </c>
      <c r="AF43" s="150">
        <v>4400000</v>
      </c>
      <c r="AG43" s="124">
        <v>5</v>
      </c>
      <c r="AH43" s="49"/>
      <c r="AI43" s="49"/>
      <c r="AJ43" s="49"/>
      <c r="AK43" s="49"/>
      <c r="AL43" s="49"/>
      <c r="AM43" s="49"/>
      <c r="AN43" s="280">
        <v>9</v>
      </c>
      <c r="AO43" s="62">
        <v>2507</v>
      </c>
      <c r="AP43" s="62">
        <v>2000000</v>
      </c>
      <c r="AQ43" s="150">
        <v>2500000</v>
      </c>
      <c r="AR43" s="124">
        <v>1.5</v>
      </c>
      <c r="AS43" s="49"/>
      <c r="AT43" s="49"/>
      <c r="AU43" s="49"/>
      <c r="AV43" s="49"/>
      <c r="AW43" s="97"/>
      <c r="AX43" s="280">
        <v>9</v>
      </c>
      <c r="AY43" s="62">
        <v>840</v>
      </c>
      <c r="AZ43" s="327">
        <v>4000</v>
      </c>
      <c r="BA43" s="62">
        <v>96000</v>
      </c>
      <c r="BB43" s="62">
        <v>140</v>
      </c>
      <c r="BC43" s="150">
        <v>400000</v>
      </c>
      <c r="BD43" s="124">
        <v>0.58333333333333304</v>
      </c>
      <c r="BE43" s="49"/>
      <c r="BF43" s="49"/>
      <c r="BG43" s="97"/>
      <c r="BH43" s="280">
        <v>9</v>
      </c>
      <c r="BI43" s="62">
        <v>840</v>
      </c>
      <c r="BJ43" s="379">
        <v>4.8</v>
      </c>
      <c r="BK43" s="62">
        <v>22</v>
      </c>
      <c r="BL43" s="150">
        <v>4500000</v>
      </c>
      <c r="BM43" s="124">
        <v>3</v>
      </c>
      <c r="BN43" s="49"/>
      <c r="BO43" s="49"/>
      <c r="BP43" s="49"/>
    </row>
    <row r="44" spans="1:68">
      <c r="A44" s="118"/>
      <c r="B44" s="118"/>
      <c r="C44" s="118"/>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row>
    <row r="45" spans="1:68">
      <c r="A45" s="118"/>
      <c r="B45" s="118"/>
      <c r="C45" s="118"/>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row>
    <row r="46" spans="1:68">
      <c r="A46" s="49"/>
      <c r="B46" s="49"/>
      <c r="C46" s="49"/>
      <c r="D46" s="49"/>
      <c r="E46" s="49"/>
      <c r="F46" s="49" t="s">
        <v>1647</v>
      </c>
      <c r="G46" s="49"/>
      <c r="H46" s="137" t="s">
        <v>1190</v>
      </c>
      <c r="I46" s="49"/>
      <c r="J46" s="49"/>
      <c r="K46" s="49"/>
      <c r="L46" s="49"/>
      <c r="M46" s="49"/>
      <c r="N46" s="49"/>
      <c r="O46" s="49"/>
      <c r="P46" s="49" t="s">
        <v>1648</v>
      </c>
      <c r="Q46" s="49"/>
      <c r="R46" s="137" t="s">
        <v>1649</v>
      </c>
      <c r="S46" s="49"/>
      <c r="T46" s="49"/>
      <c r="U46" s="49"/>
      <c r="V46" s="49"/>
      <c r="W46" s="49"/>
      <c r="X46" s="49"/>
      <c r="Y46" s="49"/>
      <c r="Z46" s="49" t="s">
        <v>1650</v>
      </c>
      <c r="AA46" s="49"/>
      <c r="AB46" s="137" t="s">
        <v>1651</v>
      </c>
      <c r="AC46" s="49"/>
      <c r="AD46" s="49"/>
      <c r="AE46" s="49"/>
      <c r="AF46" s="49"/>
      <c r="AG46" s="49"/>
      <c r="AH46" s="49"/>
      <c r="AI46" s="49"/>
      <c r="AJ46" s="49"/>
      <c r="AK46" s="49"/>
      <c r="AL46" s="49" t="s">
        <v>1652</v>
      </c>
      <c r="AM46" s="49"/>
      <c r="AN46" s="49"/>
      <c r="AO46" s="49"/>
      <c r="AP46" s="49"/>
      <c r="AQ46" s="49"/>
      <c r="AR46" s="49"/>
      <c r="AS46" s="49"/>
      <c r="AT46" s="49"/>
      <c r="AU46" s="49"/>
      <c r="AV46" s="49" t="s">
        <v>1653</v>
      </c>
      <c r="AW46" s="49"/>
      <c r="AX46" s="49"/>
      <c r="AY46" s="49"/>
      <c r="AZ46" s="49"/>
      <c r="BA46" s="49"/>
      <c r="BB46" s="49"/>
      <c r="BC46" s="49"/>
      <c r="BD46" s="49"/>
      <c r="BE46" s="49"/>
      <c r="BF46" s="49" t="s">
        <v>1654</v>
      </c>
      <c r="BG46" s="49"/>
      <c r="BH46" s="49"/>
      <c r="BI46" s="49"/>
      <c r="BJ46" s="49"/>
      <c r="BK46" s="49"/>
      <c r="BL46" s="49"/>
      <c r="BM46" s="49"/>
      <c r="BN46" s="49"/>
      <c r="BO46" s="49"/>
      <c r="BP46" s="49"/>
    </row>
    <row r="47" spans="1:68">
      <c r="A47" s="49"/>
      <c r="B47" s="49"/>
      <c r="C47" s="49"/>
      <c r="D47" s="49"/>
      <c r="E47" s="49"/>
      <c r="F47" s="52" t="s">
        <v>1099</v>
      </c>
      <c r="G47" s="64"/>
      <c r="H47" s="108" t="s">
        <v>243</v>
      </c>
      <c r="I47" s="65" t="s">
        <v>244</v>
      </c>
      <c r="J47" s="65" t="s">
        <v>245</v>
      </c>
      <c r="K47" s="65" t="s">
        <v>250</v>
      </c>
      <c r="L47" s="65" t="s">
        <v>1091</v>
      </c>
      <c r="M47" s="65" t="s">
        <v>1092</v>
      </c>
      <c r="N47" s="49"/>
      <c r="O47" s="49"/>
      <c r="P47" s="52" t="s">
        <v>1102</v>
      </c>
      <c r="Q47" s="64"/>
      <c r="R47" s="108" t="s">
        <v>243</v>
      </c>
      <c r="S47" s="65" t="s">
        <v>244</v>
      </c>
      <c r="T47" s="65" t="s">
        <v>245</v>
      </c>
      <c r="U47" s="65" t="s">
        <v>250</v>
      </c>
      <c r="V47" s="65" t="s">
        <v>1091</v>
      </c>
      <c r="W47" s="65" t="s">
        <v>1092</v>
      </c>
      <c r="X47" s="49"/>
      <c r="Y47" s="49"/>
      <c r="Z47" s="52" t="s">
        <v>1099</v>
      </c>
      <c r="AA47" s="64"/>
      <c r="AB47" s="108" t="s">
        <v>243</v>
      </c>
      <c r="AC47" s="65" t="s">
        <v>244</v>
      </c>
      <c r="AD47" s="65" t="s">
        <v>245</v>
      </c>
      <c r="AE47" s="65" t="s">
        <v>250</v>
      </c>
      <c r="AF47" s="65" t="s">
        <v>1091</v>
      </c>
      <c r="AG47" s="65" t="s">
        <v>1092</v>
      </c>
      <c r="AH47" s="49"/>
      <c r="AI47" s="49"/>
      <c r="AJ47" s="49"/>
      <c r="AK47" s="49"/>
      <c r="AL47" s="52" t="s">
        <v>1088</v>
      </c>
      <c r="AM47" s="64"/>
      <c r="AN47" s="65" t="s">
        <v>243</v>
      </c>
      <c r="AO47" s="65" t="s">
        <v>244</v>
      </c>
      <c r="AP47" s="65" t="s">
        <v>1655</v>
      </c>
      <c r="AQ47" s="65" t="s">
        <v>1091</v>
      </c>
      <c r="AR47" s="65" t="s">
        <v>1092</v>
      </c>
      <c r="AS47" s="49"/>
      <c r="AT47" s="49"/>
      <c r="AU47" s="49"/>
      <c r="AV47" s="52" t="s">
        <v>1656</v>
      </c>
      <c r="AW47" s="64"/>
      <c r="AX47" s="65" t="s">
        <v>243</v>
      </c>
      <c r="AY47" s="65" t="s">
        <v>1657</v>
      </c>
      <c r="AZ47" s="65" t="s">
        <v>1091</v>
      </c>
      <c r="BA47" s="65" t="s">
        <v>1092</v>
      </c>
      <c r="BB47" s="49"/>
      <c r="BC47" s="49"/>
      <c r="BD47" s="49"/>
      <c r="BE47" s="49"/>
      <c r="BF47" s="52" t="s">
        <v>1658</v>
      </c>
      <c r="BG47" s="64"/>
      <c r="BH47" s="65" t="s">
        <v>243</v>
      </c>
      <c r="BI47" s="65" t="s">
        <v>1657</v>
      </c>
      <c r="BJ47" s="65" t="s">
        <v>1091</v>
      </c>
      <c r="BK47" s="65" t="s">
        <v>1092</v>
      </c>
      <c r="BL47" s="49"/>
      <c r="BM47" s="49"/>
      <c r="BN47" s="49"/>
      <c r="BO47" s="49"/>
      <c r="BP47" s="49"/>
    </row>
    <row r="48" spans="1:68">
      <c r="A48" s="49"/>
      <c r="B48" s="49"/>
      <c r="C48" s="49"/>
      <c r="D48" s="49"/>
      <c r="E48" s="49"/>
      <c r="F48" s="49" t="s">
        <v>1659</v>
      </c>
      <c r="G48" s="56"/>
      <c r="H48" s="99">
        <v>1</v>
      </c>
      <c r="I48" s="62">
        <v>500</v>
      </c>
      <c r="J48" s="62">
        <f>K48*4/(5+0.5*4)</f>
        <v>14.285714285714286</v>
      </c>
      <c r="K48" s="62">
        <v>25</v>
      </c>
      <c r="L48" s="150">
        <v>600000</v>
      </c>
      <c r="M48" s="124">
        <v>0.33333333333333298</v>
      </c>
      <c r="N48" s="49"/>
      <c r="O48" s="49"/>
      <c r="P48" s="49" t="s">
        <v>1164</v>
      </c>
      <c r="Q48" s="56"/>
      <c r="R48" s="90">
        <v>1</v>
      </c>
      <c r="S48" s="62">
        <v>800</v>
      </c>
      <c r="T48" s="62">
        <f>U48*15/(0.14*15.5+1.8)</f>
        <v>37.783375314861452</v>
      </c>
      <c r="U48" s="62">
        <v>10</v>
      </c>
      <c r="V48" s="150">
        <v>1000000</v>
      </c>
      <c r="W48" s="124">
        <v>0.41666666666666702</v>
      </c>
      <c r="X48" s="49"/>
      <c r="Y48" s="49"/>
      <c r="Z48" s="49" t="s">
        <v>1112</v>
      </c>
      <c r="AA48" s="56"/>
      <c r="AB48" s="278">
        <v>1</v>
      </c>
      <c r="AC48" s="62">
        <v>700</v>
      </c>
      <c r="AD48" s="62">
        <v>25</v>
      </c>
      <c r="AE48" s="62">
        <v>125</v>
      </c>
      <c r="AF48" s="150">
        <v>2000000</v>
      </c>
      <c r="AG48" s="124">
        <v>0.5</v>
      </c>
      <c r="AH48" s="49"/>
      <c r="AI48" s="49"/>
      <c r="AJ48" s="49"/>
      <c r="AK48" s="49"/>
      <c r="AL48" s="60" t="s">
        <v>1106</v>
      </c>
      <c r="AM48" s="61"/>
      <c r="AN48" s="87">
        <v>1</v>
      </c>
      <c r="AO48" s="62">
        <v>650</v>
      </c>
      <c r="AP48" s="286">
        <v>14</v>
      </c>
      <c r="AQ48" s="150">
        <v>150000</v>
      </c>
      <c r="AR48" s="124">
        <v>8.3333333333333301E-2</v>
      </c>
      <c r="AS48" s="49"/>
      <c r="AT48" s="49"/>
      <c r="AU48" s="49"/>
      <c r="AV48" s="49" t="s">
        <v>1660</v>
      </c>
      <c r="AW48" s="97"/>
      <c r="AX48" s="87">
        <v>1</v>
      </c>
      <c r="AY48" s="62">
        <v>6</v>
      </c>
      <c r="AZ48" s="62">
        <v>1000</v>
      </c>
      <c r="BA48" s="124" t="s">
        <v>163</v>
      </c>
      <c r="BB48" s="49"/>
      <c r="BC48" s="49"/>
      <c r="BD48" s="49"/>
      <c r="BE48" s="49"/>
      <c r="BF48" s="49" t="s">
        <v>1661</v>
      </c>
      <c r="BG48" s="97"/>
      <c r="BH48" s="87">
        <v>1</v>
      </c>
      <c r="BI48" s="62">
        <v>8</v>
      </c>
      <c r="BJ48" s="150">
        <v>10000</v>
      </c>
      <c r="BK48" s="124" t="s">
        <v>163</v>
      </c>
      <c r="BL48" s="49"/>
      <c r="BM48" s="49"/>
      <c r="BN48" s="49"/>
      <c r="BO48" s="49"/>
      <c r="BP48" s="49"/>
    </row>
    <row r="49" spans="1:68">
      <c r="A49" s="49"/>
      <c r="B49" s="49"/>
      <c r="C49" s="49"/>
      <c r="D49" s="49"/>
      <c r="E49" s="49"/>
      <c r="F49" s="49" t="s">
        <v>1662</v>
      </c>
      <c r="G49" s="56"/>
      <c r="H49" s="99">
        <v>2</v>
      </c>
      <c r="I49" s="62">
        <v>575</v>
      </c>
      <c r="J49" s="62">
        <f t="shared" ref="J49:J56" si="2">K49*4/(5+0.5*4)</f>
        <v>16</v>
      </c>
      <c r="K49" s="62">
        <v>28</v>
      </c>
      <c r="L49" s="150">
        <v>700000</v>
      </c>
      <c r="M49" s="124">
        <v>0.5</v>
      </c>
      <c r="N49" s="49"/>
      <c r="O49" s="49"/>
      <c r="P49" s="49" t="s">
        <v>1663</v>
      </c>
      <c r="Q49" s="56"/>
      <c r="R49" s="90">
        <v>2</v>
      </c>
      <c r="S49" s="62">
        <v>920</v>
      </c>
      <c r="T49" s="62">
        <f t="shared" ref="T49:T56" si="3">U49*15/(0.14*15.5+1.8)</f>
        <v>41.561712846347604</v>
      </c>
      <c r="U49" s="62">
        <v>11</v>
      </c>
      <c r="V49" s="150">
        <v>1200000</v>
      </c>
      <c r="W49" s="124">
        <v>0.5</v>
      </c>
      <c r="X49" s="49"/>
      <c r="Y49" s="49"/>
      <c r="Z49" s="60" t="s">
        <v>1195</v>
      </c>
      <c r="AA49" s="61"/>
      <c r="AB49" s="278">
        <v>2</v>
      </c>
      <c r="AC49" s="62">
        <v>805</v>
      </c>
      <c r="AD49" s="62">
        <v>27.6</v>
      </c>
      <c r="AE49" s="62">
        <v>138</v>
      </c>
      <c r="AF49" s="150">
        <v>2100000</v>
      </c>
      <c r="AG49" s="124">
        <v>1</v>
      </c>
      <c r="AH49" s="49"/>
      <c r="AI49" s="49"/>
      <c r="AJ49" s="49"/>
      <c r="AK49" s="49"/>
      <c r="AL49" s="49" t="s">
        <v>1664</v>
      </c>
      <c r="AM49" s="56"/>
      <c r="AN49" s="87">
        <v>2</v>
      </c>
      <c r="AO49" s="62">
        <v>800</v>
      </c>
      <c r="AP49" s="286">
        <v>16</v>
      </c>
      <c r="AQ49" s="150">
        <v>180000</v>
      </c>
      <c r="AR49" s="124">
        <v>0.125</v>
      </c>
      <c r="AS49" s="49"/>
      <c r="AT49" s="49"/>
      <c r="AU49" s="49"/>
      <c r="AV49" s="49" t="s">
        <v>1665</v>
      </c>
      <c r="AW49" s="97"/>
      <c r="AX49" s="87">
        <v>2</v>
      </c>
      <c r="AY49" s="62">
        <v>8</v>
      </c>
      <c r="AZ49" s="62">
        <v>3000</v>
      </c>
      <c r="BA49" s="124">
        <v>3.4722222222222199E-3</v>
      </c>
      <c r="BB49" s="49"/>
      <c r="BC49" s="49"/>
      <c r="BD49" s="49"/>
      <c r="BE49" s="49"/>
      <c r="BF49" s="49" t="s">
        <v>1666</v>
      </c>
      <c r="BG49" s="97"/>
      <c r="BH49" s="87">
        <v>2</v>
      </c>
      <c r="BI49" s="62">
        <v>12</v>
      </c>
      <c r="BJ49" s="150">
        <v>30000</v>
      </c>
      <c r="BK49" s="124">
        <v>4.1666666666666699E-2</v>
      </c>
      <c r="BL49" s="49"/>
      <c r="BM49" s="49"/>
      <c r="BN49" s="49"/>
      <c r="BO49" s="49"/>
      <c r="BP49" s="49"/>
    </row>
    <row r="50" spans="1:68">
      <c r="A50" s="49"/>
      <c r="B50" s="49"/>
      <c r="C50" s="49"/>
      <c r="D50" s="49"/>
      <c r="E50" s="49"/>
      <c r="F50" s="60" t="s">
        <v>1667</v>
      </c>
      <c r="G50" s="61"/>
      <c r="H50" s="99">
        <v>3</v>
      </c>
      <c r="I50" s="62">
        <v>661</v>
      </c>
      <c r="J50" s="62">
        <f t="shared" si="2"/>
        <v>17.714285714285715</v>
      </c>
      <c r="K50" s="62">
        <v>31</v>
      </c>
      <c r="L50" s="150">
        <v>800000</v>
      </c>
      <c r="M50" s="124">
        <v>1</v>
      </c>
      <c r="N50" s="49"/>
      <c r="O50" s="49"/>
      <c r="P50" s="60" t="s">
        <v>1668</v>
      </c>
      <c r="Q50" s="61"/>
      <c r="R50" s="90">
        <v>3</v>
      </c>
      <c r="S50" s="62">
        <v>1058</v>
      </c>
      <c r="T50" s="62">
        <f t="shared" si="3"/>
        <v>45.340050377833748</v>
      </c>
      <c r="U50" s="62">
        <v>12</v>
      </c>
      <c r="V50" s="150">
        <v>1400000</v>
      </c>
      <c r="W50" s="124">
        <v>1</v>
      </c>
      <c r="X50" s="49"/>
      <c r="Y50" s="49"/>
      <c r="Z50" s="49" t="s">
        <v>1669</v>
      </c>
      <c r="AA50" s="64"/>
      <c r="AB50" s="278">
        <v>3</v>
      </c>
      <c r="AC50" s="62">
        <v>926</v>
      </c>
      <c r="AD50" s="62">
        <v>30.4</v>
      </c>
      <c r="AE50" s="62">
        <v>152</v>
      </c>
      <c r="AF50" s="150">
        <v>2200000</v>
      </c>
      <c r="AG50" s="124">
        <v>1</v>
      </c>
      <c r="AH50" s="49"/>
      <c r="AI50" s="49"/>
      <c r="AJ50" s="49"/>
      <c r="AK50" s="49"/>
      <c r="AL50" s="49" t="s">
        <v>1670</v>
      </c>
      <c r="AM50" s="56"/>
      <c r="AN50" s="87">
        <v>3</v>
      </c>
      <c r="AO50" s="62">
        <v>960</v>
      </c>
      <c r="AP50" s="286">
        <v>18</v>
      </c>
      <c r="AQ50" s="150">
        <v>220000</v>
      </c>
      <c r="AR50" s="124">
        <v>0.16700000000000001</v>
      </c>
      <c r="AS50" s="49"/>
      <c r="AT50" s="49"/>
      <c r="AU50" s="49"/>
      <c r="AV50" s="60" t="s">
        <v>1671</v>
      </c>
      <c r="AW50" s="378"/>
      <c r="AX50" s="87">
        <v>3</v>
      </c>
      <c r="AY50" s="62">
        <v>10</v>
      </c>
      <c r="AZ50" s="150">
        <v>10000</v>
      </c>
      <c r="BA50" s="124">
        <v>1.38888888888889E-2</v>
      </c>
      <c r="BB50" s="49"/>
      <c r="BC50" s="49"/>
      <c r="BD50" s="49"/>
      <c r="BE50" s="49"/>
      <c r="BF50" s="52" t="s">
        <v>1672</v>
      </c>
      <c r="BG50" s="380"/>
      <c r="BH50" s="90">
        <v>3</v>
      </c>
      <c r="BI50" s="62">
        <v>16</v>
      </c>
      <c r="BJ50" s="150">
        <v>100000</v>
      </c>
      <c r="BK50" s="124">
        <v>0.33333333333333298</v>
      </c>
      <c r="BL50" s="49"/>
      <c r="BM50" s="49"/>
      <c r="BN50" s="49"/>
      <c r="BO50" s="49"/>
      <c r="BP50" s="49"/>
    </row>
    <row r="51" spans="1:68">
      <c r="A51" s="49"/>
      <c r="B51" s="49"/>
      <c r="C51" s="49"/>
      <c r="D51" s="49"/>
      <c r="E51" s="49"/>
      <c r="F51" s="49" t="s">
        <v>1673</v>
      </c>
      <c r="G51" s="56"/>
      <c r="H51" s="99">
        <v>4</v>
      </c>
      <c r="I51" s="62">
        <v>760</v>
      </c>
      <c r="J51" s="62">
        <f t="shared" si="2"/>
        <v>19.428571428571427</v>
      </c>
      <c r="K51" s="62">
        <v>34</v>
      </c>
      <c r="L51" s="150">
        <v>1000000</v>
      </c>
      <c r="M51" s="124">
        <v>2</v>
      </c>
      <c r="N51" s="49"/>
      <c r="O51" s="49"/>
      <c r="P51" s="49" t="s">
        <v>366</v>
      </c>
      <c r="Q51" s="56"/>
      <c r="R51" s="90">
        <v>4</v>
      </c>
      <c r="S51" s="62">
        <v>1217</v>
      </c>
      <c r="T51" s="62">
        <f t="shared" si="3"/>
        <v>49.118387909319893</v>
      </c>
      <c r="U51" s="62">
        <v>13</v>
      </c>
      <c r="V51" s="150">
        <v>1500000</v>
      </c>
      <c r="W51" s="124">
        <v>2</v>
      </c>
      <c r="X51" s="49"/>
      <c r="Y51" s="49"/>
      <c r="Z51" s="49" t="s">
        <v>1107</v>
      </c>
      <c r="AA51" s="56"/>
      <c r="AB51" s="278">
        <v>4</v>
      </c>
      <c r="AC51" s="62">
        <v>1065</v>
      </c>
      <c r="AD51" s="62">
        <v>33.4</v>
      </c>
      <c r="AE51" s="62">
        <v>167</v>
      </c>
      <c r="AF51" s="150">
        <v>2300000</v>
      </c>
      <c r="AG51" s="124">
        <v>2</v>
      </c>
      <c r="AH51" s="49"/>
      <c r="AI51" s="49"/>
      <c r="AJ51" s="49"/>
      <c r="AK51" s="49"/>
      <c r="AL51" s="49" t="s">
        <v>1116</v>
      </c>
      <c r="AM51" s="56"/>
      <c r="AN51" s="87">
        <v>4</v>
      </c>
      <c r="AO51" s="62">
        <v>1152</v>
      </c>
      <c r="AP51" s="286">
        <v>20</v>
      </c>
      <c r="AQ51" s="150">
        <v>300000</v>
      </c>
      <c r="AR51" s="124">
        <v>0.25</v>
      </c>
      <c r="AS51" s="49"/>
      <c r="AT51" s="49"/>
      <c r="AU51" s="49"/>
      <c r="AV51" s="49" t="s">
        <v>1674</v>
      </c>
      <c r="AW51" s="97"/>
      <c r="AX51" s="87">
        <v>4</v>
      </c>
      <c r="AY51" s="62">
        <v>15</v>
      </c>
      <c r="AZ51" s="150">
        <v>20000</v>
      </c>
      <c r="BA51" s="124">
        <v>8.3333333333333301E-2</v>
      </c>
      <c r="BB51" s="49"/>
      <c r="BC51" s="49"/>
      <c r="BD51" s="49"/>
      <c r="BE51" s="49"/>
      <c r="BF51" s="49" t="s">
        <v>1675</v>
      </c>
      <c r="BG51" s="97"/>
      <c r="BH51" s="279">
        <v>4</v>
      </c>
      <c r="BI51" s="62">
        <v>20</v>
      </c>
      <c r="BJ51" s="150">
        <v>300000</v>
      </c>
      <c r="BK51" s="124">
        <v>0.5</v>
      </c>
      <c r="BL51" s="49"/>
      <c r="BM51" s="49"/>
      <c r="BN51" s="49"/>
      <c r="BO51" s="49"/>
      <c r="BP51" s="49"/>
    </row>
    <row r="52" spans="1:68">
      <c r="A52" s="49"/>
      <c r="B52" s="49"/>
      <c r="C52" s="49"/>
      <c r="D52" s="49"/>
      <c r="E52" s="49"/>
      <c r="F52" s="49" t="s">
        <v>1107</v>
      </c>
      <c r="G52" s="56"/>
      <c r="H52" s="99">
        <v>5</v>
      </c>
      <c r="I52" s="62">
        <v>874</v>
      </c>
      <c r="J52" s="62">
        <f t="shared" si="2"/>
        <v>21.142857142857142</v>
      </c>
      <c r="K52" s="62">
        <v>37</v>
      </c>
      <c r="L52" s="150">
        <v>1200000</v>
      </c>
      <c r="M52" s="124">
        <v>3</v>
      </c>
      <c r="N52" s="374"/>
      <c r="O52" s="49"/>
      <c r="P52" s="49" t="s">
        <v>1107</v>
      </c>
      <c r="Q52" s="56"/>
      <c r="R52" s="90">
        <v>5</v>
      </c>
      <c r="S52" s="62">
        <v>1400</v>
      </c>
      <c r="T52" s="62">
        <f t="shared" si="3"/>
        <v>52.896725440806037</v>
      </c>
      <c r="U52" s="62">
        <v>14</v>
      </c>
      <c r="V52" s="150">
        <v>1600000</v>
      </c>
      <c r="W52" s="124">
        <v>2</v>
      </c>
      <c r="X52" s="49"/>
      <c r="Y52" s="49"/>
      <c r="Z52" s="49" t="s">
        <v>1117</v>
      </c>
      <c r="AA52" s="56"/>
      <c r="AB52" s="278">
        <v>5</v>
      </c>
      <c r="AC52" s="62">
        <v>1225</v>
      </c>
      <c r="AD52" s="62">
        <v>36.799999999999997</v>
      </c>
      <c r="AE52" s="62">
        <v>184</v>
      </c>
      <c r="AF52" s="150">
        <v>2400000</v>
      </c>
      <c r="AG52" s="124">
        <v>2</v>
      </c>
      <c r="AH52" s="49"/>
      <c r="AI52" s="49"/>
      <c r="AJ52" s="49"/>
      <c r="AK52" s="49"/>
      <c r="AL52" s="49"/>
      <c r="AM52" s="56"/>
      <c r="AN52" s="99">
        <v>5</v>
      </c>
      <c r="AO52" s="62">
        <v>1382</v>
      </c>
      <c r="AP52" s="286">
        <v>22</v>
      </c>
      <c r="AQ52" s="150">
        <v>700000</v>
      </c>
      <c r="AR52" s="124">
        <v>0.33333333333333298</v>
      </c>
      <c r="AS52" s="49"/>
      <c r="AT52" s="49"/>
      <c r="AU52" s="49"/>
      <c r="AV52" s="49" t="s">
        <v>1676</v>
      </c>
      <c r="AW52" s="97"/>
      <c r="AX52" s="99">
        <v>5</v>
      </c>
      <c r="AY52" s="62">
        <v>20</v>
      </c>
      <c r="AZ52" s="150">
        <v>40000</v>
      </c>
      <c r="BA52" s="124">
        <v>0.16666666666666699</v>
      </c>
      <c r="BB52" s="49"/>
      <c r="BC52" s="49"/>
      <c r="BD52" s="49"/>
      <c r="BE52" s="49"/>
      <c r="BF52" s="49"/>
      <c r="BG52" s="49"/>
      <c r="BH52" s="49"/>
      <c r="BI52" s="49"/>
      <c r="BJ52" s="49"/>
      <c r="BK52" s="49"/>
      <c r="BL52" s="49"/>
      <c r="BM52" s="49"/>
      <c r="BN52" s="49"/>
      <c r="BO52" s="49"/>
      <c r="BP52" s="49"/>
    </row>
    <row r="53" spans="1:68">
      <c r="A53" s="49"/>
      <c r="B53" s="49"/>
      <c r="C53" s="49"/>
      <c r="D53" s="49"/>
      <c r="E53" s="49"/>
      <c r="F53" s="49" t="s">
        <v>1117</v>
      </c>
      <c r="G53" s="56"/>
      <c r="H53" s="90">
        <v>6</v>
      </c>
      <c r="I53" s="62">
        <v>1005</v>
      </c>
      <c r="J53" s="62">
        <f t="shared" si="2"/>
        <v>23.428571428571427</v>
      </c>
      <c r="K53" s="62">
        <v>41</v>
      </c>
      <c r="L53" s="150">
        <v>1600000</v>
      </c>
      <c r="M53" s="124">
        <v>3</v>
      </c>
      <c r="N53" s="49"/>
      <c r="O53" s="49"/>
      <c r="P53" s="49" t="s">
        <v>1117</v>
      </c>
      <c r="Q53" s="56"/>
      <c r="R53" s="90">
        <v>6</v>
      </c>
      <c r="S53" s="62">
        <v>1610</v>
      </c>
      <c r="T53" s="62">
        <f t="shared" si="3"/>
        <v>60.453400503778326</v>
      </c>
      <c r="U53" s="62">
        <v>16</v>
      </c>
      <c r="V53" s="150">
        <v>1700000</v>
      </c>
      <c r="W53" s="124">
        <v>3</v>
      </c>
      <c r="X53" s="49"/>
      <c r="Y53" s="49"/>
      <c r="Z53" s="52" t="s">
        <v>1677</v>
      </c>
      <c r="AA53" s="64"/>
      <c r="AB53" s="278">
        <v>6</v>
      </c>
      <c r="AC53" s="62">
        <v>1409</v>
      </c>
      <c r="AD53" s="62">
        <v>40.4</v>
      </c>
      <c r="AE53" s="62">
        <v>202</v>
      </c>
      <c r="AF53" s="150">
        <v>2500000</v>
      </c>
      <c r="AG53" s="124">
        <v>3</v>
      </c>
      <c r="AH53" s="49"/>
      <c r="AI53" s="49"/>
      <c r="AJ53" s="49"/>
      <c r="AK53" s="49"/>
      <c r="AL53" s="49"/>
      <c r="AM53" s="56"/>
      <c r="AN53" s="90">
        <v>6</v>
      </c>
      <c r="AO53" s="62">
        <v>1658</v>
      </c>
      <c r="AP53" s="286">
        <v>24</v>
      </c>
      <c r="AQ53" s="150">
        <v>1200000</v>
      </c>
      <c r="AR53" s="124">
        <v>0.41666666666666702</v>
      </c>
      <c r="AS53" s="49"/>
      <c r="AT53" s="49"/>
      <c r="AU53" s="49"/>
      <c r="AV53" s="49"/>
      <c r="AW53" s="97"/>
      <c r="AX53" s="90">
        <v>6</v>
      </c>
      <c r="AY53" s="62">
        <v>25</v>
      </c>
      <c r="AZ53" s="150">
        <v>60000</v>
      </c>
      <c r="BA53" s="124">
        <v>0.25</v>
      </c>
      <c r="BB53" s="49"/>
      <c r="BC53" s="49"/>
      <c r="BD53" s="49"/>
      <c r="BE53" s="49"/>
      <c r="BF53" s="49"/>
      <c r="BG53" s="49"/>
      <c r="BH53" s="49"/>
      <c r="BI53" s="49"/>
      <c r="BJ53" s="49"/>
      <c r="BK53" s="49"/>
      <c r="BL53" s="49"/>
      <c r="BM53" s="49"/>
      <c r="BN53" s="49"/>
      <c r="BO53" s="49"/>
      <c r="BP53" s="49"/>
    </row>
    <row r="54" spans="1:68">
      <c r="A54" s="49"/>
      <c r="B54" s="49"/>
      <c r="C54" s="49"/>
      <c r="D54" s="49"/>
      <c r="E54" s="49"/>
      <c r="F54" s="49"/>
      <c r="G54" s="56"/>
      <c r="H54" s="278">
        <v>7</v>
      </c>
      <c r="I54" s="62">
        <v>1156</v>
      </c>
      <c r="J54" s="62">
        <f t="shared" si="2"/>
        <v>25.714285714285715</v>
      </c>
      <c r="K54" s="62">
        <v>45</v>
      </c>
      <c r="L54" s="150">
        <v>2500000</v>
      </c>
      <c r="M54" s="124">
        <v>4</v>
      </c>
      <c r="N54" s="49"/>
      <c r="O54" s="49"/>
      <c r="P54" s="49"/>
      <c r="Q54" s="56"/>
      <c r="R54" s="278">
        <v>7</v>
      </c>
      <c r="S54" s="62">
        <v>1852</v>
      </c>
      <c r="T54" s="62">
        <f t="shared" si="3"/>
        <v>68.010075566750615</v>
      </c>
      <c r="U54" s="62">
        <v>18</v>
      </c>
      <c r="V54" s="150">
        <v>2600000</v>
      </c>
      <c r="W54" s="124">
        <v>4</v>
      </c>
      <c r="X54" s="49"/>
      <c r="Y54" s="49"/>
      <c r="Z54" s="49" t="s">
        <v>1269</v>
      </c>
      <c r="AA54" s="56"/>
      <c r="AB54" s="278">
        <v>7</v>
      </c>
      <c r="AC54" s="62">
        <v>1620</v>
      </c>
      <c r="AD54" s="62">
        <v>44.4</v>
      </c>
      <c r="AE54" s="62">
        <v>222</v>
      </c>
      <c r="AF54" s="150">
        <v>2700000</v>
      </c>
      <c r="AG54" s="124">
        <v>4</v>
      </c>
      <c r="AH54" s="49"/>
      <c r="AI54" s="49"/>
      <c r="AJ54" s="49"/>
      <c r="AK54" s="49"/>
      <c r="AL54" s="49"/>
      <c r="AM54" s="56"/>
      <c r="AN54" s="278">
        <v>7</v>
      </c>
      <c r="AO54" s="62">
        <v>1990</v>
      </c>
      <c r="AP54" s="286">
        <v>26</v>
      </c>
      <c r="AQ54" s="150">
        <v>1700000</v>
      </c>
      <c r="AR54" s="124">
        <v>0.5</v>
      </c>
      <c r="AS54" s="49"/>
      <c r="AT54" s="49"/>
      <c r="AU54" s="49"/>
      <c r="AV54" s="49"/>
      <c r="AW54" s="97"/>
      <c r="AX54" s="278">
        <v>7</v>
      </c>
      <c r="AY54" s="62">
        <v>30</v>
      </c>
      <c r="AZ54" s="150">
        <v>100000</v>
      </c>
      <c r="BA54" s="124">
        <v>0.33333333333333298</v>
      </c>
      <c r="BB54" s="49"/>
      <c r="BC54" s="49"/>
      <c r="BD54" s="49"/>
      <c r="BE54" s="49"/>
      <c r="BF54" s="49"/>
      <c r="BG54" s="49"/>
      <c r="BH54" s="49"/>
      <c r="BI54" s="49"/>
      <c r="BJ54" s="49"/>
      <c r="BK54" s="49"/>
      <c r="BL54" s="49"/>
      <c r="BM54" s="49"/>
      <c r="BN54" s="49"/>
      <c r="BO54" s="49"/>
      <c r="BP54" s="49"/>
    </row>
    <row r="55" spans="1:68">
      <c r="A55" s="49"/>
      <c r="B55" s="49"/>
      <c r="C55" s="49"/>
      <c r="D55" s="49"/>
      <c r="E55" s="49"/>
      <c r="F55" s="49"/>
      <c r="G55" s="56"/>
      <c r="H55" s="279">
        <v>8</v>
      </c>
      <c r="I55" s="62">
        <v>1329</v>
      </c>
      <c r="J55" s="62">
        <f t="shared" si="2"/>
        <v>28.571428571428573</v>
      </c>
      <c r="K55" s="62">
        <v>50</v>
      </c>
      <c r="L55" s="150">
        <v>3500000</v>
      </c>
      <c r="M55" s="124">
        <v>5</v>
      </c>
      <c r="N55" s="49"/>
      <c r="O55" s="49"/>
      <c r="P55" s="49"/>
      <c r="Q55" s="56"/>
      <c r="R55" s="279">
        <v>8</v>
      </c>
      <c r="S55" s="62">
        <v>2130</v>
      </c>
      <c r="T55" s="62">
        <f t="shared" si="3"/>
        <v>75.566750629722904</v>
      </c>
      <c r="U55" s="62">
        <v>20</v>
      </c>
      <c r="V55" s="150">
        <v>3600000</v>
      </c>
      <c r="W55" s="124">
        <v>5</v>
      </c>
      <c r="X55" s="49"/>
      <c r="Y55" s="49"/>
      <c r="Z55" s="49"/>
      <c r="AA55" s="56"/>
      <c r="AB55" s="279">
        <v>8</v>
      </c>
      <c r="AC55" s="62">
        <v>1863</v>
      </c>
      <c r="AD55" s="62">
        <v>48.8</v>
      </c>
      <c r="AE55" s="62">
        <v>244</v>
      </c>
      <c r="AF55" s="150">
        <v>3800000</v>
      </c>
      <c r="AG55" s="124">
        <v>5</v>
      </c>
      <c r="AH55" s="49"/>
      <c r="AI55" s="49"/>
      <c r="AJ55" s="49"/>
      <c r="AK55" s="49"/>
      <c r="AL55" s="49"/>
      <c r="AM55" s="56"/>
      <c r="AN55" s="279">
        <v>8</v>
      </c>
      <c r="AO55" s="62">
        <v>2388</v>
      </c>
      <c r="AP55" s="286">
        <v>28</v>
      </c>
      <c r="AQ55" s="150">
        <v>2200000</v>
      </c>
      <c r="AR55" s="124">
        <v>1</v>
      </c>
      <c r="AS55" s="49"/>
      <c r="AT55" s="49"/>
      <c r="AU55" s="49"/>
      <c r="AV55" s="49"/>
      <c r="AW55" s="97"/>
      <c r="AX55" s="279">
        <v>8</v>
      </c>
      <c r="AY55" s="62">
        <v>35</v>
      </c>
      <c r="AZ55" s="150">
        <v>200000</v>
      </c>
      <c r="BA55" s="124">
        <v>0.41666666666666702</v>
      </c>
      <c r="BB55" s="49"/>
      <c r="BC55" s="49"/>
      <c r="BD55" s="49"/>
      <c r="BE55" s="49"/>
      <c r="BF55" s="49"/>
      <c r="BG55" s="49"/>
      <c r="BH55" s="49"/>
      <c r="BI55" s="49"/>
      <c r="BJ55" s="49"/>
      <c r="BK55" s="49"/>
      <c r="BL55" s="49"/>
      <c r="BM55" s="49"/>
      <c r="BN55" s="49"/>
      <c r="BO55" s="49"/>
      <c r="BP55" s="49"/>
    </row>
    <row r="56" spans="1:68">
      <c r="A56" s="49"/>
      <c r="B56" s="49"/>
      <c r="C56" s="49"/>
      <c r="D56" s="49"/>
      <c r="E56" s="49"/>
      <c r="F56" s="49"/>
      <c r="G56" s="49"/>
      <c r="H56" s="280">
        <v>9</v>
      </c>
      <c r="I56" s="62">
        <v>1395</v>
      </c>
      <c r="J56" s="62">
        <f t="shared" si="2"/>
        <v>31.428571428571427</v>
      </c>
      <c r="K56" s="62">
        <v>55</v>
      </c>
      <c r="L56" s="150">
        <v>4500000</v>
      </c>
      <c r="M56" s="124">
        <v>5</v>
      </c>
      <c r="N56" s="49"/>
      <c r="O56" s="49"/>
      <c r="P56" s="49"/>
      <c r="Q56" s="49"/>
      <c r="R56" s="280">
        <v>9</v>
      </c>
      <c r="S56" s="62">
        <v>2237</v>
      </c>
      <c r="T56" s="62">
        <f t="shared" si="3"/>
        <v>83.123425692695207</v>
      </c>
      <c r="U56" s="62">
        <v>22</v>
      </c>
      <c r="V56" s="150">
        <v>4600000</v>
      </c>
      <c r="W56" s="124">
        <v>5</v>
      </c>
      <c r="X56" s="49"/>
      <c r="Y56" s="49"/>
      <c r="Z56" s="49"/>
      <c r="AA56" s="49"/>
      <c r="AB56" s="280">
        <v>9</v>
      </c>
      <c r="AC56" s="62">
        <v>1956</v>
      </c>
      <c r="AD56" s="62">
        <v>53.6</v>
      </c>
      <c r="AE56" s="62">
        <v>268</v>
      </c>
      <c r="AF56" s="150">
        <v>4700000</v>
      </c>
      <c r="AG56" s="124">
        <v>5</v>
      </c>
      <c r="AH56" s="49"/>
      <c r="AI56" s="49"/>
      <c r="AJ56" s="49"/>
      <c r="AK56" s="49"/>
      <c r="AL56" s="49"/>
      <c r="AM56" s="49"/>
      <c r="AN56" s="280">
        <v>9</v>
      </c>
      <c r="AO56" s="62">
        <v>2507</v>
      </c>
      <c r="AP56" s="286">
        <v>30</v>
      </c>
      <c r="AQ56" s="150">
        <v>2700000</v>
      </c>
      <c r="AR56" s="124">
        <v>1.5</v>
      </c>
      <c r="AS56" s="49"/>
      <c r="AT56" s="49"/>
      <c r="AU56" s="49"/>
      <c r="AV56" s="49"/>
      <c r="AW56" s="97"/>
      <c r="AX56" s="280">
        <v>9</v>
      </c>
      <c r="AY56" s="62">
        <v>40</v>
      </c>
      <c r="AZ56" s="150">
        <v>300000</v>
      </c>
      <c r="BA56" s="124">
        <v>0.5</v>
      </c>
      <c r="BB56" s="49"/>
      <c r="BC56" s="49"/>
      <c r="BD56" s="49"/>
      <c r="BE56" s="49"/>
      <c r="BF56" s="49"/>
      <c r="BG56" s="49"/>
      <c r="BH56" s="49"/>
      <c r="BI56" s="49"/>
      <c r="BJ56" s="49"/>
      <c r="BK56" s="49"/>
      <c r="BL56" s="49"/>
      <c r="BM56" s="49"/>
      <c r="BN56" s="49"/>
      <c r="BO56" s="49"/>
      <c r="BP56" s="49"/>
    </row>
    <row r="57" spans="1:68">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t="s">
        <v>1678</v>
      </c>
      <c r="AC57" s="49"/>
      <c r="AD57" s="49"/>
      <c r="AE57" s="49"/>
      <c r="AF57" s="49"/>
      <c r="AG57" s="49"/>
      <c r="AH57" s="49"/>
      <c r="AI57" s="49"/>
      <c r="AJ57" s="49"/>
      <c r="AK57" s="49"/>
      <c r="AL57" s="49"/>
      <c r="AM57" s="49"/>
      <c r="AN57" s="49"/>
      <c r="AO57" s="49"/>
      <c r="AP57" s="49"/>
      <c r="AQ57" s="49"/>
      <c r="AR57" s="49"/>
      <c r="AS57" s="49"/>
      <c r="AT57" s="49"/>
      <c r="AU57" s="49"/>
      <c r="AV57" s="49"/>
      <c r="AW57" s="49"/>
      <c r="AX57" s="49" t="s">
        <v>1679</v>
      </c>
      <c r="AY57" s="49"/>
      <c r="AZ57" s="49"/>
      <c r="BA57" s="49"/>
      <c r="BB57" s="49"/>
      <c r="BC57" s="49"/>
      <c r="BD57" s="49"/>
      <c r="BE57" s="49"/>
      <c r="BF57" s="49"/>
      <c r="BG57" s="49"/>
      <c r="BH57" s="49"/>
      <c r="BI57" s="49"/>
      <c r="BJ57" s="49"/>
      <c r="BK57" s="49"/>
      <c r="BL57" s="49"/>
      <c r="BM57" s="49"/>
      <c r="BN57" s="49"/>
      <c r="BO57" s="49"/>
      <c r="BP57" s="49"/>
    </row>
    <row r="58" spans="1:68">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row>
    <row r="59" spans="1:68">
      <c r="A59" s="49"/>
      <c r="B59" s="49"/>
      <c r="C59" s="49"/>
      <c r="D59" s="49"/>
      <c r="E59" s="49"/>
      <c r="F59" s="49" t="s">
        <v>1680</v>
      </c>
      <c r="G59" s="49"/>
      <c r="H59" s="137" t="s">
        <v>1289</v>
      </c>
      <c r="I59" s="49"/>
      <c r="J59" s="49"/>
      <c r="K59" s="49"/>
      <c r="L59" s="49"/>
      <c r="M59" s="49"/>
      <c r="N59" s="49"/>
      <c r="O59" s="49"/>
      <c r="P59" s="49" t="s">
        <v>1681</v>
      </c>
      <c r="Q59" s="49"/>
      <c r="R59" s="137" t="s">
        <v>1682</v>
      </c>
      <c r="S59" s="49"/>
      <c r="T59" s="49"/>
      <c r="U59" s="49"/>
      <c r="V59" s="49"/>
      <c r="W59" s="49"/>
      <c r="X59" s="49"/>
      <c r="Y59" s="49"/>
      <c r="Z59" s="49"/>
      <c r="AA59" s="49"/>
      <c r="AB59" s="49"/>
      <c r="AC59" s="49"/>
      <c r="AD59" s="49"/>
      <c r="AE59" s="49"/>
      <c r="AF59" s="49"/>
      <c r="AG59" s="49"/>
      <c r="AH59" s="49"/>
      <c r="AI59" s="49"/>
      <c r="AJ59" s="49"/>
      <c r="AK59" s="49"/>
      <c r="AL59" s="49" t="s">
        <v>1683</v>
      </c>
      <c r="AM59" s="49"/>
      <c r="AN59" s="49"/>
      <c r="AO59" s="49"/>
      <c r="AP59" s="49"/>
      <c r="AQ59" s="49"/>
      <c r="AR59" s="49"/>
      <c r="AS59" s="49"/>
      <c r="AT59" s="49"/>
      <c r="AU59" s="49"/>
      <c r="AV59" s="49" t="s">
        <v>1684</v>
      </c>
      <c r="AW59" s="49"/>
      <c r="AX59" s="49"/>
      <c r="AY59" s="49"/>
      <c r="AZ59" s="49"/>
      <c r="BA59" s="49"/>
      <c r="BB59" s="49"/>
      <c r="BC59" s="49"/>
      <c r="BD59" s="49"/>
      <c r="BE59" s="49"/>
      <c r="BF59" s="49" t="s">
        <v>1685</v>
      </c>
      <c r="BG59" s="49"/>
      <c r="BH59" s="49"/>
      <c r="BI59" s="49"/>
      <c r="BJ59" s="49"/>
      <c r="BK59" s="49"/>
      <c r="BL59" s="49"/>
      <c r="BM59" s="49"/>
      <c r="BN59" s="49"/>
      <c r="BO59" s="49"/>
      <c r="BP59" s="49"/>
    </row>
    <row r="60" spans="1:68">
      <c r="A60" s="49"/>
      <c r="B60" s="49"/>
      <c r="C60" s="49"/>
      <c r="D60" s="49"/>
      <c r="E60" s="49"/>
      <c r="F60" s="52" t="s">
        <v>1102</v>
      </c>
      <c r="G60" s="64"/>
      <c r="H60" s="108" t="s">
        <v>243</v>
      </c>
      <c r="I60" s="65" t="s">
        <v>244</v>
      </c>
      <c r="J60" s="65" t="s">
        <v>245</v>
      </c>
      <c r="K60" s="65" t="s">
        <v>250</v>
      </c>
      <c r="L60" s="65" t="s">
        <v>1091</v>
      </c>
      <c r="M60" s="65" t="s">
        <v>1092</v>
      </c>
      <c r="N60" s="49"/>
      <c r="O60" s="49"/>
      <c r="P60" s="52" t="s">
        <v>1099</v>
      </c>
      <c r="Q60" s="64"/>
      <c r="R60" s="108" t="s">
        <v>243</v>
      </c>
      <c r="S60" s="65" t="s">
        <v>244</v>
      </c>
      <c r="T60" s="65" t="s">
        <v>1686</v>
      </c>
      <c r="U60" s="65" t="s">
        <v>1687</v>
      </c>
      <c r="V60" s="65" t="s">
        <v>1091</v>
      </c>
      <c r="W60" s="65" t="s">
        <v>1092</v>
      </c>
      <c r="X60" s="49"/>
      <c r="Y60" s="49"/>
      <c r="Z60" s="49"/>
      <c r="AA60" s="49"/>
      <c r="AB60" s="49"/>
      <c r="AC60" s="49"/>
      <c r="AD60" s="49"/>
      <c r="AE60" s="49"/>
      <c r="AF60" s="49"/>
      <c r="AG60" s="49"/>
      <c r="AH60" s="49"/>
      <c r="AI60" s="49"/>
      <c r="AJ60" s="49"/>
      <c r="AK60" s="49"/>
      <c r="AL60" s="52" t="s">
        <v>1688</v>
      </c>
      <c r="AM60" s="64"/>
      <c r="AN60" s="65" t="s">
        <v>243</v>
      </c>
      <c r="AO60" s="65" t="s">
        <v>1359</v>
      </c>
      <c r="AP60" s="65" t="s">
        <v>1091</v>
      </c>
      <c r="AQ60" s="65" t="s">
        <v>1092</v>
      </c>
      <c r="AR60" s="49"/>
      <c r="AS60" s="49"/>
      <c r="AT60" s="49"/>
      <c r="AU60" s="49"/>
      <c r="AV60" s="52" t="s">
        <v>1688</v>
      </c>
      <c r="AW60" s="64"/>
      <c r="AX60" s="65" t="s">
        <v>243</v>
      </c>
      <c r="AY60" s="65" t="s">
        <v>1359</v>
      </c>
      <c r="AZ60" s="65" t="s">
        <v>1091</v>
      </c>
      <c r="BA60" s="65" t="s">
        <v>1092</v>
      </c>
      <c r="BB60" s="49"/>
      <c r="BC60" s="49"/>
      <c r="BD60" s="49"/>
      <c r="BE60" s="49"/>
      <c r="BF60" s="77" t="s">
        <v>243</v>
      </c>
      <c r="BG60" s="158" t="s">
        <v>1689</v>
      </c>
      <c r="BH60" s="158"/>
      <c r="BI60" s="158"/>
      <c r="BJ60" s="158"/>
      <c r="BK60" s="158"/>
      <c r="BL60" s="158"/>
      <c r="BM60" s="49"/>
      <c r="BN60" s="49"/>
      <c r="BO60" s="49"/>
      <c r="BP60" s="49"/>
    </row>
    <row r="61" spans="1:68">
      <c r="A61" s="49"/>
      <c r="B61" s="49"/>
      <c r="C61" s="49"/>
      <c r="D61" s="49"/>
      <c r="E61" s="49"/>
      <c r="F61" s="49" t="s">
        <v>1690</v>
      </c>
      <c r="G61" s="56"/>
      <c r="H61" s="279">
        <v>1</v>
      </c>
      <c r="I61" s="62">
        <v>700</v>
      </c>
      <c r="J61" s="62">
        <v>110</v>
      </c>
      <c r="K61" s="62">
        <v>440</v>
      </c>
      <c r="L61" s="150">
        <v>3000000</v>
      </c>
      <c r="M61" s="124">
        <v>1</v>
      </c>
      <c r="N61" s="49"/>
      <c r="O61" s="49"/>
      <c r="P61" s="49" t="s">
        <v>1691</v>
      </c>
      <c r="Q61" s="56"/>
      <c r="R61" s="280">
        <v>1</v>
      </c>
      <c r="S61" s="62">
        <v>500</v>
      </c>
      <c r="T61" s="62">
        <v>25</v>
      </c>
      <c r="U61" s="62">
        <v>160</v>
      </c>
      <c r="V61" s="150">
        <v>3000000</v>
      </c>
      <c r="W61" s="124">
        <v>1</v>
      </c>
      <c r="X61" s="49"/>
      <c r="Y61" s="49"/>
      <c r="Z61" s="49"/>
      <c r="AA61" s="49"/>
      <c r="AB61" s="49"/>
      <c r="AC61" s="49"/>
      <c r="AD61" s="49"/>
      <c r="AE61" s="49"/>
      <c r="AF61" s="49"/>
      <c r="AG61" s="49"/>
      <c r="AH61" s="49"/>
      <c r="AI61" s="49"/>
      <c r="AJ61" s="49"/>
      <c r="AK61" s="49"/>
      <c r="AL61" s="49" t="s">
        <v>1692</v>
      </c>
      <c r="AM61" s="56"/>
      <c r="AN61" s="87">
        <v>1</v>
      </c>
      <c r="AO61" s="62">
        <v>50</v>
      </c>
      <c r="AP61" s="62">
        <v>5000</v>
      </c>
      <c r="AQ61" s="124" t="s">
        <v>163</v>
      </c>
      <c r="AR61" s="49"/>
      <c r="AS61" s="49"/>
      <c r="AT61" s="49"/>
      <c r="AU61" s="49"/>
      <c r="AV61" s="49" t="s">
        <v>1693</v>
      </c>
      <c r="AW61" s="56"/>
      <c r="AX61" s="87">
        <v>1</v>
      </c>
      <c r="AY61" s="62">
        <v>200</v>
      </c>
      <c r="AZ61" s="150">
        <v>30000</v>
      </c>
      <c r="BA61" s="124" t="s">
        <v>163</v>
      </c>
      <c r="BB61" s="49"/>
      <c r="BC61" s="49"/>
      <c r="BD61" s="49"/>
      <c r="BE61" s="49"/>
      <c r="BF61" s="62">
        <v>1</v>
      </c>
      <c r="BG61" s="49" t="s">
        <v>1694</v>
      </c>
      <c r="BH61" s="49"/>
      <c r="BI61" s="49"/>
      <c r="BJ61" s="49"/>
      <c r="BK61" s="49"/>
      <c r="BL61" s="49"/>
      <c r="BM61" s="49"/>
      <c r="BN61" s="49"/>
      <c r="BO61" s="49"/>
      <c r="BP61" s="49"/>
    </row>
    <row r="62" spans="1:68">
      <c r="A62" s="49"/>
      <c r="B62" s="49"/>
      <c r="C62" s="49"/>
      <c r="D62" s="49"/>
      <c r="E62" s="49"/>
      <c r="F62" s="60" t="s">
        <v>1695</v>
      </c>
      <c r="G62" s="61"/>
      <c r="H62" s="279">
        <v>2</v>
      </c>
      <c r="I62" s="62">
        <v>805</v>
      </c>
      <c r="J62" s="62">
        <v>121</v>
      </c>
      <c r="K62" s="62">
        <v>484</v>
      </c>
      <c r="L62" s="150">
        <v>3100000</v>
      </c>
      <c r="M62" s="124">
        <v>1</v>
      </c>
      <c r="N62" s="49"/>
      <c r="O62" s="49"/>
      <c r="P62" s="60" t="s">
        <v>1696</v>
      </c>
      <c r="Q62" s="61"/>
      <c r="R62" s="280">
        <v>2</v>
      </c>
      <c r="S62" s="62">
        <v>575</v>
      </c>
      <c r="T62" s="62">
        <v>33</v>
      </c>
      <c r="U62" s="62">
        <v>165</v>
      </c>
      <c r="V62" s="150">
        <v>3100000</v>
      </c>
      <c r="W62" s="124">
        <v>1</v>
      </c>
      <c r="X62" s="49"/>
      <c r="Y62" s="49"/>
      <c r="Z62" s="49"/>
      <c r="AA62" s="49"/>
      <c r="AB62" s="49"/>
      <c r="AC62" s="49"/>
      <c r="AD62" s="49"/>
      <c r="AE62" s="49"/>
      <c r="AF62" s="49"/>
      <c r="AG62" s="49"/>
      <c r="AH62" s="49"/>
      <c r="AI62" s="49"/>
      <c r="AJ62" s="49"/>
      <c r="AK62" s="49"/>
      <c r="AL62" s="49" t="s">
        <v>1697</v>
      </c>
      <c r="AM62" s="56"/>
      <c r="AN62" s="87">
        <v>2</v>
      </c>
      <c r="AO62" s="62">
        <v>55</v>
      </c>
      <c r="AP62" s="62">
        <v>8000</v>
      </c>
      <c r="AQ62" s="124">
        <v>1.38888888888889E-2</v>
      </c>
      <c r="AR62" s="49"/>
      <c r="AS62" s="49"/>
      <c r="AT62" s="49"/>
      <c r="AU62" s="49"/>
      <c r="AV62" s="49" t="s">
        <v>1698</v>
      </c>
      <c r="AW62" s="56"/>
      <c r="AX62" s="87">
        <v>2</v>
      </c>
      <c r="AY62" s="62">
        <v>220</v>
      </c>
      <c r="AZ62" s="150">
        <v>40000</v>
      </c>
      <c r="BA62" s="124">
        <v>4.1666666666666699E-2</v>
      </c>
      <c r="BB62" s="49"/>
      <c r="BC62" s="49"/>
      <c r="BD62" s="49"/>
      <c r="BE62" s="49"/>
      <c r="BF62" s="62">
        <v>2</v>
      </c>
      <c r="BG62" s="49" t="s">
        <v>1699</v>
      </c>
      <c r="BH62" s="49"/>
      <c r="BI62" s="49"/>
      <c r="BJ62" s="49"/>
      <c r="BK62" s="49"/>
      <c r="BL62" s="49"/>
      <c r="BM62" s="49"/>
      <c r="BN62" s="49"/>
      <c r="BO62" s="49"/>
      <c r="BP62" s="49"/>
    </row>
    <row r="63" spans="1:68">
      <c r="A63" s="49"/>
      <c r="B63" s="49"/>
      <c r="C63" s="49"/>
      <c r="D63" s="49"/>
      <c r="E63" s="49"/>
      <c r="F63" s="49" t="s">
        <v>1126</v>
      </c>
      <c r="G63" s="64"/>
      <c r="H63" s="279">
        <v>3</v>
      </c>
      <c r="I63" s="62">
        <v>926</v>
      </c>
      <c r="J63" s="62">
        <v>133</v>
      </c>
      <c r="K63" s="62">
        <v>532</v>
      </c>
      <c r="L63" s="150">
        <v>3200000</v>
      </c>
      <c r="M63" s="124">
        <v>2</v>
      </c>
      <c r="N63" s="49"/>
      <c r="O63" s="49"/>
      <c r="P63" s="49" t="s">
        <v>1673</v>
      </c>
      <c r="Q63" s="64"/>
      <c r="R63" s="280">
        <v>3</v>
      </c>
      <c r="S63" s="62">
        <v>661</v>
      </c>
      <c r="T63" s="62">
        <v>41</v>
      </c>
      <c r="U63" s="62">
        <v>170</v>
      </c>
      <c r="V63" s="150">
        <v>3200000</v>
      </c>
      <c r="W63" s="124">
        <v>2</v>
      </c>
      <c r="X63" s="49"/>
      <c r="Y63" s="49"/>
      <c r="Z63" s="49"/>
      <c r="AA63" s="49"/>
      <c r="AB63" s="49"/>
      <c r="AC63" s="49"/>
      <c r="AD63" s="49"/>
      <c r="AE63" s="49"/>
      <c r="AF63" s="49"/>
      <c r="AG63" s="49"/>
      <c r="AH63" s="49"/>
      <c r="AI63" s="49"/>
      <c r="AJ63" s="49"/>
      <c r="AK63" s="49"/>
      <c r="AL63" s="60" t="s">
        <v>1269</v>
      </c>
      <c r="AM63" s="61"/>
      <c r="AN63" s="87">
        <v>3</v>
      </c>
      <c r="AO63" s="62">
        <v>61</v>
      </c>
      <c r="AP63" s="150">
        <v>12000</v>
      </c>
      <c r="AQ63" s="124">
        <v>2.0833333333333301E-2</v>
      </c>
      <c r="AR63" s="49"/>
      <c r="AS63" s="49"/>
      <c r="AT63" s="49"/>
      <c r="AU63" s="49"/>
      <c r="AV63" s="60" t="s">
        <v>1269</v>
      </c>
      <c r="AW63" s="61"/>
      <c r="AX63" s="87">
        <v>3</v>
      </c>
      <c r="AY63" s="62">
        <v>244</v>
      </c>
      <c r="AZ63" s="150">
        <v>50000</v>
      </c>
      <c r="BA63" s="124">
        <v>0.125</v>
      </c>
      <c r="BB63" s="49"/>
      <c r="BC63" s="49"/>
      <c r="BD63" s="49"/>
      <c r="BE63" s="49"/>
      <c r="BF63" s="62">
        <v>3</v>
      </c>
      <c r="BG63" s="49" t="s">
        <v>1700</v>
      </c>
      <c r="BH63" s="49"/>
      <c r="BI63" s="49"/>
      <c r="BJ63" s="49"/>
      <c r="BK63" s="49"/>
      <c r="BL63" s="49"/>
      <c r="BM63" s="49"/>
      <c r="BN63" s="49"/>
      <c r="BO63" s="49"/>
      <c r="BP63" s="49"/>
    </row>
    <row r="64" spans="1:68">
      <c r="A64" s="49"/>
      <c r="B64" s="49"/>
      <c r="C64" s="49"/>
      <c r="D64" s="49"/>
      <c r="E64" s="49"/>
      <c r="F64" s="49" t="s">
        <v>1107</v>
      </c>
      <c r="G64" s="56"/>
      <c r="H64" s="279">
        <v>4</v>
      </c>
      <c r="I64" s="62">
        <v>1065</v>
      </c>
      <c r="J64" s="62">
        <v>146.5</v>
      </c>
      <c r="K64" s="62">
        <v>586</v>
      </c>
      <c r="L64" s="150">
        <v>3300000</v>
      </c>
      <c r="M64" s="124">
        <v>2</v>
      </c>
      <c r="N64" s="49"/>
      <c r="O64" s="49"/>
      <c r="P64" s="49" t="s">
        <v>1107</v>
      </c>
      <c r="Q64" s="56"/>
      <c r="R64" s="280">
        <v>4</v>
      </c>
      <c r="S64" s="62">
        <v>760</v>
      </c>
      <c r="T64" s="62">
        <v>49</v>
      </c>
      <c r="U64" s="62">
        <v>175</v>
      </c>
      <c r="V64" s="150">
        <v>3300000</v>
      </c>
      <c r="W64" s="124">
        <v>2</v>
      </c>
      <c r="X64" s="49"/>
      <c r="Y64" s="49"/>
      <c r="Z64" s="49"/>
      <c r="AA64" s="49"/>
      <c r="AB64" s="49"/>
      <c r="AC64" s="49"/>
      <c r="AD64" s="49"/>
      <c r="AE64" s="49"/>
      <c r="AF64" s="49"/>
      <c r="AG64" s="49"/>
      <c r="AH64" s="49"/>
      <c r="AI64" s="49"/>
      <c r="AJ64" s="49"/>
      <c r="AK64" s="49"/>
      <c r="AL64" s="49" t="s">
        <v>1672</v>
      </c>
      <c r="AM64" s="56"/>
      <c r="AN64" s="87">
        <v>4</v>
      </c>
      <c r="AO64" s="62">
        <v>67</v>
      </c>
      <c r="AP64" s="150">
        <v>25000</v>
      </c>
      <c r="AQ64" s="124">
        <v>4.1666666666666699E-2</v>
      </c>
      <c r="AR64" s="49"/>
      <c r="AS64" s="49"/>
      <c r="AT64" s="49"/>
      <c r="AU64" s="49"/>
      <c r="AV64" s="49" t="s">
        <v>1674</v>
      </c>
      <c r="AW64" s="56"/>
      <c r="AX64" s="87">
        <v>4</v>
      </c>
      <c r="AY64" s="62">
        <v>268</v>
      </c>
      <c r="AZ64" s="150">
        <v>80000</v>
      </c>
      <c r="BA64" s="124">
        <v>0.25</v>
      </c>
      <c r="BB64" s="49"/>
      <c r="BC64" s="49"/>
      <c r="BD64" s="49"/>
      <c r="BE64" s="49"/>
      <c r="BF64" s="62">
        <v>4</v>
      </c>
      <c r="BG64" s="49" t="s">
        <v>1701</v>
      </c>
      <c r="BH64" s="49"/>
      <c r="BI64" s="49"/>
      <c r="BJ64" s="49"/>
      <c r="BK64" s="49"/>
      <c r="BL64" s="49"/>
      <c r="BM64" s="49"/>
      <c r="BN64" s="49"/>
      <c r="BO64" s="49"/>
      <c r="BP64" s="49"/>
    </row>
    <row r="65" spans="1:68">
      <c r="A65" s="49"/>
      <c r="B65" s="49"/>
      <c r="C65" s="49"/>
      <c r="D65" s="49"/>
      <c r="E65" s="49"/>
      <c r="F65" s="49" t="s">
        <v>1117</v>
      </c>
      <c r="G65" s="56"/>
      <c r="H65" s="279">
        <v>5</v>
      </c>
      <c r="I65" s="62">
        <v>1225</v>
      </c>
      <c r="J65" s="62">
        <v>161</v>
      </c>
      <c r="K65" s="62">
        <v>644</v>
      </c>
      <c r="L65" s="150">
        <v>3400000</v>
      </c>
      <c r="M65" s="124">
        <v>3</v>
      </c>
      <c r="N65" s="49"/>
      <c r="O65" s="49"/>
      <c r="P65" s="49" t="s">
        <v>1117</v>
      </c>
      <c r="Q65" s="56"/>
      <c r="R65" s="280">
        <v>5</v>
      </c>
      <c r="S65" s="62">
        <v>874</v>
      </c>
      <c r="T65" s="62">
        <v>57</v>
      </c>
      <c r="U65" s="62">
        <v>180</v>
      </c>
      <c r="V65" s="150">
        <v>3700000</v>
      </c>
      <c r="W65" s="124">
        <v>3</v>
      </c>
      <c r="X65" s="49"/>
      <c r="Y65" s="49"/>
      <c r="Z65" s="49"/>
      <c r="AA65" s="49"/>
      <c r="AB65" s="49"/>
      <c r="AC65" s="49"/>
      <c r="AD65" s="49"/>
      <c r="AE65" s="49"/>
      <c r="AF65" s="49"/>
      <c r="AG65" s="49"/>
      <c r="AH65" s="49"/>
      <c r="AI65" s="49"/>
      <c r="AJ65" s="49"/>
      <c r="AK65" s="49"/>
      <c r="AL65" s="49" t="s">
        <v>1702</v>
      </c>
      <c r="AM65" s="56"/>
      <c r="AN65" s="99">
        <v>5</v>
      </c>
      <c r="AO65" s="62">
        <v>74</v>
      </c>
      <c r="AP65" s="150">
        <v>50000</v>
      </c>
      <c r="AQ65" s="124">
        <v>8.3333333333333301E-2</v>
      </c>
      <c r="AR65" s="49"/>
      <c r="AS65" s="49"/>
      <c r="AT65" s="49"/>
      <c r="AU65" s="49"/>
      <c r="AV65" s="49" t="s">
        <v>1703</v>
      </c>
      <c r="AW65" s="56"/>
      <c r="AX65" s="99">
        <v>5</v>
      </c>
      <c r="AY65" s="62">
        <v>296</v>
      </c>
      <c r="AZ65" s="150">
        <v>120000</v>
      </c>
      <c r="BA65" s="124">
        <v>0.33333333333333298</v>
      </c>
      <c r="BB65" s="49"/>
      <c r="BC65" s="49"/>
      <c r="BD65" s="49"/>
      <c r="BE65" s="49"/>
      <c r="BF65" s="62">
        <v>5</v>
      </c>
      <c r="BG65" s="49" t="s">
        <v>1704</v>
      </c>
      <c r="BH65" s="49"/>
      <c r="BI65" s="49"/>
      <c r="BJ65" s="49"/>
      <c r="BK65" s="49"/>
      <c r="BL65" s="49"/>
      <c r="BM65" s="49"/>
      <c r="BN65" s="49"/>
      <c r="BO65" s="49"/>
      <c r="BP65" s="49"/>
    </row>
    <row r="66" spans="1:68">
      <c r="A66" s="49"/>
      <c r="B66" s="49"/>
      <c r="C66" s="49"/>
      <c r="D66" s="49"/>
      <c r="E66" s="49"/>
      <c r="F66" s="52" t="s">
        <v>1705</v>
      </c>
      <c r="G66" s="64"/>
      <c r="H66" s="279">
        <v>6</v>
      </c>
      <c r="I66" s="62">
        <v>1409</v>
      </c>
      <c r="J66" s="62">
        <v>177.25</v>
      </c>
      <c r="K66" s="62">
        <v>709</v>
      </c>
      <c r="L66" s="150">
        <v>3600000</v>
      </c>
      <c r="M66" s="124">
        <v>3</v>
      </c>
      <c r="N66" s="49"/>
      <c r="O66" s="49"/>
      <c r="P66" s="52" t="s">
        <v>1706</v>
      </c>
      <c r="Q66" s="64"/>
      <c r="R66" s="280">
        <v>6</v>
      </c>
      <c r="S66" s="62">
        <v>1005</v>
      </c>
      <c r="T66" s="62">
        <v>65</v>
      </c>
      <c r="U66" s="62">
        <v>185</v>
      </c>
      <c r="V66" s="150">
        <v>4000000</v>
      </c>
      <c r="W66" s="124">
        <v>3</v>
      </c>
      <c r="X66" s="49"/>
      <c r="Y66" s="49"/>
      <c r="Z66" s="49"/>
      <c r="AA66" s="49"/>
      <c r="AB66" s="49"/>
      <c r="AC66" s="49"/>
      <c r="AD66" s="49"/>
      <c r="AE66" s="49"/>
      <c r="AF66" s="49"/>
      <c r="AG66" s="49"/>
      <c r="AH66" s="49"/>
      <c r="AI66" s="49"/>
      <c r="AJ66" s="49"/>
      <c r="AK66" s="49"/>
      <c r="AL66" s="49"/>
      <c r="AM66" s="56"/>
      <c r="AN66" s="90">
        <v>6</v>
      </c>
      <c r="AO66" s="62">
        <v>81</v>
      </c>
      <c r="AP66" s="150">
        <v>80000</v>
      </c>
      <c r="AQ66" s="124">
        <v>0.125</v>
      </c>
      <c r="AR66" s="49"/>
      <c r="AS66" s="49"/>
      <c r="AT66" s="49"/>
      <c r="AU66" s="49"/>
      <c r="AV66" s="49"/>
      <c r="AW66" s="56"/>
      <c r="AX66" s="90">
        <v>6</v>
      </c>
      <c r="AY66" s="62">
        <v>324</v>
      </c>
      <c r="AZ66" s="150">
        <v>300000</v>
      </c>
      <c r="BA66" s="124">
        <v>0.41666666666666702</v>
      </c>
      <c r="BB66" s="49"/>
      <c r="BC66" s="49"/>
      <c r="BD66" s="49"/>
      <c r="BE66" s="49"/>
      <c r="BF66" s="49" t="s">
        <v>1707</v>
      </c>
      <c r="BG66" s="49"/>
      <c r="BH66" s="49"/>
      <c r="BI66" s="49"/>
      <c r="BJ66" s="49"/>
      <c r="BK66" s="49"/>
      <c r="BL66" s="49"/>
      <c r="BM66" s="49"/>
      <c r="BN66" s="49"/>
      <c r="BO66" s="49"/>
      <c r="BP66" s="49"/>
    </row>
    <row r="67" spans="1:68">
      <c r="A67" s="49"/>
      <c r="B67" s="49"/>
      <c r="C67" s="49"/>
      <c r="D67" s="49"/>
      <c r="E67" s="49"/>
      <c r="F67" s="49" t="s">
        <v>1708</v>
      </c>
      <c r="G67" s="56"/>
      <c r="H67" s="279">
        <v>7</v>
      </c>
      <c r="I67" s="62">
        <v>1620</v>
      </c>
      <c r="J67" s="62">
        <v>194.75</v>
      </c>
      <c r="K67" s="62">
        <v>779</v>
      </c>
      <c r="L67" s="150">
        <v>3800000</v>
      </c>
      <c r="M67" s="124">
        <v>4</v>
      </c>
      <c r="N67" s="49"/>
      <c r="O67" s="49"/>
      <c r="P67" s="49" t="s">
        <v>1709</v>
      </c>
      <c r="Q67" s="56"/>
      <c r="R67" s="280">
        <v>7</v>
      </c>
      <c r="S67" s="62">
        <v>1156</v>
      </c>
      <c r="T67" s="62">
        <v>73</v>
      </c>
      <c r="U67" s="62">
        <v>190</v>
      </c>
      <c r="V67" s="150">
        <v>4300000</v>
      </c>
      <c r="W67" s="124">
        <v>4</v>
      </c>
      <c r="X67" s="49"/>
      <c r="Y67" s="49"/>
      <c r="Z67" s="49"/>
      <c r="AA67" s="49"/>
      <c r="AB67" s="49"/>
      <c r="AC67" s="49"/>
      <c r="AD67" s="49"/>
      <c r="AE67" s="49"/>
      <c r="AF67" s="49"/>
      <c r="AG67" s="49"/>
      <c r="AH67" s="49"/>
      <c r="AI67" s="49"/>
      <c r="AJ67" s="49"/>
      <c r="AK67" s="49"/>
      <c r="AL67" s="49"/>
      <c r="AM67" s="56"/>
      <c r="AN67" s="278">
        <v>7</v>
      </c>
      <c r="AO67" s="62">
        <v>89</v>
      </c>
      <c r="AP67" s="150">
        <v>120000</v>
      </c>
      <c r="AQ67" s="124">
        <v>0.16666666666666699</v>
      </c>
      <c r="AR67" s="49"/>
      <c r="AS67" s="49"/>
      <c r="AT67" s="49"/>
      <c r="AU67" s="49"/>
      <c r="AV67" s="49"/>
      <c r="AW67" s="56"/>
      <c r="AX67" s="278">
        <v>7</v>
      </c>
      <c r="AY67" s="62">
        <v>356</v>
      </c>
      <c r="AZ67" s="150">
        <v>600000</v>
      </c>
      <c r="BA67" s="124">
        <v>0.5</v>
      </c>
      <c r="BB67" s="49"/>
      <c r="BC67" s="49"/>
      <c r="BD67" s="49"/>
      <c r="BE67" s="49"/>
      <c r="BF67" s="49"/>
      <c r="BG67" s="49"/>
      <c r="BH67" s="49"/>
      <c r="BI67" s="49"/>
      <c r="BJ67" s="49"/>
      <c r="BK67" s="49"/>
      <c r="BL67" s="49"/>
      <c r="BM67" s="49"/>
      <c r="BN67" s="49"/>
      <c r="BO67" s="49"/>
      <c r="BP67" s="49"/>
    </row>
    <row r="68" spans="1:68">
      <c r="A68" s="49"/>
      <c r="B68" s="49"/>
      <c r="C68" s="49"/>
      <c r="D68" s="49"/>
      <c r="E68" s="49"/>
      <c r="F68" s="49"/>
      <c r="G68" s="56"/>
      <c r="H68" s="279">
        <v>8</v>
      </c>
      <c r="I68" s="62">
        <v>1863</v>
      </c>
      <c r="J68" s="62">
        <v>214.25</v>
      </c>
      <c r="K68" s="62">
        <v>857</v>
      </c>
      <c r="L68" s="150">
        <v>4000000</v>
      </c>
      <c r="M68" s="124">
        <v>5</v>
      </c>
      <c r="N68" s="49"/>
      <c r="O68" s="49"/>
      <c r="P68" s="49"/>
      <c r="Q68" s="56"/>
      <c r="R68" s="280">
        <v>8</v>
      </c>
      <c r="S68" s="62">
        <v>1329</v>
      </c>
      <c r="T68" s="62">
        <v>81</v>
      </c>
      <c r="U68" s="62">
        <v>195</v>
      </c>
      <c r="V68" s="150">
        <v>4600000</v>
      </c>
      <c r="W68" s="124">
        <v>5</v>
      </c>
      <c r="X68" s="49"/>
      <c r="Y68" s="49"/>
      <c r="Z68" s="49"/>
      <c r="AA68" s="49"/>
      <c r="AB68" s="49"/>
      <c r="AC68" s="49"/>
      <c r="AD68" s="49"/>
      <c r="AE68" s="49"/>
      <c r="AF68" s="49"/>
      <c r="AG68" s="49"/>
      <c r="AH68" s="49"/>
      <c r="AI68" s="49"/>
      <c r="AJ68" s="49"/>
      <c r="AK68" s="49"/>
      <c r="AL68" s="49"/>
      <c r="AM68" s="56"/>
      <c r="AN68" s="279">
        <v>8</v>
      </c>
      <c r="AO68" s="62">
        <v>98</v>
      </c>
      <c r="AP68" s="150">
        <v>250000</v>
      </c>
      <c r="AQ68" s="124">
        <v>0.20833333333333301</v>
      </c>
      <c r="AR68" s="49"/>
      <c r="AS68" s="49"/>
      <c r="AT68" s="49"/>
      <c r="AU68" s="49"/>
      <c r="AV68" s="49"/>
      <c r="AW68" s="56"/>
      <c r="AX68" s="279">
        <v>8</v>
      </c>
      <c r="AY68" s="62">
        <v>392</v>
      </c>
      <c r="AZ68" s="150">
        <v>1000000</v>
      </c>
      <c r="BA68" s="124">
        <v>1</v>
      </c>
      <c r="BB68" s="49"/>
      <c r="BC68" s="49"/>
      <c r="BD68" s="49"/>
      <c r="BE68" s="49"/>
      <c r="BF68" s="49"/>
      <c r="BG68" s="49"/>
      <c r="BH68" s="49"/>
      <c r="BI68" s="49"/>
      <c r="BJ68" s="49"/>
      <c r="BK68" s="49"/>
      <c r="BL68" s="49"/>
      <c r="BM68" s="49"/>
      <c r="BN68" s="49"/>
      <c r="BO68" s="49"/>
      <c r="BP68" s="49"/>
    </row>
    <row r="69" spans="1:68">
      <c r="A69" s="49"/>
      <c r="B69" s="49"/>
      <c r="C69" s="49"/>
      <c r="D69" s="49"/>
      <c r="E69" s="49"/>
      <c r="F69" s="49"/>
      <c r="G69" s="49"/>
      <c r="H69" s="280">
        <v>9</v>
      </c>
      <c r="I69" s="62">
        <v>1956</v>
      </c>
      <c r="J69" s="62">
        <v>235.75</v>
      </c>
      <c r="K69" s="62">
        <v>943</v>
      </c>
      <c r="L69" s="150">
        <v>4800000</v>
      </c>
      <c r="M69" s="124">
        <v>5</v>
      </c>
      <c r="N69" s="49"/>
      <c r="O69" s="49"/>
      <c r="P69" s="49"/>
      <c r="Q69" s="56"/>
      <c r="R69" s="280">
        <v>9</v>
      </c>
      <c r="S69" s="62">
        <v>1395</v>
      </c>
      <c r="T69" s="62">
        <v>89</v>
      </c>
      <c r="U69" s="62">
        <v>200</v>
      </c>
      <c r="V69" s="150">
        <v>4900000</v>
      </c>
      <c r="W69" s="124">
        <v>5</v>
      </c>
      <c r="X69" s="49"/>
      <c r="Y69" s="49"/>
      <c r="Z69" s="49"/>
      <c r="AA69" s="49"/>
      <c r="AB69" s="49"/>
      <c r="AC69" s="49"/>
      <c r="AD69" s="49"/>
      <c r="AE69" s="49"/>
      <c r="AF69" s="49"/>
      <c r="AG69" s="49"/>
      <c r="AH69" s="49"/>
      <c r="AI69" s="49"/>
      <c r="AJ69" s="49"/>
      <c r="AK69" s="49"/>
      <c r="AL69" s="49"/>
      <c r="AM69" s="49"/>
      <c r="AN69" s="280">
        <v>9</v>
      </c>
      <c r="AO69" s="62">
        <v>110</v>
      </c>
      <c r="AP69" s="150">
        <v>500000</v>
      </c>
      <c r="AQ69" s="124">
        <v>0.25</v>
      </c>
      <c r="AR69" s="49"/>
      <c r="AS69" s="49"/>
      <c r="AT69" s="49"/>
      <c r="AU69" s="49"/>
      <c r="AV69" s="49"/>
      <c r="AW69" s="49"/>
      <c r="AX69" s="280">
        <v>9</v>
      </c>
      <c r="AY69" s="62">
        <v>431</v>
      </c>
      <c r="AZ69" s="150">
        <v>1400000</v>
      </c>
      <c r="BA69" s="124">
        <v>1.5</v>
      </c>
      <c r="BB69" s="49"/>
      <c r="BC69" s="49"/>
      <c r="BD69" s="49"/>
      <c r="BE69" s="49"/>
      <c r="BF69" s="49"/>
      <c r="BG69" s="49"/>
      <c r="BH69" s="49"/>
      <c r="BI69" s="49"/>
      <c r="BJ69" s="49"/>
      <c r="BK69" s="49"/>
      <c r="BL69" s="49"/>
      <c r="BM69" s="49"/>
      <c r="BN69" s="49"/>
      <c r="BO69" s="49"/>
      <c r="BP69" s="49"/>
    </row>
    <row r="70" spans="1:68">
      <c r="A70" s="49"/>
      <c r="B70" s="49"/>
      <c r="C70" s="49"/>
      <c r="D70" s="49"/>
      <c r="E70" s="49"/>
      <c r="F70" s="49"/>
      <c r="G70" s="49"/>
      <c r="H70" s="49"/>
      <c r="I70" s="49"/>
      <c r="J70" s="49"/>
      <c r="K70" s="49"/>
      <c r="L70" s="49"/>
      <c r="M70" s="49"/>
      <c r="N70" s="49"/>
      <c r="O70" s="49"/>
      <c r="P70" s="49"/>
      <c r="Q70" s="49"/>
      <c r="R70" s="49" t="s">
        <v>1710</v>
      </c>
      <c r="S70" s="49"/>
      <c r="T70" s="49"/>
      <c r="U70" s="49"/>
      <c r="V70" s="49"/>
      <c r="W70" s="49"/>
      <c r="X70" s="49"/>
      <c r="Y70" s="49"/>
      <c r="Z70" s="49"/>
      <c r="AA70" s="49"/>
      <c r="AB70" s="49"/>
      <c r="AC70" s="49"/>
      <c r="AD70" s="49"/>
      <c r="AE70" s="49"/>
      <c r="AF70" s="49"/>
      <c r="AG70" s="49"/>
      <c r="AH70" s="49"/>
      <c r="AI70" s="49"/>
      <c r="AJ70" s="49"/>
      <c r="AK70" s="49"/>
      <c r="AL70" s="49"/>
      <c r="AM70" s="49"/>
      <c r="AN70" s="49" t="s">
        <v>1711</v>
      </c>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row>
    <row r="71" spans="1:68">
      <c r="A71" s="49"/>
      <c r="B71" s="49"/>
      <c r="C71" s="49"/>
      <c r="D71" s="49"/>
      <c r="E71" s="49"/>
      <c r="F71" s="49"/>
      <c r="G71" s="49"/>
      <c r="H71" s="49"/>
      <c r="I71" s="49"/>
      <c r="J71" s="49"/>
      <c r="K71" s="49"/>
      <c r="L71" s="49"/>
      <c r="M71" s="49"/>
      <c r="N71" s="49"/>
      <c r="O71" s="49"/>
      <c r="P71" s="49"/>
      <c r="Q71" s="49"/>
      <c r="R71" s="49" t="s">
        <v>1712</v>
      </c>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row>
    <row r="72" spans="1:68">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row>
    <row r="73" spans="1:68">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row>
    <row r="74" spans="1:68">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row>
    <row r="75" spans="1:68">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row>
  </sheetData>
  <mergeCells count="4">
    <mergeCell ref="A1:C2"/>
    <mergeCell ref="D1:E2"/>
    <mergeCell ref="AJ1:AK2"/>
    <mergeCell ref="A3:C4"/>
  </mergeCells>
  <conditionalFormatting sqref="A1:BP75">
    <cfRule type="expression" dxfId="39" priority="1">
      <formula>颜色主题="魔法"</formula>
    </cfRule>
  </conditionalFormatting>
  <dataValidations count="40">
    <dataValidation allowBlank="1" showInputMessage="1" showErrorMessage="1" promptTitle="======================" prompt="打碎的西瓜会残留在地表对陆军造成“熔岩伤害”，军队在碎西瓜的时间越长，熔岩秒伤越高。" sqref="P66" xr:uid="{00000000-0002-0000-0500-000000000000}"/>
    <dataValidation allowBlank="1" showInputMessage="1" showErrorMessage="1" promptTitle="====================" prompt="飞行速度：12格/秒_x000a_可否追踪：可以_x000a_弹道轨迹：直线_x000a_参考时间：0.75秒_x000a_" sqref="R5" xr:uid="{00000000-0002-0000-0500-000001000000}"/>
    <dataValidation allowBlank="1" showInputMessage="1" showErrorMessage="1" promptTitle="====================" prompt="飞行速度：12格/秒_x000a_可否追踪：可以_x000a_弹道轨迹：直线_x000a_参考时间：0.58秒_x000a_" sqref="AB5" xr:uid="{00000000-0002-0000-0500-000002000000}"/>
    <dataValidation allowBlank="1" showInputMessage="1" showErrorMessage="1" promptTitle="======================" prompt="你对城墙很头疼吗？如果是的，恭喜你，你是陆军。_x000a_炸弹兵是城墙的克星呀，如果你没有的话，只能乖乖砸墙或者被城墙引导了。_x000a_" sqref="F6" xr:uid="{00000000-0002-0000-0500-000003000000}"/>
    <dataValidation allowBlank="1" showInputMessage="1" showErrorMessage="1" promptTitle="======================" prompt="射程的含义是防御建筑所能攻击到的最远距离。_x000a_射程的圆心在占地面积的中心点！_x000a_" sqref="P7 Z7 P21 Z21 F25 F28 F35 Z35 F48 P48 Z48 F61 P61" xr:uid="{00000000-0002-0000-0500-000004000000}"/>
    <dataValidation allowBlank="1" showInputMessage="1" showErrorMessage="1" promptTitle="======================" prompt="抵御+军队类型_x000a_代表防御建筑能攻击的对象。" sqref="P6 Z6 F20 P20 Z20 F34 Z34 F47 P47 Z47 F60 P60" xr:uid="{00000000-0002-0000-0500-000005000000}"/>
    <dataValidation allowBlank="1" showInputMessage="1" showErrorMessage="1" promptTitle="======================" prompt="“占地面积”指的是这个建筑的占用面积和可以受到伤害的区域（非陷阱）。_x000a_进攻时无法在可见建筑的“占地面积”以及外面一圈的范围内下兵。_x000a_" sqref="F7 AL7 AV7 BF7 P10 Z11 AL20 AV20 BF20 F22 P24 Z25 AL34 AV34 BF34 P37 F38 Z38 AL47 Z51 F52 P52 F64 P64" xr:uid="{00000000-0002-0000-0500-000006000000}"/>
    <dataValidation allowBlank="1" showInputMessage="1" showErrorMessage="1" promptTitle="======================" prompt="可视面积指兵种可以看到的面积，而军队只能直接攻击此区域。_x000a_一般情况下：可视面积比占地面积小一圈。_x000a_" sqref="F8 AL8 AV8 BF8 P11 Z12 AL21 AV21 BF21 F23 P25 Z26 AL35 AV35 BF35 P38 F39 Z39 AL48 Z52 F53 P53 F65 P65" xr:uid="{00000000-0002-0000-0500-000007000000}"/>
    <dataValidation allowBlank="1" showInputMessage="1" showErrorMessage="1" promptTitle="======================" prompt="攻速代表每次攻击所需要的时间。_x000a_防御建筑的实际伤害=秒伤*攻速_x000a_很多时候会写好每次伤害..._x000a_" sqref="P8 Z9 P22 Z23 F26 F29 F36 Z36 Z49 F50 P50 F62 P62" xr:uid="{00000000-0002-0000-0500-000008000000}"/>
    <dataValidation allowBlank="1" showInputMessage="1" showErrorMessage="1" promptTitle="====================" prompt="被击中后单位对着伤害源后退的距离。_x000a_" sqref="Z54" xr:uid="{00000000-0002-0000-0500-000009000000}"/>
    <dataValidation allowBlank="1" showInputMessage="1" showErrorMessage="1" promptTitle="======================" prompt="连发是特殊的攻击模式，一次攻击射出多发子弹。有利于快速消灭目标，但是可能需要更多的装填时间。_x000a_" sqref="Z8 Z22 F49 P49" xr:uid="{00000000-0002-0000-0500-00000A000000}"/>
    <dataValidation allowBlank="1" showInputMessage="1" showErrorMessage="1" promptTitle="====================" prompt="一次攻击一个单位，绝不击空！" sqref="P9 Z10 F21 P23 Z24 F63" xr:uid="{00000000-0002-0000-0500-00000B000000}"/>
    <dataValidation allowBlank="1" showInputMessage="1" showErrorMessage="1" promptTitle="====================" prompt="飞行速度：14格/秒_x000a_可否追踪：可以_x000a_弹道轨迹：抛物线_x000a_参考时间：0.71秒_x000a_" sqref="H19" xr:uid="{00000000-0002-0000-0500-00000C000000}"/>
    <dataValidation allowBlank="1" showInputMessage="1" showErrorMessage="1" promptTitle="====================" prompt="弹道轨迹：直线_x000a_参考时间：瞬间_x000a_" sqref="R19 H59" xr:uid="{00000000-0002-0000-0500-00000D000000}"/>
    <dataValidation allowBlank="1" showInputMessage="1" showErrorMessage="1" promptTitle="====================" prompt="飞行速度：12格/秒_x000a_可否追踪：可以_x000a_弹道轨迹：抛物线_x000a_参考时间：0.83秒_x000a_" sqref="AB19" xr:uid="{00000000-0002-0000-0500-00000E000000}"/>
    <dataValidation allowBlank="1" showInputMessage="1" showErrorMessage="1" promptTitle="====================" prompt="长射程、中等输出_x000a_适合对付远程单位" sqref="F24" xr:uid="{00000000-0002-0000-0500-00000F000000}"/>
    <dataValidation allowBlank="1" showInputMessage="1" showErrorMessage="1" promptTitle="====================" prompt="伏击电塔弹出对付敌人的条件" sqref="P26" xr:uid="{00000000-0002-0000-0500-000010000000}"/>
    <dataValidation allowBlank="1" showInputMessage="1" showErrorMessage="1" promptTitle="====================" prompt="近距离双倍输出_x000a_适合对付高血量单位" sqref="F27" xr:uid="{00000000-0002-0000-0500-000011000000}"/>
    <dataValidation allowBlank="1" showInputMessage="1" showErrorMessage="1" promptTitle="====================" prompt="飞行速度：2格/秒_x000a_可否追踪：可以_x000a_弹道轨迹：抛物线_x000a_参考时间：4秒_x000a_" sqref="AB33" xr:uid="{00000000-0002-0000-0500-000012000000}"/>
    <dataValidation allowBlank="1" showInputMessage="1" showErrorMessage="1" promptTitle="====================" prompt="驻扎狂暴野蛮人和隐秘弓箭手_x000a_升级数量会先增加野蛮人，然后弓箭手。_x000a_" sqref="P34" xr:uid="{00000000-0002-0000-0500-000013000000}"/>
    <dataValidation allowBlank="1" showInputMessage="1" showErrorMessage="1" promptTitle="=====================" prompt="在没有发现威胁前，军队会在以守卫岗哨为圆心的小区域巡逻。_x000a_" sqref="P35" xr:uid="{00000000-0002-0000-0500-000014000000}"/>
    <dataValidation allowBlank="1" showInputMessage="1" showErrorMessage="1" promptTitle="=====================" prompt="守卫军的视野，只要发现敌人，就会毫不留情的追击。_x000a_直到天涯海角，或者只需要逃离他们的视野就可以了。_x000a_" sqref="P36" xr:uid="{00000000-0002-0000-0500-000015000000}"/>
    <dataValidation allowBlank="1" showInputMessage="1" showErrorMessage="1" promptTitle="====================" prompt="溅射伤害对其范围内的单位都有全额伤害_x000a_有可能会因为过快的移速而被闪避。_x000a_" sqref="F37 Z37 F51 P51 P63" xr:uid="{00000000-0002-0000-0500-000016000000}"/>
    <dataValidation allowBlank="1" showInputMessage="1" showErrorMessage="1" promptTitle="======================" prompt="闪电最多能够攻击单位的数量" sqref="F67" xr:uid="{00000000-0002-0000-0500-000017000000}"/>
    <dataValidation allowBlank="1" showInputMessage="1" showErrorMessage="1" promptTitle="======================" prompt="这一类防御有出手速度，出手时间是：攻速-冷却；_x000a_在攻击冷却内强制不能攻击，以防过快的攻击频率。_x000a_" sqref="F40 Z40 P67" xr:uid="{00000000-0002-0000-0500-000018000000}"/>
    <dataValidation allowBlank="1" showInputMessage="1" showErrorMessage="1" promptTitle="====================" prompt="飞行速度：7.5格/秒_x000a_可否追踪：不能_x000a_弹道轨迹：抛物线_x000a_参考时间：1.73秒_x000a_" sqref="H46" xr:uid="{00000000-0002-0000-0500-000019000000}"/>
    <dataValidation allowBlank="1" showInputMessage="1" showErrorMessage="1" promptTitle="====================" prompt="飞行速度：4.8格/秒_x000a_可否追踪：不能_x000a_弹道轨迹：抛物线_x000a_参考时间：1.46秒_x000a_" sqref="R46" xr:uid="{00000000-0002-0000-0500-00001A000000}"/>
    <dataValidation allowBlank="1" showInputMessage="1" showErrorMessage="1" promptTitle="====================" prompt="飞行速度：16-4格/秒_x000a_可否追踪：不能_x000a_弹道轨迹：直线_x000a_参考时间：1.7秒_x000a_" sqref="AB46" xr:uid="{00000000-0002-0000-0500-00001B000000}"/>
    <dataValidation allowBlank="1" showInputMessage="1" showErrorMessage="1" promptTitle="=====================" prompt="代表陷阱可以作用的单位类型" sqref="AV47 BF47 AL60 AV60" xr:uid="{00000000-0002-0000-0500-00001C000000}"/>
    <dataValidation allowBlank="1" showInputMessage="1" showErrorMessage="1" promptTitle="====================" prompt="指定单位走到触发半径后，陷阱会弹出。" sqref="AV48 BF48 AL61 AV61" xr:uid="{00000000-0002-0000-0500-00001D000000}"/>
    <dataValidation allowBlank="1" showInputMessage="1" showErrorMessage="1" promptTitle="====================" prompt="陷阱作用效果的有效半径。" sqref="AV49 BF49" xr:uid="{00000000-0002-0000-0500-00001E000000}"/>
    <dataValidation allowBlank="1" showInputMessage="1" showErrorMessage="1" promptTitle="====================" prompt="穿透半径不同于溅射半径_x000a_离炮弹穿透半径内的单位都会受伤_x000a_" sqref="Z50" xr:uid="{00000000-0002-0000-0500-00001F000000}"/>
    <dataValidation allowBlank="1" showInputMessage="1" showErrorMessage="1" promptTitle="======================" prompt="把敌军弹射出去的距离。" sqref="AV50" xr:uid="{00000000-0002-0000-0500-000020000000}"/>
    <dataValidation allowBlank="1" showInputMessage="1" showErrorMessage="1" promptTitle="=====================" prompt="占地面积指的是这个建筑占用面积的大小。_x000a_如果是可见建筑，则在进攻时：你无法在占地面积以及外面一圈内下兵。_x000a_" sqref="BF50 AV51 AL64 AV64" xr:uid="{00000000-0002-0000-0500-000021000000}"/>
    <dataValidation allowBlank="1" showInputMessage="1" showErrorMessage="1" promptTitle="====================" prompt="飞行速度：5格/秒_x000a_可否追踪：不能_x000a_弹道轨迹：抛物线_x000a_参考时间：4秒_x000a_" sqref="R59" xr:uid="{00000000-0002-0000-0500-000022000000}"/>
    <dataValidation allowBlank="1" showInputMessage="1" showErrorMessage="1" promptTitle="======================" prompt="从单位靠近触发范围到陷阱弹出所需要的时间。_x000a_" sqref="BF51 AV52 AL65 AV65" xr:uid="{00000000-0002-0000-0500-000023000000}"/>
    <dataValidation allowBlank="1" showInputMessage="1" showErrorMessage="1" promptTitle="======================" prompt="巨加炮弹能够飞行的最长距离_x000a_是少数明显可以超射程攻击的防御" sqref="Z53" xr:uid="{00000000-0002-0000-0500-000024000000}"/>
    <dataValidation allowBlank="1" showInputMessage="1" showErrorMessage="1" promptTitle="====================" prompt="陷阱爆炸的溅射半径。" sqref="AL62 AV62" xr:uid="{00000000-0002-0000-0500-000025000000}"/>
    <dataValidation allowBlank="1" showInputMessage="1" showErrorMessage="1" promptTitle="====================" prompt="被击中后单位对着伤害源后退的距离。_x000a_只对野蛮人、弓箭手和炸弹兵有效。_x000a_" sqref="AL63 AV63" xr:uid="{00000000-0002-0000-0500-000026000000}"/>
    <dataValidation allowBlank="1" showInputMessage="1" showErrorMessage="1" promptTitle="=====================" prompt="闪电链连锁下一个单位的距离极限。" sqref="F66" xr:uid="{00000000-0002-0000-0500-000027000000}"/>
  </dataValidations>
  <hyperlinks>
    <hyperlink ref="D4" location="'3.2夜本建筑'!F5:K15" tooltip="夜本的城墙，一排5个" display="01.联排城墙" xr:uid="{00000000-0004-0000-0500-000000000000}"/>
    <hyperlink ref="D5" location="'3.2夜本建筑'!P5:W15" tooltip="基础对地防御" display="02.加农炮" xr:uid="{00000000-0004-0000-0500-000001000000}"/>
    <hyperlink ref="D6" location="'3.2夜本建筑'!Z5:AG15" tooltip="四连发对地防御，擅长对付肉盾" display="03.双管加农炮" xr:uid="{00000000-0004-0000-0500-000002000000}"/>
    <hyperlink ref="D7" location="'3.2夜本建筑'!F19:N29" tooltip="可根据需要切换远程和快速模式" display="04.多功能箭塔" xr:uid="{00000000-0004-0000-0500-000003000000}"/>
    <hyperlink ref="D8" location="'3.2夜本建筑'!P19:W29" tooltip="狡诈的隐藏防御，只有靠近才会弹出" display="05.伏击电塔" xr:uid="{00000000-0004-0000-0500-000004000000}"/>
    <hyperlink ref="D9" location="'3.2夜本建筑'!Z19:AG29" tooltip="小型对空防御" display="06.防空火炮" xr:uid="{00000000-0004-0000-0500-000005000000}"/>
    <hyperlink ref="D10" location="'3.2夜本建筑'!F33:M43" tooltip="致命的近距离防御对自身周围产生极大伤害" display="07.撼地巨石" xr:uid="{00000000-0004-0000-0500-000006000000}"/>
    <hyperlink ref="D11" location="'3.2夜本建筑'!P43:W43" tooltip="驻扎守军干扰敌人" display="08.守卫岗哨" xr:uid="{00000000-0004-0000-0500-000007000000}"/>
    <hyperlink ref="D12" location="'3.2夜本建筑'!Z33:AG43" tooltip="投掷强大的爆炸性空中炸弹" display="09.空炸起源" xr:uid="{00000000-0004-0000-0500-000008000000}"/>
    <hyperlink ref="D13" location="'3.2夜本建筑'!F46:M56" tooltip="四连发的迫击炮造成最广的溅射伤害" display="10.多管迫击炮" xr:uid="{00000000-0004-0000-0500-000009000000}"/>
    <hyperlink ref="D14" location="'3.2夜本建筑'!P46:W56" tooltip="超快连发的溅射防御" display="11.熔岩火炮" xr:uid="{00000000-0004-0000-0500-00000A000000}"/>
    <hyperlink ref="D15" location="'3.2夜本建筑'!Z46:AG56" tooltip="穿透性伤害，后排可要小心了" display="12.巨型大炮" xr:uid="{00000000-0004-0000-0500-00000B000000}"/>
    <hyperlink ref="D16" location="'3.2夜本建筑'!F59:M69" tooltip="超高压电流对单个目标造成致命伤害，并且可以连锁到下一个单位" display="13.超级电塔" xr:uid="{00000000-0004-0000-0500-00000C000000}"/>
    <hyperlink ref="D17" location="'3.2夜本建筑'!P59:W69" tooltip="投掷带有燃烧效果的熔岩西瓜" display="14.西瓜投手" xr:uid="{00000000-0004-0000-0500-00000D000000}"/>
    <hyperlink ref="AJ4" location="'3.2夜本建筑'!AL6:AR16" tooltip="夜本核心建筑，建议速本" display="01.大本营" xr:uid="{00000000-0004-0000-0500-00000E000000}"/>
    <hyperlink ref="AJ5" location="'3.2夜本建筑'!AV6:BB18" tooltip="训练夜本军队" display="02.训练营" xr:uid="{00000000-0004-0000-0500-00000F000000}"/>
    <hyperlink ref="AJ6" location="'3.2夜本建筑'!BF6:BK14" tooltip="小型兵营只能填一种兵" display="03.小型兵营" xr:uid="{00000000-0004-0000-0500-000010000000}"/>
    <hyperlink ref="AJ7" location="'3.2夜本建筑'!AL19:AQ29" tooltip="研究夜本军队" display="04.实验室" xr:uid="{00000000-0004-0000-0500-000011000000}"/>
    <hyperlink ref="AJ8" location="'3.2夜本建筑'!AV19:BB29" tooltip="储存圣水" display="05.圣水瓶" xr:uid="{00000000-0004-0000-0500-000012000000}"/>
    <hyperlink ref="AJ9" location="'3.2夜本建筑'!BF19:BN29" tooltip="生产圣水" display="06.圣水泵" xr:uid="{00000000-0004-0000-0500-000013000000}"/>
    <hyperlink ref="AJ10" location="'3.2夜本建筑'!AL33:AR43" tooltip="储存金币" display="07.储金库" xr:uid="{00000000-0004-0000-0500-000014000000}"/>
    <hyperlink ref="AJ11" location="'3.2夜本建筑'!AV33:BD43" tooltip="采集金币" display="08.采金场" xr:uid="{00000000-0004-0000-0500-000015000000}"/>
    <hyperlink ref="AJ12" location="'3.2夜本建筑'!BF33:BM43" tooltip="采集宝石" display="09.宝石矿井" xr:uid="{00000000-0004-0000-0500-000016000000}"/>
    <hyperlink ref="AJ13" location="'3.2夜本建筑'!AL46:AR56" tooltip="生产时间加速包" display="10.时光钟楼" xr:uid="{00000000-0004-0000-0500-000017000000}"/>
    <hyperlink ref="AJ14" location="'3.2夜本建筑'!AV46:BA56" tooltip="将来犯者弹出或者弹入伏击圈" display="01.弹射陷阱" xr:uid="{00000000-0004-0000-0500-000018000000}"/>
    <hyperlink ref="AJ15" location="'3.2夜本建筑'!BF46:BK51" tooltip="弹出陆军" display="02.隐形弹簧" xr:uid="{00000000-0004-0000-0500-000019000000}"/>
    <hyperlink ref="AJ16" location="'3.2夜本建筑'!AL59:AQ70" tooltip="灵活的小型炸弹" display="03.小型地雷" xr:uid="{00000000-0004-0000-0500-00001A000000}"/>
    <hyperlink ref="AJ17" location="'3.2夜本建筑'!AV59:BA70" tooltip="灵活的大型炸弹" display="04.大型地雷" xr:uid="{00000000-0004-0000-0500-00001B000000}"/>
    <hyperlink ref="D19" location="'3.2夜本建筑'!AJ1：BN70" tooltip="支援防御（陷阱）或者支援建设（真的是支援）" display="&gt;&gt;支援建筑" xr:uid="{00000000-0004-0000-0500-00001C000000}"/>
    <hyperlink ref="D20" location="'3.2夜本建筑'!A1：C11" tooltip="返回主界面" display="○主界面" xr:uid="{00000000-0004-0000-0500-00001D000000}"/>
    <hyperlink ref="AJ21" location="'3.2夜本建筑'!A1：C11" tooltip="返回主界面" display="○主界面" xr:uid="{00000000-0004-0000-0500-00001E000000}"/>
    <hyperlink ref="AJ20" location="'3.2夜本建筑'!D1：AG72" tooltip="夜本的防御建筑，抵御敌军的核心" display="&gt;&gt;防御建筑" xr:uid="{00000000-0004-0000-0500-00001F000000}"/>
    <hyperlink ref="AJ18" location="'3.2夜本建筑'!BF59:BL66" tooltip="第二个建筑工人呢" display="???.奥仔小屋" xr:uid="{00000000-0004-0000-0500-00002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dimension ref="A1:AZ142"/>
  <sheetViews>
    <sheetView workbookViewId="0">
      <selection sqref="A1:C2"/>
    </sheetView>
  </sheetViews>
  <sheetFormatPr defaultColWidth="9" defaultRowHeight="14.15"/>
  <sheetData>
    <row r="1" spans="1:52" ht="14.25" customHeight="1">
      <c r="A1" s="536" t="s">
        <v>1713</v>
      </c>
      <c r="B1" s="536"/>
      <c r="C1" s="536"/>
      <c r="D1" s="537" t="s">
        <v>1714</v>
      </c>
      <c r="E1" s="537"/>
      <c r="F1" s="49"/>
      <c r="G1" s="49"/>
      <c r="H1" s="49"/>
      <c r="I1" s="49"/>
      <c r="J1" s="49"/>
      <c r="K1" s="49"/>
      <c r="L1" s="49"/>
      <c r="M1" s="49"/>
      <c r="N1" s="49"/>
      <c r="O1" s="49"/>
      <c r="P1" s="49"/>
      <c r="Q1" s="49"/>
      <c r="R1" s="49"/>
      <c r="S1" s="49"/>
      <c r="T1" s="49"/>
      <c r="U1" s="49"/>
      <c r="V1" s="49"/>
      <c r="W1" s="49"/>
      <c r="X1" s="49"/>
      <c r="Y1" s="49"/>
      <c r="Z1" s="49"/>
      <c r="AA1" s="49"/>
      <c r="AB1" s="49"/>
      <c r="AC1" s="49"/>
      <c r="AD1" s="49"/>
      <c r="AE1" s="49"/>
      <c r="AF1" s="512" t="s">
        <v>1715</v>
      </c>
      <c r="AG1" s="512"/>
      <c r="AH1" s="133"/>
      <c r="AI1" s="133"/>
      <c r="AJ1" s="133"/>
      <c r="AK1" s="133"/>
      <c r="AL1" s="133"/>
      <c r="AM1" s="133"/>
      <c r="AN1" s="133"/>
      <c r="AO1" s="133"/>
      <c r="AP1" s="133"/>
      <c r="AQ1" s="133"/>
      <c r="AR1" s="133"/>
      <c r="AS1" s="133"/>
      <c r="AT1" s="133"/>
      <c r="AU1" s="133"/>
      <c r="AV1" s="133"/>
      <c r="AW1" s="133"/>
      <c r="AX1" s="336"/>
      <c r="AY1" s="368"/>
      <c r="AZ1" s="368"/>
    </row>
    <row r="2" spans="1:52" ht="15" customHeight="1">
      <c r="A2" s="536"/>
      <c r="B2" s="536"/>
      <c r="C2" s="536"/>
      <c r="D2" s="538"/>
      <c r="E2" s="538"/>
      <c r="F2" s="50"/>
      <c r="G2" s="50"/>
      <c r="H2" s="50"/>
      <c r="I2" s="50"/>
      <c r="J2" s="50"/>
      <c r="K2" s="50"/>
      <c r="L2" s="50"/>
      <c r="M2" s="50"/>
      <c r="N2" s="50"/>
      <c r="O2" s="50"/>
      <c r="P2" s="50"/>
      <c r="Q2" s="50"/>
      <c r="R2" s="50"/>
      <c r="S2" s="50"/>
      <c r="T2" s="50"/>
      <c r="U2" s="50"/>
      <c r="V2" s="50"/>
      <c r="W2" s="50"/>
      <c r="X2" s="50"/>
      <c r="Y2" s="50"/>
      <c r="Z2" s="50"/>
      <c r="AA2" s="50"/>
      <c r="AB2" s="50"/>
      <c r="AC2" s="50"/>
      <c r="AD2" s="50"/>
      <c r="AE2" s="49"/>
      <c r="AF2" s="540"/>
      <c r="AG2" s="540"/>
      <c r="AH2" s="359"/>
      <c r="AI2" s="359"/>
      <c r="AJ2" s="359"/>
      <c r="AK2" s="359"/>
      <c r="AL2" s="359"/>
      <c r="AM2" s="359"/>
      <c r="AN2" s="359"/>
      <c r="AO2" s="359"/>
      <c r="AP2" s="359"/>
      <c r="AQ2" s="359"/>
      <c r="AR2" s="359"/>
      <c r="AS2" s="359"/>
      <c r="AT2" s="359"/>
      <c r="AU2" s="359"/>
      <c r="AV2" s="359"/>
      <c r="AW2" s="133"/>
      <c r="AX2" s="336"/>
      <c r="AY2" s="368"/>
      <c r="AZ2" s="368"/>
    </row>
    <row r="3" spans="1:52">
      <c r="A3" s="539" t="s">
        <v>1716</v>
      </c>
      <c r="B3" s="539"/>
      <c r="C3" s="539"/>
      <c r="D3" s="49" t="s">
        <v>1433</v>
      </c>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137" t="s">
        <v>231</v>
      </c>
      <c r="AG3" s="137"/>
      <c r="AH3" s="133"/>
      <c r="AI3" s="133"/>
      <c r="AJ3" s="133"/>
      <c r="AK3" s="133"/>
      <c r="AL3" s="133"/>
      <c r="AM3" s="133"/>
      <c r="AN3" s="133"/>
      <c r="AO3" s="133"/>
      <c r="AP3" s="133"/>
      <c r="AQ3" s="133"/>
      <c r="AR3" s="133"/>
      <c r="AS3" s="133"/>
      <c r="AT3" s="133"/>
      <c r="AU3" s="133"/>
      <c r="AV3" s="133"/>
      <c r="AW3" s="133"/>
      <c r="AX3" s="336"/>
      <c r="AY3" s="368"/>
      <c r="AZ3" s="368"/>
    </row>
    <row r="4" spans="1:52" ht="14.6">
      <c r="A4" s="539"/>
      <c r="B4" s="539"/>
      <c r="C4" s="539"/>
      <c r="D4" s="201" t="s">
        <v>885</v>
      </c>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341" t="s">
        <v>1717</v>
      </c>
      <c r="AG4" s="137"/>
      <c r="AH4" s="133"/>
      <c r="AI4" s="133"/>
      <c r="AJ4" s="133"/>
      <c r="AK4" s="133"/>
      <c r="AL4" s="133"/>
      <c r="AM4" s="133"/>
      <c r="AN4" s="133"/>
      <c r="AO4" s="133"/>
      <c r="AP4" s="133"/>
      <c r="AQ4" s="133"/>
      <c r="AR4" s="133"/>
      <c r="AS4" s="94"/>
      <c r="AT4" s="362"/>
      <c r="AU4" s="133"/>
      <c r="AV4" s="133"/>
      <c r="AW4" s="133"/>
      <c r="AX4" s="336"/>
      <c r="AY4" s="368"/>
      <c r="AZ4" s="368"/>
    </row>
    <row r="5" spans="1:52" ht="14.6">
      <c r="A5" s="62" t="s">
        <v>238</v>
      </c>
      <c r="B5" s="62" t="s">
        <v>239</v>
      </c>
      <c r="C5" s="62" t="s">
        <v>240</v>
      </c>
      <c r="D5" s="201" t="s">
        <v>1436</v>
      </c>
      <c r="E5" s="49"/>
      <c r="F5" s="49" t="s">
        <v>1718</v>
      </c>
      <c r="G5" s="49"/>
      <c r="H5" s="49" t="s">
        <v>914</v>
      </c>
      <c r="I5" s="49"/>
      <c r="J5" s="49"/>
      <c r="K5" s="49"/>
      <c r="L5" s="49"/>
      <c r="M5" s="49"/>
      <c r="N5" s="49"/>
      <c r="O5" s="49" t="s">
        <v>1719</v>
      </c>
      <c r="P5" s="49"/>
      <c r="Q5" s="49"/>
      <c r="R5" s="49"/>
      <c r="S5" s="137" t="s">
        <v>235</v>
      </c>
      <c r="T5" s="49"/>
      <c r="U5" s="49"/>
      <c r="V5" s="49"/>
      <c r="W5" s="49" t="s">
        <v>1720</v>
      </c>
      <c r="X5" s="49"/>
      <c r="Y5" s="49" t="s">
        <v>1721</v>
      </c>
      <c r="Z5" s="49"/>
      <c r="AA5" s="49"/>
      <c r="AB5" s="49"/>
      <c r="AC5" s="49"/>
      <c r="AD5" s="49"/>
      <c r="AE5" s="49"/>
      <c r="AF5" s="341" t="s">
        <v>1722</v>
      </c>
      <c r="AG5" s="133"/>
      <c r="AH5" s="142" t="s">
        <v>759</v>
      </c>
      <c r="AI5" s="133"/>
      <c r="AJ5" s="133"/>
      <c r="AK5" s="133"/>
      <c r="AL5" s="133"/>
      <c r="AM5" s="133"/>
      <c r="AN5" s="133"/>
      <c r="AO5" s="142" t="s">
        <v>816</v>
      </c>
      <c r="AP5" s="133"/>
      <c r="AQ5" s="133"/>
      <c r="AR5" s="133"/>
      <c r="AS5" s="94"/>
      <c r="AT5" s="362"/>
      <c r="AU5" s="133"/>
      <c r="AV5" s="133"/>
      <c r="AW5" s="133"/>
      <c r="AX5" s="336"/>
      <c r="AY5" s="368"/>
      <c r="AZ5" s="368"/>
    </row>
    <row r="6" spans="1:52" ht="14.6">
      <c r="A6" s="120" t="s">
        <v>1723</v>
      </c>
      <c r="B6" s="87" t="s">
        <v>1724</v>
      </c>
      <c r="C6" s="79"/>
      <c r="D6" s="201" t="s">
        <v>1725</v>
      </c>
      <c r="E6" s="49"/>
      <c r="F6" s="84" t="s">
        <v>242</v>
      </c>
      <c r="G6" s="85"/>
      <c r="H6" s="65" t="s">
        <v>243</v>
      </c>
      <c r="I6" s="65" t="s">
        <v>244</v>
      </c>
      <c r="J6" s="65" t="s">
        <v>245</v>
      </c>
      <c r="K6" s="65" t="s">
        <v>250</v>
      </c>
      <c r="L6" s="65"/>
      <c r="M6" s="49"/>
      <c r="N6" s="49"/>
      <c r="O6" s="84" t="s">
        <v>248</v>
      </c>
      <c r="P6" s="85"/>
      <c r="Q6" s="108" t="s">
        <v>243</v>
      </c>
      <c r="R6" s="65" t="s">
        <v>244</v>
      </c>
      <c r="S6" s="65" t="s">
        <v>245</v>
      </c>
      <c r="T6" s="49"/>
      <c r="U6" s="49"/>
      <c r="V6" s="49"/>
      <c r="W6" s="84" t="s">
        <v>249</v>
      </c>
      <c r="X6" s="85"/>
      <c r="Y6" s="108" t="s">
        <v>243</v>
      </c>
      <c r="Z6" s="65" t="s">
        <v>244</v>
      </c>
      <c r="AA6" s="65" t="s">
        <v>245</v>
      </c>
      <c r="AB6" s="65" t="s">
        <v>250</v>
      </c>
      <c r="AC6" s="65" t="s">
        <v>1726</v>
      </c>
      <c r="AD6" s="49"/>
      <c r="AE6" s="49"/>
      <c r="AF6" s="341" t="s">
        <v>1727</v>
      </c>
      <c r="AG6" s="133"/>
      <c r="AH6" s="134" t="s">
        <v>1728</v>
      </c>
      <c r="AI6" s="135"/>
      <c r="AJ6" s="136" t="s">
        <v>243</v>
      </c>
      <c r="AK6" s="136" t="s">
        <v>686</v>
      </c>
      <c r="AL6" s="136" t="s">
        <v>768</v>
      </c>
      <c r="AM6" s="133"/>
      <c r="AN6" s="137"/>
      <c r="AO6" s="134" t="s">
        <v>1729</v>
      </c>
      <c r="AP6" s="135"/>
      <c r="AQ6" s="136" t="s">
        <v>243</v>
      </c>
      <c r="AR6" s="136" t="s">
        <v>931</v>
      </c>
      <c r="AS6" s="94"/>
      <c r="AT6" s="362"/>
      <c r="AU6" s="133"/>
      <c r="AV6" s="133"/>
      <c r="AW6" s="133"/>
      <c r="AX6" s="336"/>
      <c r="AY6" s="368"/>
      <c r="AZ6" s="368"/>
    </row>
    <row r="7" spans="1:52" ht="14.6">
      <c r="A7" s="120" t="s">
        <v>1730</v>
      </c>
      <c r="B7" s="99" t="s">
        <v>1731</v>
      </c>
      <c r="C7" s="79"/>
      <c r="D7" s="201" t="s">
        <v>1732</v>
      </c>
      <c r="E7" s="49"/>
      <c r="F7" s="70" t="s">
        <v>1733</v>
      </c>
      <c r="G7" s="86"/>
      <c r="H7" s="323">
        <v>1</v>
      </c>
      <c r="I7" s="62">
        <v>800</v>
      </c>
      <c r="J7" s="62">
        <v>120</v>
      </c>
      <c r="K7" s="62">
        <f>J7*0.8</f>
        <v>96</v>
      </c>
      <c r="L7" s="62"/>
      <c r="M7" s="49"/>
      <c r="N7" s="49"/>
      <c r="O7" s="70" t="s">
        <v>444</v>
      </c>
      <c r="P7" s="86"/>
      <c r="Q7" s="323">
        <v>1</v>
      </c>
      <c r="R7" s="62">
        <v>100</v>
      </c>
      <c r="S7" s="62">
        <v>60</v>
      </c>
      <c r="T7" s="49"/>
      <c r="U7" s="49"/>
      <c r="V7" s="49"/>
      <c r="W7" s="70" t="s">
        <v>555</v>
      </c>
      <c r="X7" s="86"/>
      <c r="Y7" s="323">
        <v>1</v>
      </c>
      <c r="Z7" s="62">
        <v>3000</v>
      </c>
      <c r="AA7" s="62">
        <v>100</v>
      </c>
      <c r="AB7" s="62">
        <f>AA7*2</f>
        <v>200</v>
      </c>
      <c r="AC7" s="62">
        <f>AB7*5</f>
        <v>1000</v>
      </c>
      <c r="AD7" s="49"/>
      <c r="AE7" s="49"/>
      <c r="AF7" s="341" t="s">
        <v>1734</v>
      </c>
      <c r="AG7" s="133"/>
      <c r="AH7" s="137" t="s">
        <v>1735</v>
      </c>
      <c r="AI7" s="138"/>
      <c r="AJ7" s="299">
        <v>1</v>
      </c>
      <c r="AK7" s="120">
        <v>80</v>
      </c>
      <c r="AL7" s="360">
        <f>AK7*0.3</f>
        <v>24</v>
      </c>
      <c r="AM7" s="133"/>
      <c r="AN7" s="120"/>
      <c r="AO7" s="137" t="s">
        <v>1735</v>
      </c>
      <c r="AP7" s="138"/>
      <c r="AQ7" s="309">
        <v>1</v>
      </c>
      <c r="AR7" s="120" t="s">
        <v>1736</v>
      </c>
      <c r="AS7" s="94"/>
      <c r="AT7" s="362"/>
      <c r="AU7" s="133"/>
      <c r="AV7" s="133"/>
      <c r="AW7" s="133"/>
      <c r="AX7" s="336"/>
      <c r="AY7" s="368"/>
      <c r="AZ7" s="368"/>
    </row>
    <row r="8" spans="1:52" ht="14.6">
      <c r="A8" s="120" t="s">
        <v>1737</v>
      </c>
      <c r="B8" s="90" t="s">
        <v>1738</v>
      </c>
      <c r="C8" s="79"/>
      <c r="D8" s="201" t="s">
        <v>1739</v>
      </c>
      <c r="E8" s="49"/>
      <c r="F8" s="70" t="s">
        <v>1454</v>
      </c>
      <c r="G8" s="86"/>
      <c r="H8" s="299">
        <v>2</v>
      </c>
      <c r="I8" s="62">
        <v>900</v>
      </c>
      <c r="J8" s="62">
        <v>140</v>
      </c>
      <c r="K8" s="62">
        <f t="shared" ref="K8:K11" si="0">J8*0.8</f>
        <v>112</v>
      </c>
      <c r="L8" s="62"/>
      <c r="M8" s="49"/>
      <c r="N8" s="49"/>
      <c r="O8" s="70" t="s">
        <v>272</v>
      </c>
      <c r="P8" s="86"/>
      <c r="Q8" s="299">
        <v>2</v>
      </c>
      <c r="R8" s="62">
        <v>120</v>
      </c>
      <c r="S8" s="62">
        <v>64</v>
      </c>
      <c r="T8" s="49"/>
      <c r="U8" s="49"/>
      <c r="V8" s="49"/>
      <c r="W8" s="70" t="s">
        <v>273</v>
      </c>
      <c r="X8" s="86"/>
      <c r="Y8" s="299">
        <v>2</v>
      </c>
      <c r="Z8" s="62">
        <v>3300</v>
      </c>
      <c r="AA8" s="62">
        <v>110</v>
      </c>
      <c r="AB8" s="62">
        <f>AA8*2</f>
        <v>220</v>
      </c>
      <c r="AC8" s="62">
        <f t="shared" ref="AC8:AC11" si="1">AB8*5</f>
        <v>1100</v>
      </c>
      <c r="AD8" s="49"/>
      <c r="AE8" s="49"/>
      <c r="AF8" s="341" t="s">
        <v>1740</v>
      </c>
      <c r="AG8" s="133"/>
      <c r="AH8" s="361" t="s">
        <v>1741</v>
      </c>
      <c r="AI8" s="143"/>
      <c r="AJ8" s="309">
        <v>2</v>
      </c>
      <c r="AK8" s="120">
        <v>93</v>
      </c>
      <c r="AL8" s="360">
        <f>AK8*0.3</f>
        <v>27.9</v>
      </c>
      <c r="AM8" s="133"/>
      <c r="AN8" s="150"/>
      <c r="AO8" s="361" t="s">
        <v>1742</v>
      </c>
      <c r="AP8" s="138"/>
      <c r="AQ8" s="309">
        <v>2</v>
      </c>
      <c r="AR8" s="120" t="s">
        <v>1743</v>
      </c>
      <c r="AS8" s="94"/>
      <c r="AT8" s="362"/>
      <c r="AU8" s="133"/>
      <c r="AV8" s="133"/>
      <c r="AW8" s="133"/>
      <c r="AX8" s="336"/>
      <c r="AY8" s="368"/>
      <c r="AZ8" s="368"/>
    </row>
    <row r="9" spans="1:52" ht="14.6">
      <c r="A9" s="120" t="s">
        <v>1744</v>
      </c>
      <c r="B9" s="278" t="s">
        <v>1745</v>
      </c>
      <c r="C9" s="79"/>
      <c r="D9" s="201" t="s">
        <v>1746</v>
      </c>
      <c r="E9" s="49"/>
      <c r="F9" s="88" t="s">
        <v>1747</v>
      </c>
      <c r="G9" s="89"/>
      <c r="H9" s="301">
        <v>3</v>
      </c>
      <c r="I9" s="62">
        <v>1000</v>
      </c>
      <c r="J9" s="62">
        <v>160</v>
      </c>
      <c r="K9" s="62">
        <f t="shared" si="0"/>
        <v>128</v>
      </c>
      <c r="L9" s="62"/>
      <c r="M9" s="62"/>
      <c r="N9" s="49"/>
      <c r="O9" s="88" t="s">
        <v>1747</v>
      </c>
      <c r="P9" s="89"/>
      <c r="Q9" s="301">
        <v>3</v>
      </c>
      <c r="R9" s="62">
        <v>140</v>
      </c>
      <c r="S9" s="62">
        <v>68</v>
      </c>
      <c r="T9" s="49"/>
      <c r="U9" s="49"/>
      <c r="V9" s="49"/>
      <c r="W9" s="88" t="s">
        <v>1748</v>
      </c>
      <c r="X9" s="89"/>
      <c r="Y9" s="301">
        <v>3</v>
      </c>
      <c r="Z9" s="62">
        <v>3600</v>
      </c>
      <c r="AA9" s="62">
        <v>120</v>
      </c>
      <c r="AB9" s="62">
        <f>AA9*2</f>
        <v>240</v>
      </c>
      <c r="AC9" s="62">
        <f t="shared" si="1"/>
        <v>1200</v>
      </c>
      <c r="AD9" s="49"/>
      <c r="AE9" s="49"/>
      <c r="AF9" s="341" t="s">
        <v>1749</v>
      </c>
      <c r="AG9" s="133"/>
      <c r="AH9" s="317" t="s">
        <v>788</v>
      </c>
      <c r="AI9" s="135"/>
      <c r="AJ9" s="310">
        <v>3</v>
      </c>
      <c r="AK9" s="120">
        <v>107</v>
      </c>
      <c r="AL9" s="360">
        <f>AK9*0.3</f>
        <v>32.1</v>
      </c>
      <c r="AM9" s="133"/>
      <c r="AN9" s="150"/>
      <c r="AO9" s="317" t="s">
        <v>788</v>
      </c>
      <c r="AP9" s="135"/>
      <c r="AQ9" s="310">
        <v>3</v>
      </c>
      <c r="AR9" s="120" t="s">
        <v>1750</v>
      </c>
      <c r="AS9" s="94"/>
      <c r="AT9" s="362"/>
      <c r="AU9" s="133"/>
      <c r="AV9" s="133"/>
      <c r="AW9" s="133"/>
      <c r="AX9" s="336"/>
      <c r="AY9" s="368"/>
      <c r="AZ9" s="368"/>
    </row>
    <row r="10" spans="1:52" ht="14.6">
      <c r="A10" s="120" t="s">
        <v>1449</v>
      </c>
      <c r="B10" s="279" t="s">
        <v>1751</v>
      </c>
      <c r="C10" s="79"/>
      <c r="D10" s="201" t="s">
        <v>1752</v>
      </c>
      <c r="E10" s="49"/>
      <c r="F10" s="84" t="s">
        <v>1753</v>
      </c>
      <c r="G10" s="85"/>
      <c r="H10" s="302">
        <v>4</v>
      </c>
      <c r="I10" s="62">
        <v>1100</v>
      </c>
      <c r="J10" s="62">
        <v>180</v>
      </c>
      <c r="K10" s="62">
        <f t="shared" si="0"/>
        <v>144</v>
      </c>
      <c r="L10" s="62"/>
      <c r="M10" s="62"/>
      <c r="N10" s="49"/>
      <c r="O10" s="84" t="s">
        <v>287</v>
      </c>
      <c r="P10" s="85"/>
      <c r="Q10" s="302">
        <v>4</v>
      </c>
      <c r="R10" s="62">
        <v>160</v>
      </c>
      <c r="S10" s="62">
        <v>72</v>
      </c>
      <c r="T10" s="49"/>
      <c r="U10" s="49"/>
      <c r="V10" s="49"/>
      <c r="W10" s="84" t="s">
        <v>287</v>
      </c>
      <c r="X10" s="85"/>
      <c r="Y10" s="302">
        <v>4</v>
      </c>
      <c r="Z10" s="62">
        <v>3900</v>
      </c>
      <c r="AA10" s="62">
        <v>130</v>
      </c>
      <c r="AB10" s="62">
        <f>AA10*2</f>
        <v>260</v>
      </c>
      <c r="AC10" s="62">
        <f t="shared" si="1"/>
        <v>1300</v>
      </c>
      <c r="AD10" s="49"/>
      <c r="AE10" s="49"/>
      <c r="AF10" s="49"/>
      <c r="AG10" s="133"/>
      <c r="AH10" s="142" t="s">
        <v>794</v>
      </c>
      <c r="AI10" s="138"/>
      <c r="AJ10" s="312">
        <v>4</v>
      </c>
      <c r="AK10" s="120">
        <v>120</v>
      </c>
      <c r="AL10" s="360">
        <f>AK10*0.3</f>
        <v>36</v>
      </c>
      <c r="AM10" s="133"/>
      <c r="AN10" s="150"/>
      <c r="AO10" s="142" t="s">
        <v>794</v>
      </c>
      <c r="AP10" s="138"/>
      <c r="AQ10" s="312">
        <v>4</v>
      </c>
      <c r="AR10" s="120" t="s">
        <v>1754</v>
      </c>
      <c r="AS10" s="94"/>
      <c r="AT10" s="362"/>
      <c r="AU10" s="133"/>
      <c r="AV10" s="133"/>
      <c r="AW10" s="133"/>
      <c r="AX10" s="336"/>
      <c r="AY10" s="368"/>
      <c r="AZ10" s="368"/>
    </row>
    <row r="11" spans="1:52" ht="14.6">
      <c r="A11" s="120" t="s">
        <v>1452</v>
      </c>
      <c r="B11" s="280" t="s">
        <v>1755</v>
      </c>
      <c r="C11" s="79"/>
      <c r="D11" s="201" t="s">
        <v>1756</v>
      </c>
      <c r="E11" s="49"/>
      <c r="F11" s="70" t="s">
        <v>1757</v>
      </c>
      <c r="G11" s="86"/>
      <c r="H11" s="303">
        <v>5</v>
      </c>
      <c r="I11" s="62">
        <v>1200</v>
      </c>
      <c r="J11" s="62">
        <v>200</v>
      </c>
      <c r="K11" s="62">
        <f t="shared" si="0"/>
        <v>160</v>
      </c>
      <c r="L11" s="62"/>
      <c r="M11" s="62"/>
      <c r="N11" s="49"/>
      <c r="O11" s="70" t="s">
        <v>1758</v>
      </c>
      <c r="P11" s="86"/>
      <c r="Q11" s="303">
        <v>5</v>
      </c>
      <c r="R11" s="62">
        <v>180</v>
      </c>
      <c r="S11" s="62">
        <v>76</v>
      </c>
      <c r="T11" s="49"/>
      <c r="U11" s="49"/>
      <c r="V11" s="49"/>
      <c r="W11" s="70" t="s">
        <v>956</v>
      </c>
      <c r="X11" s="86"/>
      <c r="Y11" s="303">
        <v>5</v>
      </c>
      <c r="Z11" s="62">
        <v>4200</v>
      </c>
      <c r="AA11" s="62">
        <v>140</v>
      </c>
      <c r="AB11" s="62">
        <f>AA11*2</f>
        <v>280</v>
      </c>
      <c r="AC11" s="62">
        <f t="shared" si="1"/>
        <v>1400</v>
      </c>
      <c r="AD11" s="49"/>
      <c r="AE11" s="49"/>
      <c r="AF11" s="341" t="s">
        <v>1759</v>
      </c>
      <c r="AG11" s="133"/>
      <c r="AH11" s="134" t="s">
        <v>490</v>
      </c>
      <c r="AI11" s="135"/>
      <c r="AJ11" s="313">
        <v>5</v>
      </c>
      <c r="AK11" s="120">
        <v>133</v>
      </c>
      <c r="AL11" s="360">
        <f>AK11*0.3</f>
        <v>39.9</v>
      </c>
      <c r="AM11" s="133"/>
      <c r="AN11" s="150"/>
      <c r="AO11" s="134" t="s">
        <v>385</v>
      </c>
      <c r="AP11" s="135"/>
      <c r="AQ11" s="313">
        <v>5</v>
      </c>
      <c r="AR11" s="120" t="s">
        <v>1760</v>
      </c>
      <c r="AS11" s="94"/>
      <c r="AT11" s="362"/>
      <c r="AU11" s="133"/>
      <c r="AV11" s="133"/>
      <c r="AW11" s="133"/>
      <c r="AX11" s="336"/>
      <c r="AY11" s="368"/>
      <c r="AZ11" s="368"/>
    </row>
    <row r="12" spans="1:52" ht="14.6">
      <c r="A12" s="120" t="s">
        <v>269</v>
      </c>
      <c r="B12" s="304" t="s">
        <v>1761</v>
      </c>
      <c r="C12" s="49"/>
      <c r="D12" s="201" t="s">
        <v>1762</v>
      </c>
      <c r="E12" s="49"/>
      <c r="F12" s="88" t="s">
        <v>905</v>
      </c>
      <c r="G12" s="89"/>
      <c r="H12" s="87"/>
      <c r="I12" s="62"/>
      <c r="J12" s="62"/>
      <c r="K12" s="62"/>
      <c r="L12" s="62"/>
      <c r="M12" s="62"/>
      <c r="N12" s="49"/>
      <c r="O12" s="70" t="s">
        <v>1763</v>
      </c>
      <c r="P12" s="86"/>
      <c r="Q12" s="87"/>
      <c r="R12" s="62"/>
      <c r="S12" s="62"/>
      <c r="T12" s="49"/>
      <c r="U12" s="49"/>
      <c r="V12" s="137"/>
      <c r="W12" s="95" t="s">
        <v>1764</v>
      </c>
      <c r="X12" s="95"/>
      <c r="Y12" s="87"/>
      <c r="Z12" s="62"/>
      <c r="AA12" s="62"/>
      <c r="AB12" s="62"/>
      <c r="AC12" s="288"/>
      <c r="AD12" s="49"/>
      <c r="AE12" s="49"/>
      <c r="AF12" s="341" t="s">
        <v>307</v>
      </c>
      <c r="AG12" s="133"/>
      <c r="AH12" s="133"/>
      <c r="AI12" s="133"/>
      <c r="AJ12" s="122"/>
      <c r="AK12" s="120"/>
      <c r="AL12" s="120"/>
      <c r="AM12" s="120"/>
      <c r="AN12" s="150"/>
      <c r="AO12" s="133"/>
      <c r="AP12" s="364"/>
      <c r="AQ12" s="137" t="s">
        <v>847</v>
      </c>
      <c r="AR12" s="120"/>
      <c r="AS12" s="94"/>
      <c r="AT12" s="362"/>
      <c r="AU12" s="120"/>
      <c r="AV12" s="120"/>
      <c r="AW12" s="120"/>
      <c r="AX12" s="336"/>
      <c r="AY12" s="368"/>
      <c r="AZ12" s="368"/>
    </row>
    <row r="13" spans="1:52" ht="14.6">
      <c r="A13" s="120" t="s">
        <v>276</v>
      </c>
      <c r="B13" s="305" t="s">
        <v>1765</v>
      </c>
      <c r="C13" s="49"/>
      <c r="D13" s="201" t="s">
        <v>1766</v>
      </c>
      <c r="E13" s="49"/>
      <c r="F13" s="70" t="s">
        <v>1767</v>
      </c>
      <c r="G13" s="85"/>
      <c r="H13" s="87"/>
      <c r="I13" s="62"/>
      <c r="J13" s="62"/>
      <c r="K13" s="62"/>
      <c r="L13" s="62"/>
      <c r="M13" s="62"/>
      <c r="N13" s="137"/>
      <c r="O13" s="340" t="s">
        <v>1768</v>
      </c>
      <c r="P13" s="95"/>
      <c r="Q13" s="87"/>
      <c r="R13" s="62"/>
      <c r="S13" s="62"/>
      <c r="T13" s="49"/>
      <c r="U13" s="49"/>
      <c r="V13" s="137"/>
      <c r="W13" s="340" t="s">
        <v>1769</v>
      </c>
      <c r="X13" s="95"/>
      <c r="Y13" s="87"/>
      <c r="Z13" s="62"/>
      <c r="AA13" s="62"/>
      <c r="AB13" s="62"/>
      <c r="AC13" s="288"/>
      <c r="AD13" s="49"/>
      <c r="AE13" s="49"/>
      <c r="AF13" s="133"/>
      <c r="AG13" s="133"/>
      <c r="AH13" s="133"/>
      <c r="AI13" s="133"/>
      <c r="AJ13" s="122"/>
      <c r="AK13" s="120"/>
      <c r="AL13" s="120"/>
      <c r="AM13" s="120"/>
      <c r="AN13" s="150"/>
      <c r="AO13" s="133"/>
      <c r="AP13" s="133"/>
      <c r="AQ13" s="365" t="s">
        <v>1770</v>
      </c>
      <c r="AR13" s="120"/>
      <c r="AS13" s="94"/>
      <c r="AT13" s="362"/>
      <c r="AU13" s="120"/>
      <c r="AV13" s="120"/>
      <c r="AW13" s="120"/>
      <c r="AX13" s="336"/>
      <c r="AY13" s="368"/>
      <c r="AZ13" s="368"/>
    </row>
    <row r="14" spans="1:52" ht="14.6">
      <c r="A14" s="120" t="s">
        <v>284</v>
      </c>
      <c r="B14" s="306" t="s">
        <v>1771</v>
      </c>
      <c r="C14" s="49"/>
      <c r="D14" s="201" t="s">
        <v>1772</v>
      </c>
      <c r="E14" s="49"/>
      <c r="F14" s="70" t="s">
        <v>1773</v>
      </c>
      <c r="G14" s="70"/>
      <c r="H14" s="70"/>
      <c r="I14" s="70"/>
      <c r="J14" s="62"/>
      <c r="K14" s="62"/>
      <c r="L14" s="62"/>
      <c r="M14" s="62"/>
      <c r="N14" s="137"/>
      <c r="O14" s="150"/>
      <c r="P14" s="350"/>
      <c r="Q14" s="137"/>
      <c r="R14" s="70"/>
      <c r="S14" s="49"/>
      <c r="T14" s="49"/>
      <c r="U14" s="49"/>
      <c r="V14" s="137"/>
      <c r="W14" s="95"/>
      <c r="X14" s="95"/>
      <c r="Y14" s="87"/>
      <c r="Z14" s="62"/>
      <c r="AA14" s="62"/>
      <c r="AB14" s="62"/>
      <c r="AC14" s="288"/>
      <c r="AD14" s="49"/>
      <c r="AE14" s="49"/>
      <c r="AF14" s="133"/>
      <c r="AG14" s="133"/>
      <c r="AH14" s="133"/>
      <c r="AI14" s="133"/>
      <c r="AJ14" s="122"/>
      <c r="AK14" s="120"/>
      <c r="AL14" s="120"/>
      <c r="AM14" s="120"/>
      <c r="AN14" s="150"/>
      <c r="AO14" s="133"/>
      <c r="AP14" s="133"/>
      <c r="AQ14" s="133"/>
      <c r="AR14" s="133"/>
      <c r="AS14" s="94"/>
      <c r="AT14" s="362"/>
      <c r="AU14" s="133"/>
      <c r="AV14" s="133"/>
      <c r="AW14" s="133"/>
      <c r="AX14" s="336"/>
      <c r="AY14" s="368"/>
      <c r="AZ14" s="368"/>
    </row>
    <row r="15" spans="1:52" ht="14.6">
      <c r="A15" s="120" t="s">
        <v>289</v>
      </c>
      <c r="B15" s="307" t="s">
        <v>1774</v>
      </c>
      <c r="C15" s="49"/>
      <c r="D15" s="201" t="s">
        <v>1775</v>
      </c>
      <c r="E15" s="49"/>
      <c r="F15" s="49"/>
      <c r="G15" s="49"/>
      <c r="H15" s="49"/>
      <c r="I15" s="49"/>
      <c r="J15" s="62"/>
      <c r="K15" s="62"/>
      <c r="L15" s="62"/>
      <c r="M15" s="62"/>
      <c r="N15" s="62"/>
      <c r="O15" s="150"/>
      <c r="P15" s="351"/>
      <c r="Q15" s="49"/>
      <c r="R15" s="49"/>
      <c r="S15" s="49"/>
      <c r="T15" s="49"/>
      <c r="U15" s="49"/>
      <c r="V15" s="49"/>
      <c r="W15" s="49"/>
      <c r="X15" s="62"/>
      <c r="Y15" s="62"/>
      <c r="Z15" s="150"/>
      <c r="AA15" s="351"/>
      <c r="AB15" s="49"/>
      <c r="AC15" s="49"/>
      <c r="AD15" s="49"/>
      <c r="AE15" s="49"/>
      <c r="AF15" s="142"/>
      <c r="AG15" s="133"/>
      <c r="AH15" s="133"/>
      <c r="AI15" s="133"/>
      <c r="AJ15" s="122"/>
      <c r="AK15" s="120"/>
      <c r="AL15" s="120"/>
      <c r="AM15" s="120"/>
      <c r="AN15" s="150"/>
      <c r="AO15" s="149"/>
      <c r="AP15" s="133"/>
      <c r="AQ15" s="133"/>
      <c r="AR15" s="133"/>
      <c r="AS15" s="94"/>
      <c r="AT15" s="362"/>
      <c r="AU15" s="120"/>
      <c r="AV15" s="120"/>
      <c r="AW15" s="120"/>
      <c r="AX15" s="336"/>
      <c r="AY15" s="368"/>
      <c r="AZ15" s="368"/>
    </row>
    <row r="16" spans="1:52" ht="14.6">
      <c r="A16" s="49"/>
      <c r="B16" s="62"/>
      <c r="C16" s="49"/>
      <c r="D16" s="201" t="s">
        <v>1776</v>
      </c>
      <c r="E16" s="49"/>
      <c r="F16" s="49"/>
      <c r="G16" s="49"/>
      <c r="H16" s="49"/>
      <c r="I16" s="49"/>
      <c r="J16" s="62"/>
      <c r="K16" s="62"/>
      <c r="L16" s="62"/>
      <c r="M16" s="62"/>
      <c r="N16" s="62"/>
      <c r="O16" s="150"/>
      <c r="P16" s="351"/>
      <c r="Q16" s="49"/>
      <c r="R16" s="49"/>
      <c r="S16" s="49"/>
      <c r="T16" s="49"/>
      <c r="U16" s="49"/>
      <c r="V16" s="49"/>
      <c r="W16" s="49"/>
      <c r="X16" s="62"/>
      <c r="Y16" s="62"/>
      <c r="Z16" s="150"/>
      <c r="AA16" s="351"/>
      <c r="AB16" s="49"/>
      <c r="AC16" s="49"/>
      <c r="AD16" s="49"/>
      <c r="AE16" s="49"/>
      <c r="AF16" s="142"/>
      <c r="AG16" s="137"/>
      <c r="AH16" s="142" t="s">
        <v>758</v>
      </c>
      <c r="AI16" s="133"/>
      <c r="AJ16" s="133"/>
      <c r="AK16" s="133"/>
      <c r="AL16" s="120"/>
      <c r="AM16" s="120"/>
      <c r="AN16" s="133"/>
      <c r="AO16" s="142" t="s">
        <v>1777</v>
      </c>
      <c r="AP16" s="133"/>
      <c r="AQ16" s="133"/>
      <c r="AR16" s="133"/>
      <c r="AS16" s="94"/>
      <c r="AT16" s="362"/>
      <c r="AU16" s="133"/>
      <c r="AV16" s="133"/>
      <c r="AW16" s="133"/>
      <c r="AX16" s="368"/>
      <c r="AY16" s="368"/>
      <c r="AZ16" s="368"/>
    </row>
    <row r="17" spans="1:52" ht="14.6">
      <c r="A17" s="49"/>
      <c r="B17" s="49"/>
      <c r="C17" s="49"/>
      <c r="D17" s="201" t="s">
        <v>1778</v>
      </c>
      <c r="E17" s="49"/>
      <c r="F17" s="49"/>
      <c r="G17" s="49"/>
      <c r="H17" s="49"/>
      <c r="I17" s="49"/>
      <c r="J17" s="62"/>
      <c r="K17" s="62"/>
      <c r="L17" s="62"/>
      <c r="M17" s="62"/>
      <c r="N17" s="62"/>
      <c r="O17" s="150"/>
      <c r="P17" s="351"/>
      <c r="Q17" s="49"/>
      <c r="R17" s="49"/>
      <c r="S17" s="49"/>
      <c r="T17" s="49"/>
      <c r="U17" s="49"/>
      <c r="V17" s="49"/>
      <c r="W17" s="49"/>
      <c r="X17" s="62"/>
      <c r="Y17" s="62"/>
      <c r="Z17" s="150"/>
      <c r="AA17" s="351"/>
      <c r="AB17" s="49"/>
      <c r="AC17" s="49"/>
      <c r="AD17" s="49"/>
      <c r="AE17" s="49"/>
      <c r="AF17" s="142"/>
      <c r="AG17" s="133"/>
      <c r="AH17" s="134" t="s">
        <v>1779</v>
      </c>
      <c r="AI17" s="135"/>
      <c r="AJ17" s="136" t="s">
        <v>243</v>
      </c>
      <c r="AK17" s="136" t="s">
        <v>764</v>
      </c>
      <c r="AL17" s="120"/>
      <c r="AM17" s="120"/>
      <c r="AN17" s="133"/>
      <c r="AO17" s="366" t="s">
        <v>1735</v>
      </c>
      <c r="AP17" s="135"/>
      <c r="AQ17" s="136" t="s">
        <v>243</v>
      </c>
      <c r="AR17" s="136" t="s">
        <v>931</v>
      </c>
      <c r="AS17" s="94"/>
      <c r="AT17" s="362"/>
      <c r="AU17" s="133"/>
      <c r="AV17" s="133"/>
      <c r="AW17" s="133"/>
      <c r="AX17" s="368"/>
      <c r="AY17" s="368"/>
      <c r="AZ17" s="368"/>
    </row>
    <row r="18" spans="1:52" ht="14.6">
      <c r="A18" s="49"/>
      <c r="B18" s="49"/>
      <c r="C18" s="49"/>
      <c r="D18" s="201" t="s">
        <v>1780</v>
      </c>
      <c r="E18" s="49"/>
      <c r="F18" s="340" t="s">
        <v>1781</v>
      </c>
      <c r="G18" s="49"/>
      <c r="H18" s="49"/>
      <c r="I18" s="49"/>
      <c r="J18" s="49"/>
      <c r="K18" s="49"/>
      <c r="L18" s="49" t="s">
        <v>1782</v>
      </c>
      <c r="M18" s="49"/>
      <c r="N18" s="62"/>
      <c r="O18" s="49" t="s">
        <v>1783</v>
      </c>
      <c r="P18" s="49"/>
      <c r="Q18" s="49"/>
      <c r="R18" s="49"/>
      <c r="S18" s="49"/>
      <c r="T18" s="137" t="s">
        <v>515</v>
      </c>
      <c r="U18" s="49"/>
      <c r="V18" s="49"/>
      <c r="W18" s="49" t="s">
        <v>1784</v>
      </c>
      <c r="X18" s="49"/>
      <c r="Y18" s="49"/>
      <c r="Z18" s="49"/>
      <c r="AA18" s="49"/>
      <c r="AB18" s="49"/>
      <c r="AC18" s="49"/>
      <c r="AD18" s="49"/>
      <c r="AE18" s="49"/>
      <c r="AF18" s="133"/>
      <c r="AG18" s="133"/>
      <c r="AH18" s="137" t="s">
        <v>772</v>
      </c>
      <c r="AI18" s="138"/>
      <c r="AJ18" s="301">
        <v>1</v>
      </c>
      <c r="AK18" s="120">
        <v>250</v>
      </c>
      <c r="AL18" s="120"/>
      <c r="AM18" s="120"/>
      <c r="AN18" s="133"/>
      <c r="AO18" s="137"/>
      <c r="AP18" s="138"/>
      <c r="AQ18" s="302">
        <v>1</v>
      </c>
      <c r="AR18" s="362" t="s">
        <v>1785</v>
      </c>
      <c r="AS18" s="94"/>
      <c r="AT18" s="362"/>
      <c r="AU18" s="133"/>
      <c r="AV18" s="133"/>
      <c r="AW18" s="133"/>
      <c r="AX18" s="368"/>
      <c r="AY18" s="368"/>
      <c r="AZ18" s="368"/>
    </row>
    <row r="19" spans="1:52">
      <c r="A19" s="49"/>
      <c r="B19" s="49"/>
      <c r="C19" s="49"/>
      <c r="D19" s="49"/>
      <c r="E19" s="49"/>
      <c r="F19" s="84" t="s">
        <v>352</v>
      </c>
      <c r="G19" s="85"/>
      <c r="H19" s="65" t="s">
        <v>238</v>
      </c>
      <c r="I19" s="65" t="s">
        <v>244</v>
      </c>
      <c r="J19" s="65" t="s">
        <v>353</v>
      </c>
      <c r="K19" s="65" t="s">
        <v>355</v>
      </c>
      <c r="L19" s="108" t="s">
        <v>244</v>
      </c>
      <c r="M19" s="65" t="s">
        <v>245</v>
      </c>
      <c r="N19" s="62"/>
      <c r="O19" s="84" t="s">
        <v>248</v>
      </c>
      <c r="P19" s="85"/>
      <c r="Q19" s="108" t="s">
        <v>243</v>
      </c>
      <c r="R19" s="65" t="s">
        <v>244</v>
      </c>
      <c r="S19" s="65" t="s">
        <v>245</v>
      </c>
      <c r="T19" s="65" t="s">
        <v>250</v>
      </c>
      <c r="U19" s="49"/>
      <c r="V19" s="49"/>
      <c r="W19" s="84" t="s">
        <v>248</v>
      </c>
      <c r="X19" s="85"/>
      <c r="Y19" s="108" t="s">
        <v>243</v>
      </c>
      <c r="Z19" s="65" t="s">
        <v>244</v>
      </c>
      <c r="AA19" s="65" t="s">
        <v>245</v>
      </c>
      <c r="AB19" s="65" t="s">
        <v>1255</v>
      </c>
      <c r="AC19" s="65" t="s">
        <v>1786</v>
      </c>
      <c r="AD19" s="49"/>
      <c r="AE19" s="49"/>
      <c r="AF19" s="133"/>
      <c r="AG19" s="133"/>
      <c r="AH19" s="137" t="s">
        <v>777</v>
      </c>
      <c r="AI19" s="138"/>
      <c r="AJ19" s="301">
        <v>2</v>
      </c>
      <c r="AK19" s="120">
        <v>300</v>
      </c>
      <c r="AL19" s="120"/>
      <c r="AM19" s="120"/>
      <c r="AN19" s="133"/>
      <c r="AO19" s="317" t="s">
        <v>788</v>
      </c>
      <c r="AP19" s="367"/>
      <c r="AQ19" s="302">
        <v>2</v>
      </c>
      <c r="AR19" s="362" t="s">
        <v>1787</v>
      </c>
      <c r="AS19" s="94"/>
      <c r="AT19" s="362"/>
      <c r="AU19" s="133"/>
      <c r="AV19" s="133"/>
      <c r="AW19" s="133"/>
      <c r="AX19" s="368"/>
      <c r="AY19" s="368"/>
      <c r="AZ19" s="368"/>
    </row>
    <row r="20" spans="1:52">
      <c r="A20" s="49"/>
      <c r="B20" s="49"/>
      <c r="C20" s="49"/>
      <c r="D20" s="79" t="s">
        <v>1788</v>
      </c>
      <c r="E20" s="49"/>
      <c r="F20" s="70" t="s">
        <v>555</v>
      </c>
      <c r="G20" s="86"/>
      <c r="H20" s="323">
        <v>1</v>
      </c>
      <c r="I20" s="62">
        <v>800</v>
      </c>
      <c r="J20" s="62">
        <v>125</v>
      </c>
      <c r="K20" s="62">
        <f>J20*40</f>
        <v>5000</v>
      </c>
      <c r="L20" s="109">
        <v>150</v>
      </c>
      <c r="M20" s="62">
        <v>25</v>
      </c>
      <c r="N20" s="62"/>
      <c r="O20" s="70" t="s">
        <v>1789</v>
      </c>
      <c r="P20" s="86"/>
      <c r="Q20" s="299">
        <v>1</v>
      </c>
      <c r="R20" s="62">
        <v>60</v>
      </c>
      <c r="S20" s="62">
        <v>56</v>
      </c>
      <c r="T20" s="62">
        <v>56</v>
      </c>
      <c r="U20" s="49"/>
      <c r="V20" s="49"/>
      <c r="W20" s="70" t="s">
        <v>689</v>
      </c>
      <c r="X20" s="86"/>
      <c r="Y20" s="299">
        <v>1</v>
      </c>
      <c r="Z20" s="62">
        <v>600</v>
      </c>
      <c r="AA20" s="62">
        <v>160</v>
      </c>
      <c r="AB20" s="62">
        <f>AA20*2</f>
        <v>320</v>
      </c>
      <c r="AC20" s="62">
        <f>AB20*0.4</f>
        <v>128</v>
      </c>
      <c r="AD20" s="49"/>
      <c r="AE20" s="49"/>
      <c r="AF20" s="133"/>
      <c r="AG20" s="133"/>
      <c r="AH20" s="317" t="s">
        <v>788</v>
      </c>
      <c r="AI20" s="135"/>
      <c r="AJ20" s="302">
        <v>3</v>
      </c>
      <c r="AK20" s="120">
        <v>350</v>
      </c>
      <c r="AL20" s="120"/>
      <c r="AM20" s="120"/>
      <c r="AN20" s="137"/>
      <c r="AO20" s="142" t="s">
        <v>794</v>
      </c>
      <c r="AP20" s="143"/>
      <c r="AQ20" s="302">
        <v>3</v>
      </c>
      <c r="AR20" s="362" t="s">
        <v>1790</v>
      </c>
      <c r="AS20" s="94"/>
      <c r="AT20" s="362"/>
      <c r="AU20" s="120"/>
      <c r="AV20" s="137"/>
      <c r="AW20" s="137"/>
      <c r="AX20" s="368"/>
      <c r="AY20" s="368"/>
      <c r="AZ20" s="368"/>
    </row>
    <row r="21" spans="1:52" ht="14.6">
      <c r="A21" s="49"/>
      <c r="B21" s="49"/>
      <c r="C21" s="49"/>
      <c r="D21" s="341" t="s">
        <v>307</v>
      </c>
      <c r="E21" s="49"/>
      <c r="F21" s="88" t="s">
        <v>736</v>
      </c>
      <c r="G21" s="86"/>
      <c r="H21" s="299">
        <v>2</v>
      </c>
      <c r="I21" s="62">
        <v>900</v>
      </c>
      <c r="J21" s="62">
        <v>162</v>
      </c>
      <c r="K21" s="62">
        <f t="shared" ref="K21:K24" si="2">J21*40</f>
        <v>6480</v>
      </c>
      <c r="L21" s="109">
        <v>175</v>
      </c>
      <c r="M21" s="62">
        <v>30</v>
      </c>
      <c r="N21" s="62"/>
      <c r="O21" s="70" t="s">
        <v>272</v>
      </c>
      <c r="P21" s="86"/>
      <c r="Q21" s="299">
        <v>2</v>
      </c>
      <c r="R21" s="62">
        <v>70</v>
      </c>
      <c r="S21" s="62">
        <v>62</v>
      </c>
      <c r="T21" s="62">
        <v>62</v>
      </c>
      <c r="U21" s="49"/>
      <c r="V21" s="49"/>
      <c r="W21" s="70" t="s">
        <v>273</v>
      </c>
      <c r="X21" s="86"/>
      <c r="Y21" s="309">
        <v>2</v>
      </c>
      <c r="Z21" s="62">
        <v>700</v>
      </c>
      <c r="AA21" s="62">
        <v>180</v>
      </c>
      <c r="AB21" s="62">
        <f>AA21*2</f>
        <v>360</v>
      </c>
      <c r="AC21" s="62">
        <f t="shared" ref="AC21:AC24" si="3">AB21*0.4</f>
        <v>144</v>
      </c>
      <c r="AD21" s="49"/>
      <c r="AE21" s="49"/>
      <c r="AF21" s="133"/>
      <c r="AG21" s="133"/>
      <c r="AH21" s="137" t="s">
        <v>1791</v>
      </c>
      <c r="AI21" s="138"/>
      <c r="AJ21" s="312">
        <v>4</v>
      </c>
      <c r="AK21" s="120">
        <v>400</v>
      </c>
      <c r="AL21" s="120"/>
      <c r="AM21" s="120"/>
      <c r="AN21" s="149"/>
      <c r="AO21" s="134" t="s">
        <v>422</v>
      </c>
      <c r="AP21" s="135"/>
      <c r="AQ21" s="303">
        <v>4</v>
      </c>
      <c r="AR21" s="362" t="s">
        <v>1792</v>
      </c>
      <c r="AS21" s="94"/>
      <c r="AT21" s="362"/>
      <c r="AU21" s="120"/>
      <c r="AV21" s="120"/>
      <c r="AW21" s="149"/>
      <c r="AX21" s="368"/>
      <c r="AY21" s="368"/>
      <c r="AZ21" s="368"/>
    </row>
    <row r="22" spans="1:52">
      <c r="A22" s="49"/>
      <c r="B22" s="49"/>
      <c r="C22" s="49"/>
      <c r="D22" s="49"/>
      <c r="E22" s="49"/>
      <c r="F22" s="342" t="s">
        <v>1053</v>
      </c>
      <c r="G22" s="85"/>
      <c r="H22" s="301">
        <v>3</v>
      </c>
      <c r="I22" s="62">
        <v>1000</v>
      </c>
      <c r="J22" s="62">
        <v>200</v>
      </c>
      <c r="K22" s="62">
        <f t="shared" si="2"/>
        <v>8000</v>
      </c>
      <c r="L22" s="109">
        <v>200</v>
      </c>
      <c r="M22" s="62">
        <v>35</v>
      </c>
      <c r="N22" s="62"/>
      <c r="O22" s="88" t="s">
        <v>280</v>
      </c>
      <c r="P22" s="89"/>
      <c r="Q22" s="301">
        <v>3</v>
      </c>
      <c r="R22" s="62">
        <v>80</v>
      </c>
      <c r="S22" s="62">
        <v>68</v>
      </c>
      <c r="T22" s="62">
        <v>68</v>
      </c>
      <c r="U22" s="49"/>
      <c r="V22" s="49"/>
      <c r="W22" s="88" t="s">
        <v>465</v>
      </c>
      <c r="X22" s="89"/>
      <c r="Y22" s="310">
        <v>3</v>
      </c>
      <c r="Z22" s="62">
        <v>800</v>
      </c>
      <c r="AA22" s="62">
        <v>200</v>
      </c>
      <c r="AB22" s="62">
        <f>AA22*2</f>
        <v>400</v>
      </c>
      <c r="AC22" s="62">
        <f t="shared" si="3"/>
        <v>160</v>
      </c>
      <c r="AD22" s="49"/>
      <c r="AE22" s="49"/>
      <c r="AF22" s="133"/>
      <c r="AG22" s="133"/>
      <c r="AH22" s="134" t="s">
        <v>305</v>
      </c>
      <c r="AI22" s="135"/>
      <c r="AJ22" s="313">
        <v>5</v>
      </c>
      <c r="AK22" s="120">
        <v>450</v>
      </c>
      <c r="AL22" s="150"/>
      <c r="AM22" s="149"/>
      <c r="AN22" s="149"/>
      <c r="AO22" s="133"/>
      <c r="AP22" s="138"/>
      <c r="AQ22" s="313">
        <v>5</v>
      </c>
      <c r="AR22" s="362" t="s">
        <v>1793</v>
      </c>
      <c r="AS22" s="94"/>
      <c r="AT22" s="362"/>
      <c r="AU22" s="120"/>
      <c r="AV22" s="150"/>
      <c r="AW22" s="149"/>
      <c r="AX22" s="368"/>
      <c r="AY22" s="368"/>
      <c r="AZ22" s="368"/>
    </row>
    <row r="23" spans="1:52" ht="17.600000000000001">
      <c r="A23" s="343"/>
      <c r="B23" s="49"/>
      <c r="C23" s="49"/>
      <c r="D23" s="49"/>
      <c r="E23" s="49"/>
      <c r="F23" s="49" t="s">
        <v>662</v>
      </c>
      <c r="G23" s="86"/>
      <c r="H23" s="302">
        <v>4</v>
      </c>
      <c r="I23" s="62">
        <v>1100</v>
      </c>
      <c r="J23" s="62">
        <v>237</v>
      </c>
      <c r="K23" s="62">
        <f t="shared" si="2"/>
        <v>9480</v>
      </c>
      <c r="L23" s="109">
        <v>225</v>
      </c>
      <c r="M23" s="62">
        <v>40</v>
      </c>
      <c r="N23" s="62"/>
      <c r="O23" s="84" t="s">
        <v>287</v>
      </c>
      <c r="P23" s="85"/>
      <c r="Q23" s="302">
        <v>4</v>
      </c>
      <c r="R23" s="62">
        <v>90</v>
      </c>
      <c r="S23" s="62">
        <v>74</v>
      </c>
      <c r="T23" s="62">
        <v>74</v>
      </c>
      <c r="U23" s="49"/>
      <c r="V23" s="49"/>
      <c r="W23" s="84" t="s">
        <v>1794</v>
      </c>
      <c r="X23" s="85"/>
      <c r="Y23" s="312">
        <v>4</v>
      </c>
      <c r="Z23" s="62">
        <v>900</v>
      </c>
      <c r="AA23" s="62">
        <v>220</v>
      </c>
      <c r="AB23" s="62">
        <f>AA23*2</f>
        <v>440</v>
      </c>
      <c r="AC23" s="62">
        <f t="shared" si="3"/>
        <v>176</v>
      </c>
      <c r="AD23" s="49"/>
      <c r="AE23" s="49"/>
      <c r="AF23" s="133"/>
      <c r="AG23" s="133"/>
      <c r="AH23" s="137"/>
      <c r="AI23" s="137"/>
      <c r="AJ23" s="91"/>
      <c r="AK23" s="120"/>
      <c r="AL23" s="150"/>
      <c r="AM23" s="149"/>
      <c r="AN23" s="149"/>
      <c r="AO23" s="133"/>
      <c r="AP23" s="133"/>
      <c r="AQ23" s="133"/>
      <c r="AR23" s="133"/>
      <c r="AS23" s="94"/>
      <c r="AT23" s="362"/>
      <c r="AU23" s="120"/>
      <c r="AV23" s="150"/>
      <c r="AW23" s="149"/>
      <c r="AX23" s="368"/>
      <c r="AY23" s="368"/>
      <c r="AZ23" s="368"/>
    </row>
    <row r="24" spans="1:52">
      <c r="A24" s="49"/>
      <c r="B24" s="49"/>
      <c r="C24" s="49"/>
      <c r="D24" s="49"/>
      <c r="E24" s="49"/>
      <c r="F24" s="84" t="s">
        <v>1795</v>
      </c>
      <c r="G24" s="85"/>
      <c r="H24" s="303">
        <v>5</v>
      </c>
      <c r="I24" s="62">
        <v>1200</v>
      </c>
      <c r="J24" s="62">
        <v>275</v>
      </c>
      <c r="K24" s="62">
        <f t="shared" si="2"/>
        <v>11000</v>
      </c>
      <c r="L24" s="109">
        <v>250</v>
      </c>
      <c r="M24" s="62">
        <v>45</v>
      </c>
      <c r="N24" s="62"/>
      <c r="O24" s="70" t="s">
        <v>1796</v>
      </c>
      <c r="P24" s="86"/>
      <c r="Q24" s="303">
        <v>5</v>
      </c>
      <c r="R24" s="62">
        <v>100</v>
      </c>
      <c r="S24" s="62">
        <v>80</v>
      </c>
      <c r="T24" s="62">
        <v>80</v>
      </c>
      <c r="U24" s="49"/>
      <c r="V24" s="49"/>
      <c r="W24" s="70" t="s">
        <v>1764</v>
      </c>
      <c r="X24" s="86"/>
      <c r="Y24" s="313">
        <v>5</v>
      </c>
      <c r="Z24" s="62">
        <v>1000</v>
      </c>
      <c r="AA24" s="62">
        <v>240</v>
      </c>
      <c r="AB24" s="62">
        <f>AA24*2</f>
        <v>480</v>
      </c>
      <c r="AC24" s="62">
        <f t="shared" si="3"/>
        <v>192</v>
      </c>
      <c r="AD24" s="49"/>
      <c r="AE24" s="49"/>
      <c r="AF24" s="133"/>
      <c r="AG24" s="133"/>
      <c r="AH24" s="137"/>
      <c r="AI24" s="137"/>
      <c r="AJ24" s="92"/>
      <c r="AK24" s="120"/>
      <c r="AL24" s="150"/>
      <c r="AM24" s="149"/>
      <c r="AN24" s="149"/>
      <c r="AO24" s="133"/>
      <c r="AP24" s="133"/>
      <c r="AQ24" s="133"/>
      <c r="AR24" s="133"/>
      <c r="AS24" s="137"/>
      <c r="AT24" s="120"/>
      <c r="AU24" s="120"/>
      <c r="AV24" s="150"/>
      <c r="AW24" s="149"/>
      <c r="AX24" s="368"/>
      <c r="AY24" s="368"/>
      <c r="AZ24" s="368"/>
    </row>
    <row r="25" spans="1:52">
      <c r="A25" s="49"/>
      <c r="B25" s="49"/>
      <c r="C25" s="49"/>
      <c r="D25" s="49"/>
      <c r="E25" s="49"/>
      <c r="F25" s="70" t="s">
        <v>1773</v>
      </c>
      <c r="G25" s="49"/>
      <c r="H25" s="90"/>
      <c r="I25" s="62"/>
      <c r="J25" s="62"/>
      <c r="K25" s="62"/>
      <c r="L25" s="70" t="s">
        <v>1797</v>
      </c>
      <c r="M25" s="62"/>
      <c r="N25" s="62"/>
      <c r="O25" s="70" t="s">
        <v>1798</v>
      </c>
      <c r="P25" s="351"/>
      <c r="Q25" s="49"/>
      <c r="R25" s="49"/>
      <c r="S25" s="49"/>
      <c r="T25" s="49"/>
      <c r="U25" s="49"/>
      <c r="V25" s="49"/>
      <c r="W25" s="340" t="s">
        <v>1769</v>
      </c>
      <c r="X25" s="62"/>
      <c r="Y25" s="62"/>
      <c r="Z25" s="62"/>
      <c r="AA25" s="62"/>
      <c r="AB25" s="62"/>
      <c r="AC25" s="288"/>
      <c r="AD25" s="49"/>
      <c r="AE25" s="49"/>
      <c r="AF25" s="133"/>
      <c r="AG25" s="133"/>
      <c r="AH25" s="137"/>
      <c r="AI25" s="137"/>
      <c r="AJ25" s="93"/>
      <c r="AK25" s="120"/>
      <c r="AL25" s="150"/>
      <c r="AM25" s="149"/>
      <c r="AN25" s="149"/>
      <c r="AO25" s="133"/>
      <c r="AP25" s="133"/>
      <c r="AQ25" s="133"/>
      <c r="AR25" s="133"/>
      <c r="AS25" s="133"/>
      <c r="AT25" s="133"/>
      <c r="AU25" s="133"/>
      <c r="AV25" s="133"/>
      <c r="AW25" s="133"/>
      <c r="AX25" s="368"/>
      <c r="AY25" s="368"/>
      <c r="AZ25" s="368"/>
    </row>
    <row r="26" spans="1:52" ht="14.6">
      <c r="A26" s="49"/>
      <c r="B26" s="49"/>
      <c r="C26" s="49"/>
      <c r="D26" s="201"/>
      <c r="E26" s="49"/>
      <c r="F26" s="49"/>
      <c r="G26" s="49"/>
      <c r="H26" s="90"/>
      <c r="I26" s="62"/>
      <c r="J26" s="62"/>
      <c r="K26" s="62"/>
      <c r="L26" s="62"/>
      <c r="M26" s="62"/>
      <c r="N26" s="62"/>
      <c r="O26" s="150"/>
      <c r="P26" s="351"/>
      <c r="Q26" s="49"/>
      <c r="R26" s="49"/>
      <c r="S26" s="49"/>
      <c r="T26" s="49"/>
      <c r="U26" s="49"/>
      <c r="V26" s="49"/>
      <c r="W26" s="62"/>
      <c r="X26" s="62"/>
      <c r="Y26" s="62"/>
      <c r="Z26" s="62"/>
      <c r="AA26" s="62"/>
      <c r="AB26" s="62"/>
      <c r="AC26" s="288"/>
      <c r="AD26" s="49"/>
      <c r="AE26" s="49"/>
      <c r="AF26" s="133"/>
      <c r="AG26" s="133"/>
      <c r="AH26" s="142" t="s">
        <v>815</v>
      </c>
      <c r="AI26" s="133"/>
      <c r="AJ26" s="133"/>
      <c r="AK26" s="133"/>
      <c r="AL26" s="133"/>
      <c r="AM26" s="149"/>
      <c r="AN26" s="149"/>
      <c r="AO26" s="142" t="s">
        <v>1799</v>
      </c>
      <c r="AP26" s="133"/>
      <c r="AQ26" s="133"/>
      <c r="AR26" s="133"/>
      <c r="AS26" s="120"/>
      <c r="AT26" s="137" t="s">
        <v>1800</v>
      </c>
      <c r="AU26" s="133"/>
      <c r="AV26" s="133"/>
      <c r="AW26" s="133"/>
      <c r="AX26" s="368"/>
      <c r="AY26" s="368"/>
      <c r="AZ26" s="368"/>
    </row>
    <row r="27" spans="1:52">
      <c r="A27" s="49"/>
      <c r="B27" s="49"/>
      <c r="C27" s="49"/>
      <c r="D27" s="49"/>
      <c r="E27" s="49"/>
      <c r="F27" s="49"/>
      <c r="G27" s="49"/>
      <c r="H27" s="90"/>
      <c r="I27" s="62"/>
      <c r="J27" s="62"/>
      <c r="K27" s="62"/>
      <c r="L27" s="62"/>
      <c r="M27" s="62"/>
      <c r="N27" s="62"/>
      <c r="O27" s="150"/>
      <c r="P27" s="351"/>
      <c r="Q27" s="49"/>
      <c r="R27" s="49"/>
      <c r="S27" s="49"/>
      <c r="T27" s="49"/>
      <c r="U27" s="49"/>
      <c r="V27" s="49"/>
      <c r="W27" s="62"/>
      <c r="X27" s="62"/>
      <c r="Y27" s="62"/>
      <c r="Z27" s="62"/>
      <c r="AA27" s="62"/>
      <c r="AB27" s="62"/>
      <c r="AC27" s="288"/>
      <c r="AD27" s="49"/>
      <c r="AE27" s="49"/>
      <c r="AF27" s="133"/>
      <c r="AG27" s="133"/>
      <c r="AH27" s="134" t="s">
        <v>1801</v>
      </c>
      <c r="AI27" s="135"/>
      <c r="AJ27" s="136" t="s">
        <v>243</v>
      </c>
      <c r="AK27" s="136" t="s">
        <v>266</v>
      </c>
      <c r="AL27" s="136" t="s">
        <v>265</v>
      </c>
      <c r="AM27" s="150"/>
      <c r="AN27" s="133"/>
      <c r="AO27" s="134" t="s">
        <v>1802</v>
      </c>
      <c r="AP27" s="135"/>
      <c r="AQ27" s="136" t="s">
        <v>243</v>
      </c>
      <c r="AR27" s="136" t="s">
        <v>1803</v>
      </c>
      <c r="AS27" s="120"/>
      <c r="AT27" s="366" t="s">
        <v>1009</v>
      </c>
      <c r="AU27" s="120"/>
      <c r="AV27" s="120"/>
      <c r="AW27" s="120"/>
      <c r="AX27" s="153"/>
      <c r="AY27" s="153"/>
      <c r="AZ27" s="153"/>
    </row>
    <row r="28" spans="1:52">
      <c r="A28" s="49"/>
      <c r="B28" s="49"/>
      <c r="C28" s="49"/>
      <c r="D28" s="49"/>
      <c r="E28" s="49"/>
      <c r="F28" s="137" t="s">
        <v>1804</v>
      </c>
      <c r="G28" s="137"/>
      <c r="H28" s="137" t="s">
        <v>1045</v>
      </c>
      <c r="I28" s="137"/>
      <c r="J28" s="137"/>
      <c r="K28" s="137"/>
      <c r="L28" s="137"/>
      <c r="M28" s="62"/>
      <c r="N28" s="62"/>
      <c r="O28" s="137" t="s">
        <v>1805</v>
      </c>
      <c r="P28" s="49"/>
      <c r="Q28" s="49"/>
      <c r="R28" s="49"/>
      <c r="S28" s="49"/>
      <c r="T28" s="49"/>
      <c r="U28" s="49"/>
      <c r="V28" s="49"/>
      <c r="W28" s="137" t="s">
        <v>1806</v>
      </c>
      <c r="X28" s="49"/>
      <c r="Y28" s="49"/>
      <c r="Z28" s="49"/>
      <c r="AA28" s="49"/>
      <c r="AB28" s="49"/>
      <c r="AC28" s="49"/>
      <c r="AD28" s="49" t="s">
        <v>1807</v>
      </c>
      <c r="AE28" s="49"/>
      <c r="AF28" s="133"/>
      <c r="AG28" s="133"/>
      <c r="AH28" s="137" t="s">
        <v>1735</v>
      </c>
      <c r="AI28" s="138"/>
      <c r="AJ28" s="310">
        <v>1</v>
      </c>
      <c r="AK28" s="362">
        <v>0.7</v>
      </c>
      <c r="AL28" s="120">
        <v>10</v>
      </c>
      <c r="AM28" s="150"/>
      <c r="AN28" s="137"/>
      <c r="AO28" s="137" t="s">
        <v>1735</v>
      </c>
      <c r="AP28" s="138"/>
      <c r="AQ28" s="312">
        <v>1</v>
      </c>
      <c r="AR28" s="120">
        <v>23</v>
      </c>
      <c r="AS28" s="120"/>
      <c r="AT28" s="140" t="s">
        <v>592</v>
      </c>
      <c r="AU28" s="133"/>
      <c r="AV28" s="133"/>
      <c r="AW28" s="133"/>
      <c r="AX28" s="368"/>
      <c r="AY28" s="368"/>
      <c r="AZ28" s="368"/>
    </row>
    <row r="29" spans="1:52" ht="17.600000000000001">
      <c r="A29" s="49"/>
      <c r="B29" s="49"/>
      <c r="C29" s="49"/>
      <c r="D29" s="49"/>
      <c r="E29" s="49"/>
      <c r="F29" s="342" t="s">
        <v>249</v>
      </c>
      <c r="G29" s="344"/>
      <c r="H29" s="136" t="s">
        <v>243</v>
      </c>
      <c r="I29" s="136" t="s">
        <v>244</v>
      </c>
      <c r="J29" s="136" t="s">
        <v>245</v>
      </c>
      <c r="K29" s="136" t="s">
        <v>250</v>
      </c>
      <c r="L29" s="136" t="s">
        <v>345</v>
      </c>
      <c r="M29" s="62"/>
      <c r="N29" s="62"/>
      <c r="O29" s="84" t="s">
        <v>1035</v>
      </c>
      <c r="P29" s="85"/>
      <c r="Q29" s="65" t="s">
        <v>243</v>
      </c>
      <c r="R29" s="65" t="s">
        <v>244</v>
      </c>
      <c r="S29" s="65" t="s">
        <v>353</v>
      </c>
      <c r="T29" s="65" t="s">
        <v>1808</v>
      </c>
      <c r="U29" s="49"/>
      <c r="V29" s="49"/>
      <c r="W29" s="84" t="s">
        <v>1035</v>
      </c>
      <c r="X29" s="85"/>
      <c r="Y29" s="65" t="s">
        <v>243</v>
      </c>
      <c r="Z29" s="65" t="s">
        <v>244</v>
      </c>
      <c r="AA29" s="65" t="s">
        <v>245</v>
      </c>
      <c r="AB29" s="65" t="s">
        <v>1809</v>
      </c>
      <c r="AC29" s="65" t="s">
        <v>1810</v>
      </c>
      <c r="AD29" s="329" t="s">
        <v>244</v>
      </c>
      <c r="AE29" s="65" t="s">
        <v>250</v>
      </c>
      <c r="AF29" s="133"/>
      <c r="AG29" s="133"/>
      <c r="AH29" s="361" t="s">
        <v>1811</v>
      </c>
      <c r="AI29" s="138"/>
      <c r="AJ29" s="302">
        <v>2</v>
      </c>
      <c r="AK29" s="362">
        <v>0.8</v>
      </c>
      <c r="AL29" s="120">
        <v>12</v>
      </c>
      <c r="AM29" s="150"/>
      <c r="AN29" s="149"/>
      <c r="AO29" s="361"/>
      <c r="AP29" s="138"/>
      <c r="AQ29" s="312">
        <v>2</v>
      </c>
      <c r="AR29" s="120">
        <v>27</v>
      </c>
      <c r="AS29" s="120"/>
      <c r="AT29" s="134" t="s">
        <v>1812</v>
      </c>
      <c r="AU29" s="133"/>
      <c r="AV29" s="133"/>
      <c r="AW29" s="133"/>
      <c r="AX29" s="368"/>
      <c r="AY29" s="368"/>
      <c r="AZ29" s="368"/>
    </row>
    <row r="30" spans="1:52" ht="17.600000000000001">
      <c r="A30" s="49"/>
      <c r="B30" s="49"/>
      <c r="C30" s="49"/>
      <c r="D30" s="49"/>
      <c r="E30" s="49"/>
      <c r="F30" s="95" t="s">
        <v>1050</v>
      </c>
      <c r="G30" s="345"/>
      <c r="H30" s="309">
        <v>1</v>
      </c>
      <c r="I30" s="120">
        <v>720</v>
      </c>
      <c r="J30" s="120">
        <v>175</v>
      </c>
      <c r="K30" s="120">
        <f>J30*3</f>
        <v>525</v>
      </c>
      <c r="L30" s="120">
        <v>400</v>
      </c>
      <c r="M30" s="62"/>
      <c r="N30" s="62"/>
      <c r="O30" s="70" t="s">
        <v>1050</v>
      </c>
      <c r="P30" s="86"/>
      <c r="Q30" s="309">
        <v>1</v>
      </c>
      <c r="R30" s="62">
        <v>700</v>
      </c>
      <c r="S30" s="62">
        <v>324</v>
      </c>
      <c r="T30" s="62">
        <v>8</v>
      </c>
      <c r="U30" s="49"/>
      <c r="V30" s="49"/>
      <c r="W30" s="70" t="s">
        <v>1813</v>
      </c>
      <c r="X30" s="86"/>
      <c r="Y30" s="309">
        <v>1</v>
      </c>
      <c r="Z30" s="62">
        <v>12000</v>
      </c>
      <c r="AA30" s="62">
        <v>300</v>
      </c>
      <c r="AB30" s="62">
        <v>10</v>
      </c>
      <c r="AC30" s="62">
        <v>22</v>
      </c>
      <c r="AD30" s="358">
        <v>200</v>
      </c>
      <c r="AE30" s="62">
        <v>130</v>
      </c>
      <c r="AF30" s="133"/>
      <c r="AG30" s="133"/>
      <c r="AH30" s="317" t="s">
        <v>788</v>
      </c>
      <c r="AI30" s="135"/>
      <c r="AJ30" s="312">
        <v>3</v>
      </c>
      <c r="AK30" s="362">
        <v>0.9</v>
      </c>
      <c r="AL30" s="120">
        <v>14</v>
      </c>
      <c r="AM30" s="150"/>
      <c r="AN30" s="149"/>
      <c r="AO30" s="317"/>
      <c r="AP30" s="135"/>
      <c r="AQ30" s="303">
        <v>3</v>
      </c>
      <c r="AR30" s="120">
        <v>31</v>
      </c>
      <c r="AS30" s="120"/>
      <c r="AT30" s="137" t="s">
        <v>1415</v>
      </c>
      <c r="AU30" s="133"/>
      <c r="AV30" s="133"/>
      <c r="AW30" s="133"/>
      <c r="AX30" s="368"/>
      <c r="AY30" s="368"/>
      <c r="AZ30" s="368"/>
    </row>
    <row r="31" spans="1:52" ht="17.600000000000001">
      <c r="A31" s="49"/>
      <c r="B31" s="49"/>
      <c r="C31" s="49"/>
      <c r="D31" s="49"/>
      <c r="E31" s="49"/>
      <c r="F31" s="95" t="s">
        <v>356</v>
      </c>
      <c r="G31" s="345"/>
      <c r="H31" s="301">
        <v>2</v>
      </c>
      <c r="I31" s="120">
        <v>800</v>
      </c>
      <c r="J31" s="120">
        <v>200</v>
      </c>
      <c r="K31" s="120">
        <f t="shared" ref="K31:K34" si="4">J31*3</f>
        <v>600</v>
      </c>
      <c r="L31" s="120">
        <v>450</v>
      </c>
      <c r="M31" s="62"/>
      <c r="N31" s="62"/>
      <c r="O31" s="70" t="s">
        <v>523</v>
      </c>
      <c r="P31" s="86"/>
      <c r="Q31" s="301">
        <v>2</v>
      </c>
      <c r="R31" s="62">
        <v>800</v>
      </c>
      <c r="S31" s="62">
        <v>486</v>
      </c>
      <c r="T31" s="62">
        <v>9</v>
      </c>
      <c r="U31" s="49"/>
      <c r="V31" s="49"/>
      <c r="W31" s="70" t="s">
        <v>273</v>
      </c>
      <c r="X31" s="86"/>
      <c r="Y31" s="301">
        <v>2</v>
      </c>
      <c r="Z31" s="62">
        <v>13500</v>
      </c>
      <c r="AA31" s="62">
        <v>325</v>
      </c>
      <c r="AB31" s="62">
        <v>12</v>
      </c>
      <c r="AC31" s="62">
        <v>24</v>
      </c>
      <c r="AD31" s="326">
        <v>250</v>
      </c>
      <c r="AE31" s="62">
        <v>140</v>
      </c>
      <c r="AF31" s="133"/>
      <c r="AG31" s="133"/>
      <c r="AH31" s="142" t="s">
        <v>794</v>
      </c>
      <c r="AI31" s="138"/>
      <c r="AJ31" s="303">
        <v>4</v>
      </c>
      <c r="AK31" s="362">
        <v>1</v>
      </c>
      <c r="AL31" s="120">
        <v>16</v>
      </c>
      <c r="AM31" s="150"/>
      <c r="AN31" s="149"/>
      <c r="AO31" s="142"/>
      <c r="AP31" s="138"/>
      <c r="AQ31" s="313">
        <v>4</v>
      </c>
      <c r="AR31" s="120">
        <v>35</v>
      </c>
      <c r="AS31" s="120"/>
      <c r="AT31" s="137" t="s">
        <v>1814</v>
      </c>
      <c r="AU31" s="133"/>
      <c r="AV31" s="133"/>
      <c r="AW31" s="133"/>
      <c r="AX31" s="368"/>
      <c r="AY31" s="368"/>
      <c r="AZ31" s="368"/>
    </row>
    <row r="32" spans="1:52" ht="17.600000000000001">
      <c r="A32" s="49"/>
      <c r="B32" s="49"/>
      <c r="C32" s="49"/>
      <c r="D32" s="49"/>
      <c r="E32" s="49"/>
      <c r="F32" s="346" t="s">
        <v>1748</v>
      </c>
      <c r="G32" s="347"/>
      <c r="H32" s="302">
        <v>3</v>
      </c>
      <c r="I32" s="120">
        <v>880</v>
      </c>
      <c r="J32" s="120">
        <v>225</v>
      </c>
      <c r="K32" s="120">
        <f t="shared" si="4"/>
        <v>675</v>
      </c>
      <c r="L32" s="120">
        <v>500</v>
      </c>
      <c r="M32" s="62"/>
      <c r="N32" s="62"/>
      <c r="O32" s="70" t="s">
        <v>1815</v>
      </c>
      <c r="P32" s="86"/>
      <c r="Q32" s="302">
        <v>3</v>
      </c>
      <c r="R32" s="62">
        <v>850</v>
      </c>
      <c r="S32" s="62">
        <v>594</v>
      </c>
      <c r="T32" s="62">
        <v>10</v>
      </c>
      <c r="U32" s="49"/>
      <c r="V32" s="49"/>
      <c r="W32" s="88" t="s">
        <v>1748</v>
      </c>
      <c r="X32" s="89"/>
      <c r="Y32" s="302">
        <v>3</v>
      </c>
      <c r="Z32" s="62">
        <v>15000</v>
      </c>
      <c r="AA32" s="62">
        <v>350</v>
      </c>
      <c r="AB32" s="62">
        <v>14</v>
      </c>
      <c r="AC32" s="62">
        <v>26</v>
      </c>
      <c r="AD32" s="326">
        <v>300</v>
      </c>
      <c r="AE32" s="62">
        <v>150</v>
      </c>
      <c r="AF32" s="133"/>
      <c r="AG32" s="133"/>
      <c r="AH32" s="134" t="s">
        <v>490</v>
      </c>
      <c r="AI32" s="363"/>
      <c r="AJ32" s="313">
        <v>5</v>
      </c>
      <c r="AK32" s="362">
        <v>1.1000000000000001</v>
      </c>
      <c r="AL32" s="120">
        <v>18</v>
      </c>
      <c r="AM32" s="150"/>
      <c r="AN32" s="149"/>
      <c r="AO32" s="134" t="s">
        <v>385</v>
      </c>
      <c r="AP32" s="363"/>
      <c r="AQ32" s="313"/>
      <c r="AR32" s="362"/>
      <c r="AS32" s="120"/>
      <c r="AT32" s="140" t="s">
        <v>1816</v>
      </c>
      <c r="AU32" s="133"/>
      <c r="AV32" s="133"/>
      <c r="AW32" s="133"/>
      <c r="AX32" s="368"/>
      <c r="AY32" s="368"/>
      <c r="AZ32" s="368"/>
    </row>
    <row r="33" spans="1:52">
      <c r="A33" s="49"/>
      <c r="B33" s="49"/>
      <c r="C33" s="49"/>
      <c r="D33" s="49"/>
      <c r="E33" s="49"/>
      <c r="F33" s="342" t="s">
        <v>523</v>
      </c>
      <c r="G33" s="344"/>
      <c r="H33" s="312">
        <v>4</v>
      </c>
      <c r="I33" s="120">
        <v>960</v>
      </c>
      <c r="J33" s="120">
        <v>250</v>
      </c>
      <c r="K33" s="120">
        <f t="shared" si="4"/>
        <v>750</v>
      </c>
      <c r="L33" s="120">
        <v>550</v>
      </c>
      <c r="M33" s="62"/>
      <c r="N33" s="62"/>
      <c r="O33" s="88" t="s">
        <v>1817</v>
      </c>
      <c r="P33" s="89"/>
      <c r="Q33" s="312">
        <v>4</v>
      </c>
      <c r="R33" s="62">
        <v>1050</v>
      </c>
      <c r="S33" s="62">
        <v>708</v>
      </c>
      <c r="T33" s="62">
        <v>11</v>
      </c>
      <c r="U33" s="49"/>
      <c r="V33" s="49"/>
      <c r="W33" s="70" t="s">
        <v>1818</v>
      </c>
      <c r="X33" s="85"/>
      <c r="Y33" s="312">
        <v>4</v>
      </c>
      <c r="Z33" s="62">
        <v>16500</v>
      </c>
      <c r="AA33" s="62">
        <v>375</v>
      </c>
      <c r="AB33" s="62">
        <v>16</v>
      </c>
      <c r="AC33" s="62">
        <v>28</v>
      </c>
      <c r="AD33" s="326">
        <v>350</v>
      </c>
      <c r="AE33" s="62">
        <v>160</v>
      </c>
      <c r="AF33" s="133"/>
      <c r="AG33" s="133"/>
      <c r="AH33" s="137"/>
      <c r="AI33" s="137"/>
      <c r="AJ33" s="137"/>
      <c r="AK33" s="362"/>
      <c r="AL33" s="120"/>
      <c r="AM33" s="150"/>
      <c r="AN33" s="149"/>
      <c r="AO33" s="137"/>
      <c r="AP33" s="137"/>
      <c r="AQ33" s="137"/>
      <c r="AR33" s="362"/>
      <c r="AS33" s="120"/>
      <c r="AT33" s="134" t="s">
        <v>287</v>
      </c>
      <c r="AU33" s="133"/>
      <c r="AV33" s="133"/>
      <c r="AW33" s="133"/>
      <c r="AX33" s="368"/>
      <c r="AY33" s="368"/>
      <c r="AZ33" s="368"/>
    </row>
    <row r="34" spans="1:52">
      <c r="A34" s="49"/>
      <c r="B34" s="49"/>
      <c r="C34" s="49"/>
      <c r="D34" s="49"/>
      <c r="E34" s="49"/>
      <c r="F34" s="95" t="s">
        <v>817</v>
      </c>
      <c r="G34" s="345"/>
      <c r="H34" s="313">
        <v>5</v>
      </c>
      <c r="I34" s="120">
        <v>1040</v>
      </c>
      <c r="J34" s="120">
        <v>275</v>
      </c>
      <c r="K34" s="120">
        <f t="shared" si="4"/>
        <v>825</v>
      </c>
      <c r="L34" s="120">
        <v>600</v>
      </c>
      <c r="M34" s="62"/>
      <c r="N34" s="62"/>
      <c r="O34" s="70" t="s">
        <v>604</v>
      </c>
      <c r="P34" s="85"/>
      <c r="Q34" s="313">
        <v>5</v>
      </c>
      <c r="R34" s="62">
        <v>1200</v>
      </c>
      <c r="S34" s="62">
        <v>768</v>
      </c>
      <c r="T34" s="62">
        <v>12</v>
      </c>
      <c r="U34" s="49"/>
      <c r="V34" s="49"/>
      <c r="W34" s="70" t="s">
        <v>1819</v>
      </c>
      <c r="X34" s="86"/>
      <c r="Y34" s="313">
        <v>5</v>
      </c>
      <c r="Z34" s="62">
        <v>18000</v>
      </c>
      <c r="AA34" s="62">
        <v>400</v>
      </c>
      <c r="AB34" s="62">
        <v>18</v>
      </c>
      <c r="AC34" s="62">
        <v>30</v>
      </c>
      <c r="AD34" s="326">
        <v>400</v>
      </c>
      <c r="AE34" s="62">
        <v>170</v>
      </c>
      <c r="AF34" s="133"/>
      <c r="AG34" s="133"/>
      <c r="AH34" s="133"/>
      <c r="AI34" s="133"/>
      <c r="AJ34" s="133"/>
      <c r="AK34" s="133"/>
      <c r="AL34" s="120"/>
      <c r="AM34" s="150"/>
      <c r="AN34" s="149"/>
      <c r="AO34" s="133"/>
      <c r="AP34" s="133"/>
      <c r="AQ34" s="133"/>
      <c r="AR34" s="133"/>
      <c r="AS34" s="133"/>
      <c r="AT34" s="133"/>
      <c r="AU34" s="133"/>
      <c r="AV34" s="133"/>
      <c r="AW34" s="133"/>
      <c r="AX34" s="368"/>
      <c r="AY34" s="368"/>
      <c r="AZ34" s="368"/>
    </row>
    <row r="35" spans="1:52">
      <c r="A35" s="49"/>
      <c r="B35" s="49"/>
      <c r="C35" s="49"/>
      <c r="D35" s="49"/>
      <c r="E35" s="49"/>
      <c r="F35" s="95" t="s">
        <v>1820</v>
      </c>
      <c r="G35" s="345"/>
      <c r="H35" s="142"/>
      <c r="I35" s="133"/>
      <c r="J35" s="133"/>
      <c r="K35" s="133"/>
      <c r="L35" s="133"/>
      <c r="M35" s="62"/>
      <c r="N35" s="62"/>
      <c r="O35" s="70" t="s">
        <v>1821</v>
      </c>
      <c r="P35" s="86"/>
      <c r="Q35" s="62"/>
      <c r="R35" s="62"/>
      <c r="S35" s="62"/>
      <c r="T35" s="62"/>
      <c r="U35" s="49"/>
      <c r="V35" s="49"/>
      <c r="W35" s="340" t="s">
        <v>1822</v>
      </c>
      <c r="X35" s="49"/>
      <c r="Y35" s="49"/>
      <c r="Z35" s="49"/>
      <c r="AA35" s="49"/>
      <c r="AB35" s="49"/>
      <c r="AC35" s="49"/>
      <c r="AD35" s="49"/>
      <c r="AE35" s="49"/>
      <c r="AF35" s="133"/>
      <c r="AG35" s="133"/>
      <c r="AH35" s="133"/>
      <c r="AI35" s="133"/>
      <c r="AJ35" s="133"/>
      <c r="AK35" s="133"/>
      <c r="AL35" s="120"/>
      <c r="AM35" s="120"/>
      <c r="AN35" s="120"/>
      <c r="AO35" s="133"/>
      <c r="AP35" s="133"/>
      <c r="AQ35" s="133"/>
      <c r="AR35" s="133"/>
      <c r="AS35" s="133"/>
      <c r="AT35" s="133"/>
      <c r="AU35" s="133"/>
      <c r="AV35" s="133"/>
      <c r="AW35" s="133"/>
      <c r="AX35" s="368"/>
      <c r="AY35" s="368"/>
      <c r="AZ35" s="368"/>
    </row>
    <row r="36" spans="1:52">
      <c r="A36" s="49"/>
      <c r="B36" s="49"/>
      <c r="C36" s="49"/>
      <c r="D36" s="49"/>
      <c r="E36" s="49"/>
      <c r="F36" s="348" t="s">
        <v>377</v>
      </c>
      <c r="G36" s="143"/>
      <c r="H36" s="142"/>
      <c r="I36" s="133"/>
      <c r="J36" s="133"/>
      <c r="K36" s="133"/>
      <c r="L36" s="133"/>
      <c r="M36" s="62"/>
      <c r="N36" s="62"/>
      <c r="O36" s="70" t="s">
        <v>1773</v>
      </c>
      <c r="P36" s="62"/>
      <c r="Q36" s="62"/>
      <c r="R36" s="62"/>
      <c r="S36" s="62"/>
      <c r="T36" s="62"/>
      <c r="U36" s="49"/>
      <c r="V36" s="49"/>
      <c r="W36" s="49"/>
      <c r="X36" s="49"/>
      <c r="Y36" s="49"/>
      <c r="Z36" s="49"/>
      <c r="AA36" s="49"/>
      <c r="AB36" s="49"/>
      <c r="AC36" s="49"/>
      <c r="AD36" s="49"/>
      <c r="AE36" s="49"/>
      <c r="AF36" s="133"/>
      <c r="AG36" s="133"/>
      <c r="AH36" s="133"/>
      <c r="AI36" s="133"/>
      <c r="AJ36" s="133"/>
      <c r="AK36" s="133"/>
      <c r="AL36" s="133"/>
      <c r="AM36" s="133"/>
      <c r="AN36" s="133"/>
      <c r="AO36" s="133"/>
      <c r="AP36" s="133"/>
      <c r="AQ36" s="133"/>
      <c r="AR36" s="133"/>
      <c r="AS36" s="133"/>
      <c r="AT36" s="133"/>
      <c r="AU36" s="133"/>
      <c r="AV36" s="133"/>
      <c r="AW36" s="133"/>
      <c r="AX36" s="368"/>
      <c r="AY36" s="368"/>
      <c r="AZ36" s="368"/>
    </row>
    <row r="37" spans="1:52">
      <c r="A37" s="49"/>
      <c r="B37" s="49"/>
      <c r="C37" s="49"/>
      <c r="D37" s="49"/>
      <c r="E37" s="49"/>
      <c r="F37" s="95" t="s">
        <v>604</v>
      </c>
      <c r="G37" s="345"/>
      <c r="H37" s="142"/>
      <c r="I37" s="133"/>
      <c r="J37" s="133"/>
      <c r="K37" s="133"/>
      <c r="L37" s="133"/>
      <c r="M37" s="62"/>
      <c r="N37" s="62"/>
      <c r="O37" s="62"/>
      <c r="P37" s="62"/>
      <c r="Q37" s="62"/>
      <c r="R37" s="62"/>
      <c r="S37" s="62"/>
      <c r="T37" s="62"/>
      <c r="U37" s="49"/>
      <c r="V37" s="49"/>
      <c r="W37" s="49"/>
      <c r="X37" s="49"/>
      <c r="Y37" s="49"/>
      <c r="Z37" s="49"/>
      <c r="AA37" s="49"/>
      <c r="AB37" s="49"/>
      <c r="AC37" s="49"/>
      <c r="AD37" s="49"/>
      <c r="AE37" s="49"/>
      <c r="AF37" s="133"/>
      <c r="AG37" s="133"/>
      <c r="AH37" s="133"/>
      <c r="AI37" s="133"/>
      <c r="AJ37" s="133"/>
      <c r="AK37" s="133"/>
      <c r="AL37" s="133"/>
      <c r="AM37" s="133"/>
      <c r="AN37" s="133"/>
      <c r="AO37" s="133"/>
      <c r="AP37" s="133"/>
      <c r="AQ37" s="133"/>
      <c r="AR37" s="133"/>
      <c r="AS37" s="133"/>
      <c r="AT37" s="133"/>
      <c r="AU37" s="133"/>
      <c r="AV37" s="133"/>
      <c r="AW37" s="133"/>
      <c r="AX37" s="368"/>
      <c r="AY37" s="368"/>
      <c r="AZ37" s="368"/>
    </row>
    <row r="38" spans="1:52">
      <c r="A38" s="49"/>
      <c r="B38" s="49"/>
      <c r="C38" s="49"/>
      <c r="D38" s="49"/>
      <c r="E38" s="49"/>
      <c r="F38" s="95" t="s">
        <v>1823</v>
      </c>
      <c r="G38" s="345"/>
      <c r="H38" s="95" t="s">
        <v>1824</v>
      </c>
      <c r="I38" s="133"/>
      <c r="J38" s="133"/>
      <c r="K38" s="133"/>
      <c r="L38" s="133"/>
      <c r="M38" s="62"/>
      <c r="N38" s="62"/>
      <c r="O38" s="62"/>
      <c r="P38" s="62"/>
      <c r="Q38" s="62"/>
      <c r="R38" s="62"/>
      <c r="S38" s="62"/>
      <c r="T38" s="62"/>
      <c r="U38" s="49"/>
      <c r="V38" s="49"/>
      <c r="W38" s="49"/>
      <c r="X38" s="49"/>
      <c r="Y38" s="49"/>
      <c r="Z38" s="49"/>
      <c r="AA38" s="49"/>
      <c r="AB38" s="49"/>
      <c r="AC38" s="49"/>
      <c r="AD38" s="49"/>
      <c r="AE38" s="49"/>
      <c r="AF38" s="133"/>
      <c r="AG38" s="133"/>
      <c r="AH38" s="133"/>
      <c r="AI38" s="133"/>
      <c r="AJ38" s="133"/>
      <c r="AK38" s="133"/>
      <c r="AL38" s="133"/>
      <c r="AM38" s="133"/>
      <c r="AN38" s="133"/>
      <c r="AO38" s="133"/>
      <c r="AP38" s="133"/>
      <c r="AQ38" s="133"/>
      <c r="AR38" s="133"/>
      <c r="AS38" s="133"/>
      <c r="AT38" s="133"/>
      <c r="AU38" s="133"/>
      <c r="AV38" s="133"/>
      <c r="AW38" s="133"/>
      <c r="AX38" s="368"/>
      <c r="AY38" s="368"/>
      <c r="AZ38" s="368"/>
    </row>
    <row r="39" spans="1:52">
      <c r="A39" s="49"/>
      <c r="B39" s="49"/>
      <c r="C39" s="49"/>
      <c r="D39" s="49"/>
      <c r="E39" s="49"/>
      <c r="F39" s="70" t="s">
        <v>1825</v>
      </c>
      <c r="G39" s="49"/>
      <c r="H39" s="49"/>
      <c r="I39" s="49"/>
      <c r="J39" s="49"/>
      <c r="K39" s="49"/>
      <c r="L39" s="49"/>
      <c r="M39" s="62"/>
      <c r="N39" s="62"/>
      <c r="O39" s="62"/>
      <c r="P39" s="62"/>
      <c r="Q39" s="62"/>
      <c r="R39" s="62"/>
      <c r="S39" s="62"/>
      <c r="T39" s="62"/>
      <c r="U39" s="49"/>
      <c r="V39" s="49"/>
      <c r="W39" s="49"/>
      <c r="X39" s="49"/>
      <c r="Y39" s="49"/>
      <c r="Z39" s="49"/>
      <c r="AA39" s="49"/>
      <c r="AB39" s="49"/>
      <c r="AC39" s="49"/>
      <c r="AD39" s="49"/>
      <c r="AE39" s="49"/>
      <c r="AF39" s="133"/>
      <c r="AG39" s="133"/>
      <c r="AH39" s="133"/>
      <c r="AI39" s="133"/>
      <c r="AJ39" s="133"/>
      <c r="AK39" s="133"/>
      <c r="AL39" s="133"/>
      <c r="AM39" s="133"/>
      <c r="AN39" s="133"/>
      <c r="AO39" s="133"/>
      <c r="AP39" s="133"/>
      <c r="AQ39" s="133"/>
      <c r="AR39" s="133"/>
      <c r="AS39" s="133"/>
      <c r="AT39" s="133"/>
      <c r="AU39" s="133"/>
      <c r="AV39" s="133"/>
      <c r="AW39" s="133"/>
      <c r="AX39" s="368"/>
      <c r="AY39" s="368"/>
      <c r="AZ39" s="368"/>
    </row>
    <row r="40" spans="1:52">
      <c r="A40" s="49"/>
      <c r="B40" s="49"/>
      <c r="C40" s="49"/>
      <c r="D40" s="49"/>
      <c r="E40" s="49"/>
      <c r="F40" s="49"/>
      <c r="G40" s="49"/>
      <c r="H40" s="49"/>
      <c r="I40" s="49"/>
      <c r="J40" s="49"/>
      <c r="K40" s="49"/>
      <c r="L40" s="49"/>
      <c r="M40" s="62"/>
      <c r="N40" s="62"/>
      <c r="O40" s="62"/>
      <c r="P40" s="62"/>
      <c r="Q40" s="62"/>
      <c r="R40" s="62"/>
      <c r="S40" s="62"/>
      <c r="T40" s="62"/>
      <c r="U40" s="49"/>
      <c r="V40" s="49"/>
      <c r="W40" s="49"/>
      <c r="X40" s="49"/>
      <c r="Y40" s="49"/>
      <c r="Z40" s="49"/>
      <c r="AA40" s="49"/>
      <c r="AB40" s="49"/>
      <c r="AC40" s="49"/>
      <c r="AD40" s="49"/>
      <c r="AE40" s="49"/>
      <c r="AF40" s="133"/>
      <c r="AG40" s="133"/>
      <c r="AH40" s="133"/>
      <c r="AI40" s="133"/>
      <c r="AJ40" s="133"/>
      <c r="AK40" s="133"/>
      <c r="AL40" s="133"/>
      <c r="AM40" s="133"/>
      <c r="AN40" s="133"/>
      <c r="AO40" s="133"/>
      <c r="AP40" s="133"/>
      <c r="AQ40" s="133"/>
      <c r="AR40" s="133"/>
      <c r="AS40" s="133"/>
      <c r="AT40" s="133"/>
      <c r="AU40" s="133"/>
      <c r="AV40" s="133"/>
      <c r="AW40" s="133"/>
      <c r="AX40" s="368"/>
      <c r="AY40" s="368"/>
      <c r="AZ40" s="368"/>
    </row>
    <row r="41" spans="1:52">
      <c r="A41" s="49"/>
      <c r="B41" s="49"/>
      <c r="C41" s="49"/>
      <c r="D41" s="49"/>
      <c r="E41" s="49"/>
      <c r="F41" s="49"/>
      <c r="G41" s="49"/>
      <c r="H41" s="49"/>
      <c r="I41" s="49"/>
      <c r="J41" s="49"/>
      <c r="K41" s="49"/>
      <c r="L41" s="49"/>
      <c r="M41" s="62"/>
      <c r="N41" s="62"/>
      <c r="O41" s="62"/>
      <c r="P41" s="62"/>
      <c r="Q41" s="62"/>
      <c r="R41" s="62"/>
      <c r="S41" s="62"/>
      <c r="T41" s="62"/>
      <c r="U41" s="49"/>
      <c r="V41" s="49"/>
      <c r="W41" s="49"/>
      <c r="X41" s="49"/>
      <c r="Y41" s="49"/>
      <c r="Z41" s="49"/>
      <c r="AA41" s="49"/>
      <c r="AB41" s="49"/>
      <c r="AC41" s="49"/>
      <c r="AD41" s="49"/>
      <c r="AE41" s="49"/>
      <c r="AF41" s="133"/>
      <c r="AG41" s="133"/>
      <c r="AH41" s="133"/>
      <c r="AI41" s="133"/>
      <c r="AJ41" s="133"/>
      <c r="AK41" s="133"/>
      <c r="AL41" s="133"/>
      <c r="AM41" s="133"/>
      <c r="AN41" s="133"/>
      <c r="AO41" s="133"/>
      <c r="AP41" s="133"/>
      <c r="AQ41" s="133"/>
      <c r="AR41" s="133"/>
      <c r="AS41" s="133"/>
      <c r="AT41" s="133"/>
      <c r="AU41" s="133"/>
      <c r="AV41" s="133"/>
      <c r="AW41" s="133"/>
      <c r="AX41" s="368"/>
      <c r="AY41" s="368"/>
      <c r="AZ41" s="368"/>
    </row>
    <row r="42" spans="1:52">
      <c r="A42" s="49"/>
      <c r="B42" s="49"/>
      <c r="C42" s="49"/>
      <c r="D42" s="49"/>
      <c r="E42" s="49"/>
      <c r="F42" s="49" t="s">
        <v>1826</v>
      </c>
      <c r="G42" s="49"/>
      <c r="H42" s="49" t="s">
        <v>1827</v>
      </c>
      <c r="I42" s="49"/>
      <c r="J42" s="49"/>
      <c r="K42" s="49"/>
      <c r="L42" s="49"/>
      <c r="M42" s="137" t="s">
        <v>1084</v>
      </c>
      <c r="N42" s="62"/>
      <c r="O42" s="49" t="s">
        <v>1828</v>
      </c>
      <c r="P42" s="49"/>
      <c r="Q42" s="49" t="s">
        <v>1540</v>
      </c>
      <c r="R42" s="49"/>
      <c r="S42" s="49"/>
      <c r="T42" s="49"/>
      <c r="U42" s="49"/>
      <c r="V42" s="49"/>
      <c r="W42" s="49" t="s">
        <v>1829</v>
      </c>
      <c r="X42" s="49"/>
      <c r="Y42" s="49" t="s">
        <v>1830</v>
      </c>
      <c r="Z42" s="49"/>
      <c r="AA42" s="49"/>
      <c r="AB42" s="49"/>
      <c r="AC42" s="49" t="s">
        <v>160</v>
      </c>
      <c r="AD42" s="49"/>
      <c r="AE42" s="49"/>
      <c r="AF42" s="133"/>
      <c r="AG42" s="133"/>
      <c r="AH42" s="133"/>
      <c r="AI42" s="133"/>
      <c r="AJ42" s="133"/>
      <c r="AK42" s="133"/>
      <c r="AL42" s="133"/>
      <c r="AM42" s="133"/>
      <c r="AN42" s="133"/>
      <c r="AO42" s="133"/>
      <c r="AP42" s="133"/>
      <c r="AQ42" s="133"/>
      <c r="AR42" s="133"/>
      <c r="AS42" s="133"/>
      <c r="AT42" s="133"/>
      <c r="AU42" s="133"/>
      <c r="AV42" s="133"/>
      <c r="AW42" s="133"/>
      <c r="AX42" s="368"/>
      <c r="AY42" s="368"/>
      <c r="AZ42" s="368"/>
    </row>
    <row r="43" spans="1:52">
      <c r="A43" s="49"/>
      <c r="B43" s="49"/>
      <c r="C43" s="49"/>
      <c r="D43" s="49"/>
      <c r="E43" s="49"/>
      <c r="F43" s="84" t="s">
        <v>242</v>
      </c>
      <c r="G43" s="85"/>
      <c r="H43" s="65" t="s">
        <v>243</v>
      </c>
      <c r="I43" s="65" t="s">
        <v>244</v>
      </c>
      <c r="J43" s="65" t="s">
        <v>245</v>
      </c>
      <c r="K43" s="65" t="s">
        <v>250</v>
      </c>
      <c r="L43" s="65" t="s">
        <v>1517</v>
      </c>
      <c r="M43" s="65"/>
      <c r="N43" s="62"/>
      <c r="O43" s="84" t="s">
        <v>242</v>
      </c>
      <c r="P43" s="84"/>
      <c r="Q43" s="108" t="s">
        <v>243</v>
      </c>
      <c r="R43" s="65" t="s">
        <v>244</v>
      </c>
      <c r="S43" s="65" t="s">
        <v>245</v>
      </c>
      <c r="T43" s="65" t="s">
        <v>250</v>
      </c>
      <c r="U43" s="65" t="s">
        <v>545</v>
      </c>
      <c r="V43" s="49"/>
      <c r="W43" s="84" t="s">
        <v>1035</v>
      </c>
      <c r="X43" s="84"/>
      <c r="Y43" s="108" t="s">
        <v>243</v>
      </c>
      <c r="Z43" s="65" t="s">
        <v>244</v>
      </c>
      <c r="AA43" s="65" t="s">
        <v>245</v>
      </c>
      <c r="AB43" s="65" t="s">
        <v>250</v>
      </c>
      <c r="AC43" s="329" t="s">
        <v>1831</v>
      </c>
      <c r="AD43" s="68" t="s">
        <v>244</v>
      </c>
      <c r="AE43" s="49"/>
      <c r="AF43" s="133"/>
      <c r="AG43" s="133"/>
      <c r="AH43" s="133"/>
      <c r="AI43" s="133"/>
      <c r="AJ43" s="133"/>
      <c r="AK43" s="133"/>
      <c r="AL43" s="133"/>
      <c r="AM43" s="133"/>
      <c r="AN43" s="133"/>
      <c r="AO43" s="133"/>
      <c r="AP43" s="133"/>
      <c r="AQ43" s="133"/>
      <c r="AR43" s="133"/>
      <c r="AS43" s="133"/>
      <c r="AT43" s="133"/>
      <c r="AU43" s="133"/>
      <c r="AV43" s="133"/>
      <c r="AW43" s="133"/>
      <c r="AX43" s="368"/>
      <c r="AY43" s="368"/>
      <c r="AZ43" s="368"/>
    </row>
    <row r="44" spans="1:52">
      <c r="A44" s="49"/>
      <c r="B44" s="49"/>
      <c r="C44" s="49"/>
      <c r="D44" s="49"/>
      <c r="E44" s="49"/>
      <c r="F44" s="70" t="s">
        <v>402</v>
      </c>
      <c r="G44" s="86"/>
      <c r="H44" s="301">
        <v>1</v>
      </c>
      <c r="I44" s="62">
        <v>2800</v>
      </c>
      <c r="J44" s="62">
        <v>240</v>
      </c>
      <c r="K44" s="352">
        <f>J44*2.5</f>
        <v>600</v>
      </c>
      <c r="L44" s="62">
        <v>1200</v>
      </c>
      <c r="M44" s="62"/>
      <c r="N44" s="62"/>
      <c r="O44" s="70" t="s">
        <v>1544</v>
      </c>
      <c r="P44" s="353"/>
      <c r="Q44" s="310">
        <v>1</v>
      </c>
      <c r="R44" s="62">
        <v>6800</v>
      </c>
      <c r="S44" s="62">
        <v>680</v>
      </c>
      <c r="T44" s="352">
        <f>S44*1.8</f>
        <v>1224</v>
      </c>
      <c r="U44" s="62">
        <v>1000</v>
      </c>
      <c r="V44" s="49"/>
      <c r="W44" s="70" t="s">
        <v>1023</v>
      </c>
      <c r="X44" s="353"/>
      <c r="Y44" s="310">
        <v>1</v>
      </c>
      <c r="Z44" s="62">
        <v>880</v>
      </c>
      <c r="AA44" s="62">
        <v>130</v>
      </c>
      <c r="AB44" s="352">
        <f>AA44*1</f>
        <v>130</v>
      </c>
      <c r="AC44" s="358">
        <v>120</v>
      </c>
      <c r="AD44" s="68">
        <v>650</v>
      </c>
      <c r="AE44" s="49"/>
      <c r="AF44" s="133"/>
      <c r="AG44" s="133"/>
      <c r="AH44" s="133"/>
      <c r="AI44" s="133"/>
      <c r="AJ44" s="133"/>
      <c r="AK44" s="133"/>
      <c r="AL44" s="133"/>
      <c r="AM44" s="133"/>
      <c r="AN44" s="133"/>
      <c r="AO44" s="133"/>
      <c r="AP44" s="133"/>
      <c r="AQ44" s="133"/>
      <c r="AR44" s="133"/>
      <c r="AS44" s="133"/>
      <c r="AT44" s="133"/>
      <c r="AU44" s="133"/>
      <c r="AV44" s="133"/>
      <c r="AW44" s="133"/>
      <c r="AX44" s="368"/>
      <c r="AY44" s="368"/>
      <c r="AZ44" s="368"/>
    </row>
    <row r="45" spans="1:52">
      <c r="A45" s="49"/>
      <c r="B45" s="49"/>
      <c r="C45" s="49"/>
      <c r="D45" s="49"/>
      <c r="E45" s="49"/>
      <c r="F45" s="70" t="s">
        <v>809</v>
      </c>
      <c r="G45" s="86"/>
      <c r="H45" s="310">
        <v>2</v>
      </c>
      <c r="I45" s="62">
        <v>3100</v>
      </c>
      <c r="J45" s="62">
        <v>280</v>
      </c>
      <c r="K45" s="352">
        <f t="shared" ref="K45:K48" si="5">J45*2.5</f>
        <v>700</v>
      </c>
      <c r="L45" s="62">
        <v>1400</v>
      </c>
      <c r="M45" s="62"/>
      <c r="N45" s="62"/>
      <c r="O45" s="70" t="s">
        <v>1545</v>
      </c>
      <c r="P45" s="353"/>
      <c r="Q45" s="310">
        <v>2</v>
      </c>
      <c r="R45" s="62">
        <v>7600</v>
      </c>
      <c r="S45" s="62">
        <v>760</v>
      </c>
      <c r="T45" s="352">
        <f t="shared" ref="T45:T48" si="6">S45*1.8</f>
        <v>1368</v>
      </c>
      <c r="U45" s="62">
        <v>1200</v>
      </c>
      <c r="V45" s="49"/>
      <c r="W45" s="70" t="s">
        <v>1832</v>
      </c>
      <c r="X45" s="353"/>
      <c r="Y45" s="302">
        <v>2</v>
      </c>
      <c r="Z45" s="62">
        <v>960</v>
      </c>
      <c r="AA45" s="62">
        <v>145</v>
      </c>
      <c r="AB45" s="352">
        <f t="shared" ref="AB45:AB48" si="7">AA45*1</f>
        <v>145</v>
      </c>
      <c r="AC45" s="326">
        <v>130</v>
      </c>
      <c r="AD45" s="62">
        <v>700</v>
      </c>
      <c r="AE45" s="49"/>
      <c r="AF45" s="49"/>
      <c r="AG45" s="49"/>
      <c r="AH45" s="133"/>
      <c r="AI45" s="133"/>
      <c r="AJ45" s="133"/>
      <c r="AK45" s="133"/>
      <c r="AL45" s="133"/>
      <c r="AM45" s="133"/>
      <c r="AN45" s="133"/>
      <c r="AO45" s="133"/>
      <c r="AP45" s="133"/>
      <c r="AQ45" s="133"/>
      <c r="AR45" s="133"/>
      <c r="AS45" s="133"/>
      <c r="AT45" s="133"/>
      <c r="AU45" s="133"/>
      <c r="AV45" s="133"/>
      <c r="AW45" s="133"/>
      <c r="AX45" s="368"/>
      <c r="AY45" s="368"/>
      <c r="AZ45" s="368"/>
    </row>
    <row r="46" spans="1:52">
      <c r="A46" s="49"/>
      <c r="B46" s="49"/>
      <c r="C46" s="49"/>
      <c r="D46" s="49"/>
      <c r="E46" s="49"/>
      <c r="F46" s="88" t="s">
        <v>1833</v>
      </c>
      <c r="G46" s="89"/>
      <c r="H46" s="302">
        <v>3</v>
      </c>
      <c r="I46" s="62">
        <v>3400</v>
      </c>
      <c r="J46" s="62">
        <v>320</v>
      </c>
      <c r="K46" s="352">
        <f t="shared" si="5"/>
        <v>800</v>
      </c>
      <c r="L46" s="62">
        <v>1600</v>
      </c>
      <c r="M46" s="62"/>
      <c r="N46" s="62"/>
      <c r="O46" s="88" t="s">
        <v>281</v>
      </c>
      <c r="P46" s="354"/>
      <c r="Q46" s="302">
        <v>3</v>
      </c>
      <c r="R46" s="62">
        <v>8400</v>
      </c>
      <c r="S46" s="62">
        <v>840</v>
      </c>
      <c r="T46" s="352">
        <f t="shared" si="6"/>
        <v>1512</v>
      </c>
      <c r="U46" s="62">
        <v>1400</v>
      </c>
      <c r="V46" s="49"/>
      <c r="W46" s="88" t="s">
        <v>445</v>
      </c>
      <c r="X46" s="354"/>
      <c r="Y46" s="312">
        <v>3</v>
      </c>
      <c r="Z46" s="62">
        <v>1040</v>
      </c>
      <c r="AA46" s="62">
        <v>160</v>
      </c>
      <c r="AB46" s="352">
        <f t="shared" si="7"/>
        <v>160</v>
      </c>
      <c r="AC46" s="326">
        <v>140</v>
      </c>
      <c r="AD46" s="62">
        <v>750</v>
      </c>
      <c r="AE46" s="49"/>
      <c r="AF46" s="49"/>
      <c r="AG46" s="49"/>
      <c r="AH46" s="133"/>
      <c r="AI46" s="133"/>
      <c r="AJ46" s="133"/>
      <c r="AK46" s="133"/>
      <c r="AL46" s="133"/>
      <c r="AM46" s="133"/>
      <c r="AN46" s="133"/>
      <c r="AO46" s="133"/>
      <c r="AP46" s="133"/>
      <c r="AQ46" s="133"/>
      <c r="AR46" s="133"/>
      <c r="AS46" s="133"/>
      <c r="AT46" s="133"/>
      <c r="AU46" s="133"/>
      <c r="AV46" s="133"/>
      <c r="AW46" s="133"/>
    </row>
    <row r="47" spans="1:52">
      <c r="A47" s="49"/>
      <c r="B47" s="49"/>
      <c r="C47" s="49"/>
      <c r="D47" s="49"/>
      <c r="E47" s="49"/>
      <c r="F47" s="84" t="s">
        <v>287</v>
      </c>
      <c r="G47" s="85"/>
      <c r="H47" s="303">
        <v>4</v>
      </c>
      <c r="I47" s="62">
        <v>3700</v>
      </c>
      <c r="J47" s="62">
        <v>360</v>
      </c>
      <c r="K47" s="352">
        <f t="shared" si="5"/>
        <v>900</v>
      </c>
      <c r="L47" s="62">
        <v>1800</v>
      </c>
      <c r="M47" s="62"/>
      <c r="N47" s="49"/>
      <c r="O47" s="84" t="s">
        <v>287</v>
      </c>
      <c r="P47" s="355"/>
      <c r="Q47" s="303">
        <v>4</v>
      </c>
      <c r="R47" s="62">
        <v>9200</v>
      </c>
      <c r="S47" s="62">
        <v>920</v>
      </c>
      <c r="T47" s="352">
        <f t="shared" si="6"/>
        <v>1656</v>
      </c>
      <c r="U47" s="62">
        <v>1600</v>
      </c>
      <c r="V47" s="49"/>
      <c r="W47" s="84" t="s">
        <v>287</v>
      </c>
      <c r="X47" s="355"/>
      <c r="Y47" s="303">
        <v>4</v>
      </c>
      <c r="Z47" s="62">
        <v>1120</v>
      </c>
      <c r="AA47" s="62">
        <v>175</v>
      </c>
      <c r="AB47" s="352">
        <f t="shared" si="7"/>
        <v>175</v>
      </c>
      <c r="AC47" s="326">
        <v>150</v>
      </c>
      <c r="AD47" s="62">
        <v>800</v>
      </c>
      <c r="AE47" s="49"/>
      <c r="AF47" s="49"/>
      <c r="AG47" s="49"/>
      <c r="AH47" s="133"/>
      <c r="AI47" s="133"/>
      <c r="AJ47" s="133"/>
      <c r="AK47" s="133"/>
      <c r="AL47" s="133"/>
      <c r="AM47" s="133"/>
      <c r="AN47" s="133"/>
      <c r="AO47" s="133"/>
      <c r="AP47" s="133"/>
      <c r="AQ47" s="133"/>
      <c r="AR47" s="133"/>
      <c r="AS47" s="133"/>
      <c r="AT47" s="133"/>
      <c r="AU47" s="133"/>
      <c r="AV47" s="133"/>
      <c r="AW47" s="133"/>
    </row>
    <row r="48" spans="1:52">
      <c r="A48" s="49"/>
      <c r="B48" s="49"/>
      <c r="C48" s="49"/>
      <c r="D48" s="49"/>
      <c r="E48" s="49"/>
      <c r="F48" s="49" t="s">
        <v>1819</v>
      </c>
      <c r="G48" s="49"/>
      <c r="H48" s="313">
        <v>5</v>
      </c>
      <c r="I48" s="62">
        <v>4000</v>
      </c>
      <c r="J48" s="62">
        <v>400</v>
      </c>
      <c r="K48" s="352">
        <f t="shared" si="5"/>
        <v>1000</v>
      </c>
      <c r="L48" s="62">
        <v>2000</v>
      </c>
      <c r="M48" s="62"/>
      <c r="N48" s="49"/>
      <c r="O48" s="116" t="s">
        <v>1551</v>
      </c>
      <c r="P48" s="353"/>
      <c r="Q48" s="313">
        <v>5</v>
      </c>
      <c r="R48" s="62">
        <v>10000</v>
      </c>
      <c r="S48" s="62">
        <v>1000</v>
      </c>
      <c r="T48" s="352">
        <f t="shared" si="6"/>
        <v>1800</v>
      </c>
      <c r="U48" s="62">
        <v>1800</v>
      </c>
      <c r="V48" s="49"/>
      <c r="W48" s="70" t="s">
        <v>1834</v>
      </c>
      <c r="X48" s="353"/>
      <c r="Y48" s="313">
        <v>5</v>
      </c>
      <c r="Z48" s="62">
        <v>1200</v>
      </c>
      <c r="AA48" s="62">
        <v>190</v>
      </c>
      <c r="AB48" s="352">
        <f t="shared" si="7"/>
        <v>190</v>
      </c>
      <c r="AC48" s="326">
        <v>160</v>
      </c>
      <c r="AD48" s="62">
        <v>850</v>
      </c>
      <c r="AE48" s="49"/>
      <c r="AF48" s="49"/>
      <c r="AG48" s="49"/>
      <c r="AH48" s="133"/>
      <c r="AI48" s="133"/>
      <c r="AJ48" s="133"/>
      <c r="AK48" s="133"/>
      <c r="AL48" s="133"/>
      <c r="AM48" s="133"/>
      <c r="AN48" s="133"/>
      <c r="AO48" s="133"/>
      <c r="AP48" s="133"/>
      <c r="AQ48" s="133"/>
      <c r="AR48" s="133"/>
      <c r="AS48" s="133"/>
      <c r="AT48" s="133"/>
      <c r="AU48" s="133"/>
      <c r="AV48" s="133"/>
      <c r="AW48" s="133"/>
    </row>
    <row r="49" spans="1:49">
      <c r="A49" s="49"/>
      <c r="B49" s="49"/>
      <c r="C49" s="49"/>
      <c r="D49" s="49"/>
      <c r="E49" s="49"/>
      <c r="F49" s="70" t="s">
        <v>1525</v>
      </c>
      <c r="G49" s="86"/>
      <c r="H49" s="99"/>
      <c r="I49" s="62"/>
      <c r="J49" s="62"/>
      <c r="K49" s="352"/>
      <c r="L49" s="62"/>
      <c r="M49" s="62"/>
      <c r="N49" s="49"/>
      <c r="O49" s="356" t="s">
        <v>1835</v>
      </c>
      <c r="P49" s="354"/>
      <c r="Q49" s="279"/>
      <c r="R49" s="62"/>
      <c r="S49" s="62"/>
      <c r="T49" s="352"/>
      <c r="U49" s="62"/>
      <c r="V49" s="49"/>
      <c r="W49" s="340" t="s">
        <v>1773</v>
      </c>
      <c r="X49" s="288"/>
      <c r="Y49" s="279"/>
      <c r="Z49" s="62"/>
      <c r="AA49" s="62"/>
      <c r="AB49" s="352"/>
      <c r="AC49" s="340" t="s">
        <v>1797</v>
      </c>
      <c r="AD49" s="49"/>
      <c r="AE49" s="49"/>
      <c r="AF49" s="49"/>
      <c r="AG49" s="49"/>
      <c r="AH49" s="133"/>
      <c r="AI49" s="133"/>
      <c r="AJ49" s="133"/>
      <c r="AK49" s="133"/>
      <c r="AL49" s="133"/>
      <c r="AM49" s="133"/>
      <c r="AN49" s="133"/>
      <c r="AO49" s="133"/>
      <c r="AP49" s="133"/>
      <c r="AQ49" s="133"/>
      <c r="AR49" s="133"/>
      <c r="AS49" s="133"/>
      <c r="AT49" s="133"/>
      <c r="AU49" s="133"/>
      <c r="AV49" s="133"/>
      <c r="AW49" s="133"/>
    </row>
    <row r="50" spans="1:49">
      <c r="A50" s="49"/>
      <c r="B50" s="49"/>
      <c r="C50" s="49"/>
      <c r="D50" s="49"/>
      <c r="E50" s="49"/>
      <c r="F50" s="88" t="s">
        <v>1527</v>
      </c>
      <c r="G50" s="89"/>
      <c r="H50" s="49" t="s">
        <v>1836</v>
      </c>
      <c r="I50" s="62"/>
      <c r="J50" s="62"/>
      <c r="K50" s="352"/>
      <c r="L50" s="62"/>
      <c r="M50" s="62"/>
      <c r="N50" s="49"/>
      <c r="O50" s="70" t="s">
        <v>1837</v>
      </c>
      <c r="P50" s="355"/>
      <c r="Q50" s="279"/>
      <c r="R50" s="62"/>
      <c r="S50" s="62"/>
      <c r="T50" s="352"/>
      <c r="U50" s="62"/>
      <c r="V50" s="49"/>
      <c r="W50" s="62"/>
      <c r="X50" s="288"/>
      <c r="Y50" s="279"/>
      <c r="Z50" s="62"/>
      <c r="AA50" s="62"/>
      <c r="AB50" s="352"/>
      <c r="AC50" s="62"/>
      <c r="AD50" s="49"/>
      <c r="AE50" s="49"/>
      <c r="AF50" s="49"/>
      <c r="AG50" s="49"/>
      <c r="AH50" s="133"/>
      <c r="AI50" s="133"/>
      <c r="AJ50" s="133"/>
      <c r="AK50" s="133"/>
      <c r="AL50" s="133"/>
      <c r="AM50" s="133"/>
      <c r="AN50" s="133"/>
      <c r="AO50" s="133"/>
      <c r="AP50" s="133"/>
      <c r="AQ50" s="133"/>
      <c r="AR50" s="133"/>
      <c r="AS50" s="133"/>
      <c r="AT50" s="133"/>
      <c r="AU50" s="133"/>
      <c r="AV50" s="133"/>
      <c r="AW50" s="133"/>
    </row>
    <row r="51" spans="1:49">
      <c r="A51" s="49"/>
      <c r="B51" s="49"/>
      <c r="C51" s="49"/>
      <c r="D51" s="49"/>
      <c r="E51" s="49"/>
      <c r="F51" s="70" t="s">
        <v>478</v>
      </c>
      <c r="G51" s="85"/>
      <c r="H51" s="99"/>
      <c r="I51" s="62"/>
      <c r="J51" s="62"/>
      <c r="K51" s="62"/>
      <c r="L51" s="288"/>
      <c r="M51" s="62"/>
      <c r="N51" s="49"/>
      <c r="O51" s="70" t="s">
        <v>1838</v>
      </c>
      <c r="P51" s="351"/>
      <c r="Q51" s="49"/>
      <c r="R51" s="49"/>
      <c r="S51" s="49"/>
      <c r="T51" s="99"/>
      <c r="U51" s="62"/>
      <c r="V51" s="49"/>
      <c r="W51" s="62"/>
      <c r="X51" s="288"/>
      <c r="Y51" s="79"/>
      <c r="Z51" s="352"/>
      <c r="AA51" s="62"/>
      <c r="AB51" s="150"/>
      <c r="AC51" s="351"/>
      <c r="AD51" s="49"/>
      <c r="AE51" s="49"/>
      <c r="AF51" s="49"/>
      <c r="AG51" s="49"/>
      <c r="AH51" s="133"/>
      <c r="AI51" s="133"/>
      <c r="AJ51" s="133"/>
      <c r="AK51" s="133"/>
      <c r="AL51" s="133"/>
      <c r="AM51" s="133"/>
      <c r="AN51" s="133"/>
      <c r="AO51" s="133"/>
      <c r="AP51" s="133"/>
      <c r="AQ51" s="133"/>
      <c r="AR51" s="133"/>
      <c r="AS51" s="133"/>
      <c r="AT51" s="133"/>
      <c r="AU51" s="133"/>
      <c r="AV51" s="133"/>
      <c r="AW51" s="133"/>
    </row>
    <row r="52" spans="1:49">
      <c r="A52" s="49"/>
      <c r="B52" s="49"/>
      <c r="C52" s="49"/>
      <c r="D52" s="49"/>
      <c r="E52" s="49"/>
      <c r="F52" s="70" t="s">
        <v>1839</v>
      </c>
      <c r="G52" s="49"/>
      <c r="H52" s="99"/>
      <c r="I52" s="62"/>
      <c r="J52" s="62"/>
      <c r="K52" s="62"/>
      <c r="L52" s="288"/>
      <c r="M52" s="62"/>
      <c r="N52" s="49"/>
      <c r="O52" s="150"/>
      <c r="P52" s="351"/>
      <c r="Q52" s="49"/>
      <c r="R52" s="49"/>
      <c r="S52" s="49"/>
      <c r="T52" s="99"/>
      <c r="U52" s="62"/>
      <c r="V52" s="49"/>
      <c r="W52" s="62"/>
      <c r="X52" s="288"/>
      <c r="Y52" s="79"/>
      <c r="Z52" s="352"/>
      <c r="AA52" s="62"/>
      <c r="AB52" s="150"/>
      <c r="AC52" s="351"/>
      <c r="AD52" s="49"/>
      <c r="AE52" s="49"/>
      <c r="AF52" s="49"/>
      <c r="AG52" s="49"/>
      <c r="AH52" s="133"/>
      <c r="AI52" s="133"/>
      <c r="AJ52" s="133"/>
      <c r="AK52" s="133"/>
      <c r="AL52" s="133"/>
      <c r="AM52" s="133"/>
      <c r="AN52" s="133"/>
      <c r="AO52" s="133"/>
      <c r="AP52" s="133"/>
      <c r="AQ52" s="133"/>
      <c r="AR52" s="133"/>
      <c r="AS52" s="133"/>
      <c r="AT52" s="133"/>
      <c r="AU52" s="133"/>
      <c r="AV52" s="133"/>
      <c r="AW52" s="133"/>
    </row>
    <row r="53" spans="1:49">
      <c r="A53" s="49"/>
      <c r="B53" s="49"/>
      <c r="C53" s="49"/>
      <c r="D53" s="49"/>
      <c r="E53" s="49"/>
      <c r="F53" s="49"/>
      <c r="G53" s="49"/>
      <c r="H53" s="99"/>
      <c r="I53" s="62"/>
      <c r="J53" s="62"/>
      <c r="K53" s="62"/>
      <c r="L53" s="288"/>
      <c r="M53" s="62"/>
      <c r="N53" s="150"/>
      <c r="O53" s="150"/>
      <c r="P53" s="351"/>
      <c r="Q53" s="49"/>
      <c r="R53" s="49"/>
      <c r="S53" s="49"/>
      <c r="T53" s="99"/>
      <c r="U53" s="62"/>
      <c r="V53" s="49"/>
      <c r="W53" s="62"/>
      <c r="X53" s="288"/>
      <c r="Y53" s="79"/>
      <c r="Z53" s="352"/>
      <c r="AA53" s="62"/>
      <c r="AB53" s="150"/>
      <c r="AC53" s="351"/>
      <c r="AD53" s="49"/>
      <c r="AE53" s="49"/>
      <c r="AF53" s="49"/>
      <c r="AG53" s="49"/>
      <c r="AH53" s="133"/>
      <c r="AI53" s="133"/>
      <c r="AJ53" s="133"/>
      <c r="AK53" s="133"/>
      <c r="AL53" s="133"/>
      <c r="AM53" s="133"/>
      <c r="AN53" s="133"/>
      <c r="AO53" s="133"/>
      <c r="AP53" s="133"/>
      <c r="AQ53" s="133"/>
      <c r="AR53" s="133"/>
      <c r="AS53" s="133"/>
      <c r="AT53" s="133"/>
      <c r="AU53" s="133"/>
      <c r="AV53" s="133"/>
      <c r="AW53" s="133"/>
    </row>
    <row r="54" spans="1:49">
      <c r="A54" s="49"/>
      <c r="B54" s="49"/>
      <c r="C54" s="49"/>
      <c r="D54" s="49"/>
      <c r="E54" s="49"/>
      <c r="F54" s="137" t="s">
        <v>1048</v>
      </c>
      <c r="G54" s="137"/>
      <c r="H54" s="137" t="s">
        <v>1840</v>
      </c>
      <c r="I54" s="133"/>
      <c r="J54" s="137"/>
      <c r="K54" s="137"/>
      <c r="L54" s="288"/>
      <c r="M54" s="62"/>
      <c r="N54" s="150"/>
      <c r="O54" s="137" t="s">
        <v>1841</v>
      </c>
      <c r="P54" s="137"/>
      <c r="Q54" s="137" t="s">
        <v>1842</v>
      </c>
      <c r="R54" s="133"/>
      <c r="S54" s="137"/>
      <c r="T54" s="137"/>
      <c r="U54" s="62"/>
      <c r="V54" s="49"/>
      <c r="W54" s="137" t="s">
        <v>943</v>
      </c>
      <c r="X54" s="137"/>
      <c r="Y54" s="137"/>
      <c r="Z54" s="137"/>
      <c r="AA54" s="137"/>
      <c r="AB54" s="137"/>
      <c r="AC54" s="137"/>
      <c r="AD54" s="49"/>
      <c r="AE54" s="49"/>
      <c r="AF54" s="49"/>
      <c r="AG54" s="49"/>
      <c r="AH54" s="133"/>
      <c r="AI54" s="133"/>
      <c r="AJ54" s="133"/>
      <c r="AK54" s="133"/>
      <c r="AL54" s="133"/>
      <c r="AM54" s="133"/>
      <c r="AN54" s="133"/>
      <c r="AO54" s="133"/>
      <c r="AP54" s="133"/>
      <c r="AQ54" s="133"/>
      <c r="AR54" s="133"/>
      <c r="AS54" s="133"/>
      <c r="AT54" s="133"/>
      <c r="AU54" s="133"/>
      <c r="AV54" s="133"/>
      <c r="AW54" s="133"/>
    </row>
    <row r="55" spans="1:49">
      <c r="A55" s="49"/>
      <c r="B55" s="49"/>
      <c r="C55" s="49"/>
      <c r="D55" s="49"/>
      <c r="E55" s="49"/>
      <c r="F55" s="342" t="s">
        <v>248</v>
      </c>
      <c r="G55" s="344"/>
      <c r="H55" s="136" t="s">
        <v>243</v>
      </c>
      <c r="I55" s="136" t="s">
        <v>244</v>
      </c>
      <c r="J55" s="136" t="s">
        <v>245</v>
      </c>
      <c r="K55" s="136" t="s">
        <v>250</v>
      </c>
      <c r="L55" s="288"/>
      <c r="M55" s="62"/>
      <c r="N55" s="150"/>
      <c r="O55" s="342" t="s">
        <v>1068</v>
      </c>
      <c r="P55" s="344"/>
      <c r="Q55" s="136" t="s">
        <v>243</v>
      </c>
      <c r="R55" s="136" t="s">
        <v>244</v>
      </c>
      <c r="S55" s="136" t="s">
        <v>245</v>
      </c>
      <c r="T55" s="136" t="s">
        <v>250</v>
      </c>
      <c r="U55" s="136" t="s">
        <v>354</v>
      </c>
      <c r="V55" s="49"/>
      <c r="W55" s="342" t="s">
        <v>248</v>
      </c>
      <c r="X55" s="344"/>
      <c r="Y55" s="136" t="s">
        <v>243</v>
      </c>
      <c r="Z55" s="136" t="s">
        <v>244</v>
      </c>
      <c r="AA55" s="136" t="s">
        <v>947</v>
      </c>
      <c r="AB55" s="136" t="s">
        <v>948</v>
      </c>
      <c r="AC55" s="136" t="s">
        <v>949</v>
      </c>
      <c r="AD55" s="49"/>
      <c r="AE55" s="49"/>
      <c r="AF55" s="49"/>
      <c r="AG55" s="49"/>
      <c r="AH55" s="133"/>
      <c r="AI55" s="133"/>
      <c r="AJ55" s="133"/>
      <c r="AK55" s="133"/>
      <c r="AL55" s="133"/>
      <c r="AM55" s="133"/>
      <c r="AN55" s="133"/>
      <c r="AO55" s="133"/>
      <c r="AP55" s="133"/>
      <c r="AQ55" s="133"/>
      <c r="AR55" s="133"/>
      <c r="AS55" s="133"/>
      <c r="AT55" s="133"/>
      <c r="AU55" s="133"/>
      <c r="AV55" s="133"/>
      <c r="AW55" s="133"/>
    </row>
    <row r="56" spans="1:49">
      <c r="A56" s="49"/>
      <c r="B56" s="49"/>
      <c r="C56" s="49"/>
      <c r="D56" s="49"/>
      <c r="E56" s="49"/>
      <c r="F56" s="95" t="s">
        <v>1843</v>
      </c>
      <c r="G56" s="345"/>
      <c r="H56" s="302">
        <v>1</v>
      </c>
      <c r="I56" s="120">
        <v>5800</v>
      </c>
      <c r="J56" s="357">
        <v>400</v>
      </c>
      <c r="K56" s="357">
        <f>J56*0.378</f>
        <v>151.19999999999999</v>
      </c>
      <c r="L56" s="288"/>
      <c r="M56" s="62"/>
      <c r="N56" s="150"/>
      <c r="O56" s="95" t="s">
        <v>761</v>
      </c>
      <c r="P56" s="345"/>
      <c r="Q56" s="302">
        <v>1</v>
      </c>
      <c r="R56" s="120">
        <v>30000</v>
      </c>
      <c r="S56" s="357">
        <v>800</v>
      </c>
      <c r="T56" s="357">
        <f>S56*3</f>
        <v>2400</v>
      </c>
      <c r="U56" s="357">
        <v>300</v>
      </c>
      <c r="V56" s="49"/>
      <c r="W56" s="95" t="s">
        <v>444</v>
      </c>
      <c r="X56" s="345"/>
      <c r="Y56" s="312">
        <v>1</v>
      </c>
      <c r="Z56" s="120">
        <v>1700</v>
      </c>
      <c r="AA56" s="120">
        <v>65</v>
      </c>
      <c r="AB56" s="120">
        <v>130</v>
      </c>
      <c r="AC56" s="120">
        <v>1300</v>
      </c>
      <c r="AD56" s="49"/>
      <c r="AE56" s="49"/>
      <c r="AF56" s="49"/>
      <c r="AG56" s="49"/>
      <c r="AH56" s="133"/>
      <c r="AI56" s="133"/>
      <c r="AJ56" s="133"/>
      <c r="AK56" s="133"/>
      <c r="AL56" s="133"/>
      <c r="AM56" s="133"/>
      <c r="AN56" s="133"/>
      <c r="AO56" s="133"/>
      <c r="AP56" s="133"/>
      <c r="AQ56" s="133"/>
      <c r="AR56" s="133"/>
      <c r="AS56" s="133"/>
      <c r="AT56" s="133"/>
      <c r="AU56" s="133"/>
      <c r="AV56" s="133"/>
      <c r="AW56" s="133"/>
    </row>
    <row r="57" spans="1:49">
      <c r="A57" s="49"/>
      <c r="B57" s="49"/>
      <c r="C57" s="49"/>
      <c r="D57" s="49"/>
      <c r="E57" s="49"/>
      <c r="F57" s="95" t="s">
        <v>1051</v>
      </c>
      <c r="G57" s="345"/>
      <c r="H57" s="302">
        <v>2</v>
      </c>
      <c r="I57" s="120">
        <v>6100</v>
      </c>
      <c r="J57" s="357">
        <v>438</v>
      </c>
      <c r="K57" s="357">
        <f t="shared" ref="K57:K60" si="8">J57*0.378</f>
        <v>165.56399999999999</v>
      </c>
      <c r="L57" s="288"/>
      <c r="M57" s="62"/>
      <c r="N57" s="150"/>
      <c r="O57" s="95" t="s">
        <v>1844</v>
      </c>
      <c r="P57" s="345"/>
      <c r="Q57" s="302">
        <v>2</v>
      </c>
      <c r="R57" s="120">
        <v>33500</v>
      </c>
      <c r="S57" s="357">
        <v>900</v>
      </c>
      <c r="T57" s="357">
        <f t="shared" ref="T57:T60" si="9">S57*3</f>
        <v>2700</v>
      </c>
      <c r="U57" s="357">
        <v>350</v>
      </c>
      <c r="V57" s="49"/>
      <c r="W57" s="95" t="s">
        <v>951</v>
      </c>
      <c r="X57" s="345"/>
      <c r="Y57" s="312">
        <v>2</v>
      </c>
      <c r="Z57" s="120">
        <v>1900</v>
      </c>
      <c r="AA57" s="120">
        <v>70</v>
      </c>
      <c r="AB57" s="120">
        <v>140</v>
      </c>
      <c r="AC57" s="120">
        <v>1400</v>
      </c>
      <c r="AD57" s="49"/>
      <c r="AE57" s="49"/>
      <c r="AF57" s="49"/>
      <c r="AG57" s="49"/>
      <c r="AH57" s="133"/>
      <c r="AI57" s="133"/>
      <c r="AJ57" s="133"/>
      <c r="AK57" s="133"/>
      <c r="AL57" s="133"/>
      <c r="AM57" s="133"/>
      <c r="AN57" s="133"/>
      <c r="AO57" s="133"/>
      <c r="AP57" s="133"/>
      <c r="AQ57" s="133"/>
      <c r="AR57" s="133"/>
      <c r="AS57" s="133"/>
      <c r="AT57" s="133"/>
      <c r="AU57" s="133"/>
      <c r="AV57" s="133"/>
      <c r="AW57" s="133"/>
    </row>
    <row r="58" spans="1:49">
      <c r="A58" s="49"/>
      <c r="B58" s="49"/>
      <c r="C58" s="49"/>
      <c r="D58" s="49"/>
      <c r="E58" s="49"/>
      <c r="F58" s="346" t="s">
        <v>1833</v>
      </c>
      <c r="G58" s="347"/>
      <c r="H58" s="312">
        <v>3</v>
      </c>
      <c r="I58" s="120">
        <v>6400</v>
      </c>
      <c r="J58" s="357">
        <v>476</v>
      </c>
      <c r="K58" s="357">
        <f t="shared" si="8"/>
        <v>179.928</v>
      </c>
      <c r="L58" s="288"/>
      <c r="M58" s="62"/>
      <c r="N58" s="150"/>
      <c r="O58" s="346" t="s">
        <v>1845</v>
      </c>
      <c r="P58" s="347"/>
      <c r="Q58" s="312">
        <v>3</v>
      </c>
      <c r="R58" s="120">
        <v>37000</v>
      </c>
      <c r="S58" s="357">
        <v>1000</v>
      </c>
      <c r="T58" s="357">
        <f t="shared" si="9"/>
        <v>3000</v>
      </c>
      <c r="U58" s="357">
        <v>400</v>
      </c>
      <c r="V58" s="49"/>
      <c r="W58" s="346" t="s">
        <v>775</v>
      </c>
      <c r="X58" s="347"/>
      <c r="Y58" s="303">
        <v>3</v>
      </c>
      <c r="Z58" s="120">
        <v>2100</v>
      </c>
      <c r="AA58" s="120">
        <v>75</v>
      </c>
      <c r="AB58" s="120">
        <v>150</v>
      </c>
      <c r="AC58" s="120">
        <v>1500</v>
      </c>
      <c r="AD58" s="49"/>
      <c r="AE58" s="49"/>
      <c r="AF58" s="49"/>
      <c r="AG58" s="49"/>
      <c r="AH58" s="133"/>
      <c r="AI58" s="133"/>
      <c r="AJ58" s="133"/>
      <c r="AK58" s="133"/>
      <c r="AL58" s="133"/>
      <c r="AM58" s="133"/>
      <c r="AN58" s="133"/>
      <c r="AO58" s="133"/>
      <c r="AP58" s="133"/>
      <c r="AQ58" s="133"/>
      <c r="AR58" s="133"/>
      <c r="AS58" s="133"/>
      <c r="AT58" s="133"/>
      <c r="AU58" s="133"/>
      <c r="AV58" s="133"/>
      <c r="AW58" s="133"/>
    </row>
    <row r="59" spans="1:49">
      <c r="A59" s="49"/>
      <c r="B59" s="49"/>
      <c r="C59" s="49"/>
      <c r="D59" s="49"/>
      <c r="E59" s="49"/>
      <c r="F59" s="134" t="s">
        <v>1846</v>
      </c>
      <c r="G59" s="344"/>
      <c r="H59" s="303">
        <v>4</v>
      </c>
      <c r="I59" s="120">
        <v>6700</v>
      </c>
      <c r="J59" s="357">
        <v>514</v>
      </c>
      <c r="K59" s="357">
        <f t="shared" si="8"/>
        <v>194.292</v>
      </c>
      <c r="L59" s="288"/>
      <c r="M59" s="62"/>
      <c r="N59" s="62"/>
      <c r="O59" s="49" t="s">
        <v>1847</v>
      </c>
      <c r="P59" s="344"/>
      <c r="Q59" s="303">
        <v>4</v>
      </c>
      <c r="R59" s="120">
        <v>40500</v>
      </c>
      <c r="S59" s="357">
        <v>1100</v>
      </c>
      <c r="T59" s="357">
        <f t="shared" si="9"/>
        <v>3300</v>
      </c>
      <c r="U59" s="357">
        <v>450</v>
      </c>
      <c r="V59" s="49"/>
      <c r="W59" s="137" t="s">
        <v>954</v>
      </c>
      <c r="X59" s="344"/>
      <c r="Y59" s="313">
        <v>4</v>
      </c>
      <c r="Z59" s="120">
        <v>2300</v>
      </c>
      <c r="AA59" s="120">
        <v>80</v>
      </c>
      <c r="AB59" s="120">
        <v>160</v>
      </c>
      <c r="AC59" s="120">
        <v>1600</v>
      </c>
      <c r="AD59" s="49"/>
      <c r="AE59" s="49"/>
      <c r="AF59" s="49"/>
      <c r="AG59" s="49"/>
      <c r="AH59" s="133"/>
      <c r="AI59" s="133"/>
      <c r="AJ59" s="133"/>
      <c r="AK59" s="133"/>
      <c r="AL59" s="133"/>
      <c r="AM59" s="133"/>
      <c r="AN59" s="133"/>
      <c r="AO59" s="133"/>
      <c r="AP59" s="133"/>
      <c r="AQ59" s="133"/>
      <c r="AR59" s="133"/>
      <c r="AS59" s="133"/>
      <c r="AT59" s="133"/>
      <c r="AU59" s="133"/>
      <c r="AV59" s="133"/>
      <c r="AW59" s="133"/>
    </row>
    <row r="60" spans="1:49">
      <c r="A60" s="49"/>
      <c r="B60" s="49"/>
      <c r="C60" s="49"/>
      <c r="D60" s="49"/>
      <c r="E60" s="49"/>
      <c r="F60" s="49" t="s">
        <v>1055</v>
      </c>
      <c r="G60" s="345"/>
      <c r="H60" s="313">
        <v>5</v>
      </c>
      <c r="I60" s="120">
        <v>7000</v>
      </c>
      <c r="J60" s="357">
        <v>552</v>
      </c>
      <c r="K60" s="357">
        <f t="shared" si="8"/>
        <v>208.65600000000001</v>
      </c>
      <c r="L60" s="288"/>
      <c r="M60" s="62"/>
      <c r="N60" s="62"/>
      <c r="O60" s="116" t="s">
        <v>1848</v>
      </c>
      <c r="P60" s="345"/>
      <c r="Q60" s="313">
        <v>5</v>
      </c>
      <c r="R60" s="120">
        <v>44000</v>
      </c>
      <c r="S60" s="357">
        <v>1200</v>
      </c>
      <c r="T60" s="357">
        <f t="shared" si="9"/>
        <v>3600</v>
      </c>
      <c r="U60" s="357">
        <v>500</v>
      </c>
      <c r="V60" s="49"/>
      <c r="W60" s="137" t="s">
        <v>957</v>
      </c>
      <c r="X60" s="345"/>
      <c r="Y60" s="90"/>
      <c r="Z60" s="120"/>
      <c r="AA60" s="120"/>
      <c r="AB60" s="120"/>
      <c r="AC60" s="120"/>
      <c r="AD60" s="49"/>
      <c r="AE60" s="49"/>
      <c r="AF60" s="49"/>
      <c r="AG60" s="49"/>
      <c r="AH60" s="133"/>
      <c r="AI60" s="133"/>
      <c r="AJ60" s="133"/>
      <c r="AK60" s="133"/>
      <c r="AL60" s="133"/>
      <c r="AM60" s="133"/>
      <c r="AN60" s="133"/>
      <c r="AO60" s="133"/>
      <c r="AP60" s="133"/>
      <c r="AQ60" s="133"/>
      <c r="AR60" s="133"/>
      <c r="AS60" s="133"/>
      <c r="AT60" s="133"/>
      <c r="AU60" s="133"/>
      <c r="AV60" s="133"/>
      <c r="AW60" s="133"/>
    </row>
    <row r="61" spans="1:49">
      <c r="A61" s="49"/>
      <c r="B61" s="49"/>
      <c r="C61" s="49"/>
      <c r="D61" s="49"/>
      <c r="E61" s="49"/>
      <c r="F61" s="349" t="s">
        <v>1056</v>
      </c>
      <c r="G61" s="347"/>
      <c r="H61" s="133"/>
      <c r="I61" s="133"/>
      <c r="J61" s="133"/>
      <c r="K61" s="133"/>
      <c r="L61" s="288"/>
      <c r="M61" s="62"/>
      <c r="N61" s="62"/>
      <c r="O61" s="349" t="s">
        <v>1849</v>
      </c>
      <c r="P61" s="347"/>
      <c r="Q61" s="133"/>
      <c r="R61" s="133"/>
      <c r="S61" s="133"/>
      <c r="T61" s="133"/>
      <c r="U61" s="49"/>
      <c r="V61" s="49"/>
      <c r="W61" s="346" t="s">
        <v>959</v>
      </c>
      <c r="X61" s="347"/>
      <c r="Y61" s="91"/>
      <c r="Z61" s="120"/>
      <c r="AA61" s="120"/>
      <c r="AB61" s="120"/>
      <c r="AC61" s="120"/>
      <c r="AD61" s="49"/>
      <c r="AE61" s="49"/>
      <c r="AF61" s="49"/>
      <c r="AG61" s="49"/>
      <c r="AH61" s="133"/>
      <c r="AI61" s="133"/>
      <c r="AJ61" s="133"/>
      <c r="AK61" s="133"/>
      <c r="AL61" s="133"/>
      <c r="AM61" s="133"/>
      <c r="AN61" s="133"/>
      <c r="AO61" s="133"/>
      <c r="AP61" s="133"/>
      <c r="AQ61" s="133"/>
      <c r="AR61" s="133"/>
      <c r="AS61" s="133"/>
      <c r="AT61" s="133"/>
      <c r="AU61" s="133"/>
      <c r="AV61" s="133"/>
      <c r="AW61" s="133"/>
    </row>
    <row r="62" spans="1:49">
      <c r="A62" s="49"/>
      <c r="B62" s="49"/>
      <c r="C62" s="49"/>
      <c r="D62" s="49"/>
      <c r="E62" s="49"/>
      <c r="F62" s="95" t="s">
        <v>1057</v>
      </c>
      <c r="G62" s="344"/>
      <c r="H62" s="142" t="s">
        <v>1062</v>
      </c>
      <c r="I62" s="133"/>
      <c r="J62" s="133"/>
      <c r="K62" s="133"/>
      <c r="L62" s="137"/>
      <c r="M62" s="137"/>
      <c r="N62" s="62"/>
      <c r="O62" s="95" t="s">
        <v>1850</v>
      </c>
      <c r="P62" s="344"/>
      <c r="Q62" s="142" t="s">
        <v>1851</v>
      </c>
      <c r="R62" s="133"/>
      <c r="S62" s="133"/>
      <c r="T62" s="133"/>
      <c r="U62" s="49"/>
      <c r="V62" s="49"/>
      <c r="W62" s="95" t="s">
        <v>604</v>
      </c>
      <c r="X62" s="344"/>
      <c r="Y62" s="92"/>
      <c r="Z62" s="120"/>
      <c r="AA62" s="120"/>
      <c r="AB62" s="120"/>
      <c r="AC62" s="120"/>
      <c r="AD62" s="49"/>
      <c r="AE62" s="49"/>
      <c r="AF62" s="49"/>
      <c r="AG62" s="49"/>
      <c r="AH62" s="133"/>
      <c r="AI62" s="133"/>
      <c r="AJ62" s="133"/>
      <c r="AK62" s="133"/>
      <c r="AL62" s="133"/>
      <c r="AM62" s="133"/>
      <c r="AN62" s="133"/>
      <c r="AO62" s="133"/>
      <c r="AP62" s="133"/>
      <c r="AQ62" s="133"/>
      <c r="AR62" s="133"/>
      <c r="AS62" s="133"/>
      <c r="AT62" s="133"/>
      <c r="AU62" s="133"/>
      <c r="AV62" s="133"/>
      <c r="AW62" s="133"/>
    </row>
    <row r="63" spans="1:49">
      <c r="A63" s="49"/>
      <c r="B63" s="49"/>
      <c r="C63" s="49"/>
      <c r="D63" s="49"/>
      <c r="E63" s="49"/>
      <c r="F63" s="70" t="s">
        <v>1838</v>
      </c>
      <c r="G63" s="345"/>
      <c r="H63" s="142" t="s">
        <v>1065</v>
      </c>
      <c r="I63" s="133"/>
      <c r="J63" s="133"/>
      <c r="K63" s="133"/>
      <c r="L63" s="120"/>
      <c r="M63" s="150"/>
      <c r="N63" s="62"/>
      <c r="O63" s="70" t="s">
        <v>1852</v>
      </c>
      <c r="P63" s="49"/>
      <c r="Q63" s="49"/>
      <c r="R63" s="70"/>
      <c r="S63" s="70"/>
      <c r="T63" s="90"/>
      <c r="U63" s="62"/>
      <c r="V63" s="49"/>
      <c r="W63" s="95"/>
      <c r="X63" s="95"/>
      <c r="Y63" s="95"/>
      <c r="Z63" s="133"/>
      <c r="AA63" s="133"/>
      <c r="AB63" s="133"/>
      <c r="AC63" s="133"/>
      <c r="AD63" s="49"/>
      <c r="AE63" s="49"/>
      <c r="AF63" s="49"/>
      <c r="AG63" s="49"/>
      <c r="AH63" s="133"/>
      <c r="AI63" s="133"/>
      <c r="AJ63" s="133"/>
      <c r="AK63" s="133"/>
      <c r="AL63" s="133"/>
      <c r="AM63" s="133"/>
      <c r="AN63" s="133"/>
      <c r="AO63" s="133"/>
      <c r="AP63" s="133"/>
      <c r="AQ63" s="133"/>
      <c r="AR63" s="133"/>
      <c r="AS63" s="133"/>
      <c r="AT63" s="133"/>
      <c r="AU63" s="133"/>
      <c r="AV63" s="133"/>
      <c r="AW63" s="133"/>
    </row>
    <row r="64" spans="1:49">
      <c r="A64" s="49"/>
      <c r="B64" s="49"/>
      <c r="C64" s="49"/>
      <c r="D64" s="49"/>
      <c r="E64" s="49"/>
      <c r="F64" s="70"/>
      <c r="G64" s="70"/>
      <c r="H64" s="99"/>
      <c r="I64" s="62"/>
      <c r="J64" s="62"/>
      <c r="K64" s="352"/>
      <c r="L64" s="120"/>
      <c r="M64" s="150"/>
      <c r="N64" s="62"/>
      <c r="O64" s="351"/>
      <c r="P64" s="49"/>
      <c r="Q64" s="49"/>
      <c r="R64" s="70"/>
      <c r="S64" s="70"/>
      <c r="T64" s="90"/>
      <c r="U64" s="62"/>
      <c r="V64" s="49"/>
      <c r="W64" s="95"/>
      <c r="X64" s="95"/>
      <c r="Y64" s="95"/>
      <c r="Z64" s="133"/>
      <c r="AA64" s="133"/>
      <c r="AB64" s="133"/>
      <c r="AC64" s="133"/>
      <c r="AD64" s="49"/>
      <c r="AE64" s="49"/>
      <c r="AF64" s="49"/>
      <c r="AG64" s="49"/>
      <c r="AH64" s="133"/>
      <c r="AI64" s="133"/>
      <c r="AJ64" s="133"/>
      <c r="AK64" s="133"/>
      <c r="AL64" s="133"/>
      <c r="AM64" s="133"/>
      <c r="AN64" s="133"/>
      <c r="AO64" s="133"/>
      <c r="AP64" s="133"/>
      <c r="AQ64" s="133"/>
      <c r="AR64" s="133"/>
      <c r="AS64" s="133"/>
      <c r="AT64" s="133"/>
      <c r="AU64" s="133"/>
      <c r="AV64" s="133"/>
      <c r="AW64" s="133"/>
    </row>
    <row r="65" spans="1:49">
      <c r="A65" s="49"/>
      <c r="B65" s="49"/>
      <c r="C65" s="49"/>
      <c r="D65" s="49"/>
      <c r="E65" s="49"/>
      <c r="F65" s="70"/>
      <c r="G65" s="70"/>
      <c r="H65" s="99"/>
      <c r="I65" s="62"/>
      <c r="J65" s="62"/>
      <c r="K65" s="352"/>
      <c r="L65" s="120"/>
      <c r="M65" s="150"/>
      <c r="N65" s="62"/>
      <c r="O65" s="351"/>
      <c r="P65" s="49"/>
      <c r="Q65" s="49"/>
      <c r="R65" s="70"/>
      <c r="S65" s="70"/>
      <c r="T65" s="90"/>
      <c r="U65" s="62"/>
      <c r="V65" s="49"/>
      <c r="W65" s="95"/>
      <c r="X65" s="95"/>
      <c r="Y65" s="95"/>
      <c r="Z65" s="133"/>
      <c r="AA65" s="133"/>
      <c r="AB65" s="133"/>
      <c r="AC65" s="133"/>
      <c r="AD65" s="49"/>
      <c r="AE65" s="49"/>
      <c r="AF65" s="49"/>
      <c r="AG65" s="49"/>
      <c r="AH65" s="133"/>
      <c r="AI65" s="133"/>
      <c r="AJ65" s="133"/>
      <c r="AK65" s="133"/>
      <c r="AL65" s="133"/>
      <c r="AM65" s="133"/>
      <c r="AN65" s="133"/>
      <c r="AO65" s="133"/>
      <c r="AP65" s="133"/>
      <c r="AQ65" s="133"/>
      <c r="AR65" s="133"/>
      <c r="AS65" s="133"/>
      <c r="AT65" s="133"/>
      <c r="AU65" s="133"/>
      <c r="AV65" s="133"/>
      <c r="AW65" s="133"/>
    </row>
    <row r="66" spans="1:49">
      <c r="A66" s="49"/>
      <c r="B66" s="49"/>
      <c r="C66" s="49"/>
      <c r="D66" s="49"/>
      <c r="E66" s="49"/>
      <c r="F66" s="70"/>
      <c r="G66" s="70"/>
      <c r="H66" s="99"/>
      <c r="I66" s="62"/>
      <c r="J66" s="62"/>
      <c r="K66" s="352"/>
      <c r="L66" s="120"/>
      <c r="M66" s="150"/>
      <c r="N66" s="62"/>
      <c r="O66" s="351"/>
      <c r="P66" s="49"/>
      <c r="Q66" s="49"/>
      <c r="R66" s="70"/>
      <c r="S66" s="70"/>
      <c r="T66" s="90"/>
      <c r="U66" s="62"/>
      <c r="V66" s="49"/>
      <c r="W66" s="62"/>
      <c r="X66" s="62"/>
      <c r="Y66" s="62"/>
      <c r="Z66" s="352"/>
      <c r="AA66" s="62"/>
      <c r="AB66" s="150"/>
      <c r="AC66" s="351"/>
      <c r="AD66" s="49"/>
      <c r="AE66" s="49"/>
      <c r="AF66" s="49"/>
      <c r="AG66" s="49"/>
      <c r="AH66" s="133"/>
      <c r="AI66" s="133"/>
      <c r="AJ66" s="133"/>
      <c r="AK66" s="133"/>
      <c r="AL66" s="133"/>
      <c r="AM66" s="133"/>
      <c r="AN66" s="133"/>
      <c r="AO66" s="133"/>
      <c r="AP66" s="133"/>
      <c r="AQ66" s="133"/>
      <c r="AR66" s="133"/>
      <c r="AS66" s="133"/>
      <c r="AT66" s="133"/>
      <c r="AU66" s="133"/>
      <c r="AV66" s="133"/>
      <c r="AW66" s="133"/>
    </row>
    <row r="67" spans="1:49">
      <c r="A67" s="49"/>
      <c r="B67" s="49"/>
      <c r="C67" s="49"/>
      <c r="D67" s="49"/>
      <c r="E67" s="49"/>
      <c r="F67" s="70"/>
      <c r="G67" s="70"/>
      <c r="H67" s="99"/>
      <c r="I67" s="62"/>
      <c r="J67" s="62"/>
      <c r="K67" s="352"/>
      <c r="L67" s="133"/>
      <c r="M67" s="133"/>
      <c r="N67" s="62"/>
      <c r="O67" s="351"/>
      <c r="P67" s="49"/>
      <c r="Q67" s="49"/>
      <c r="R67" s="70"/>
      <c r="S67" s="70"/>
      <c r="T67" s="90"/>
      <c r="U67" s="62"/>
      <c r="V67" s="49"/>
      <c r="W67" s="62"/>
      <c r="X67" s="288"/>
      <c r="Y67" s="79"/>
      <c r="Z67" s="352"/>
      <c r="AA67" s="62"/>
      <c r="AB67" s="150"/>
      <c r="AC67" s="351"/>
      <c r="AD67" s="49"/>
      <c r="AE67" s="49"/>
      <c r="AF67" s="49"/>
      <c r="AG67" s="49"/>
      <c r="AH67" s="133"/>
      <c r="AI67" s="133"/>
      <c r="AJ67" s="133"/>
      <c r="AK67" s="133"/>
      <c r="AL67" s="133"/>
      <c r="AM67" s="133"/>
      <c r="AN67" s="133"/>
      <c r="AO67" s="133"/>
      <c r="AP67" s="133"/>
      <c r="AQ67" s="133"/>
      <c r="AR67" s="133"/>
      <c r="AS67" s="133"/>
      <c r="AT67" s="133"/>
      <c r="AU67" s="133"/>
      <c r="AV67" s="133"/>
      <c r="AW67" s="133"/>
    </row>
    <row r="68" spans="1:49">
      <c r="A68" s="49"/>
      <c r="B68" s="49"/>
      <c r="C68" s="49"/>
      <c r="D68" s="49"/>
      <c r="E68" s="49"/>
      <c r="F68" s="70"/>
      <c r="G68" s="70"/>
      <c r="H68" s="99"/>
      <c r="I68" s="62"/>
      <c r="J68" s="62"/>
      <c r="K68" s="352"/>
      <c r="L68" s="133"/>
      <c r="M68" s="133"/>
      <c r="N68" s="62"/>
      <c r="O68" s="351"/>
      <c r="P68" s="49"/>
      <c r="Q68" s="49"/>
      <c r="R68" s="70"/>
      <c r="S68" s="70"/>
      <c r="T68" s="90"/>
      <c r="U68" s="62"/>
      <c r="V68" s="49"/>
      <c r="W68" s="62"/>
      <c r="X68" s="288"/>
      <c r="Y68" s="79"/>
      <c r="Z68" s="352"/>
      <c r="AA68" s="62"/>
      <c r="AB68" s="150"/>
      <c r="AC68" s="351"/>
      <c r="AD68" s="49"/>
      <c r="AE68" s="49"/>
      <c r="AF68" s="49"/>
      <c r="AG68" s="49"/>
      <c r="AH68" s="133"/>
      <c r="AI68" s="133"/>
      <c r="AJ68" s="133"/>
      <c r="AK68" s="133"/>
      <c r="AL68" s="133"/>
      <c r="AM68" s="133"/>
      <c r="AN68" s="133"/>
      <c r="AO68" s="133"/>
      <c r="AP68" s="133"/>
      <c r="AQ68" s="133"/>
      <c r="AR68" s="133"/>
      <c r="AS68" s="133"/>
      <c r="AT68" s="133"/>
      <c r="AU68" s="133"/>
      <c r="AV68" s="133"/>
      <c r="AW68" s="133"/>
    </row>
    <row r="69" spans="1:49">
      <c r="A69" s="49"/>
      <c r="B69" s="49"/>
      <c r="C69" s="49"/>
      <c r="D69" s="49"/>
      <c r="E69" s="49"/>
      <c r="F69" s="70"/>
      <c r="G69" s="70"/>
      <c r="H69" s="99"/>
      <c r="I69" s="62"/>
      <c r="J69" s="62"/>
      <c r="K69" s="352"/>
      <c r="L69" s="133"/>
      <c r="M69" s="133"/>
      <c r="N69" s="49"/>
      <c r="O69" s="351"/>
      <c r="P69" s="49"/>
      <c r="Q69" s="49"/>
      <c r="R69" s="70"/>
      <c r="S69" s="70"/>
      <c r="T69" s="90"/>
      <c r="U69" s="62"/>
      <c r="V69" s="49"/>
      <c r="W69" s="49"/>
      <c r="X69" s="49"/>
      <c r="Y69" s="49"/>
      <c r="Z69" s="49"/>
      <c r="AA69" s="49"/>
      <c r="AB69" s="49"/>
      <c r="AC69" s="49"/>
      <c r="AD69" s="49"/>
      <c r="AE69" s="133"/>
      <c r="AF69" s="133"/>
      <c r="AG69" s="133"/>
      <c r="AH69" s="133"/>
      <c r="AI69" s="133"/>
      <c r="AJ69" s="133"/>
      <c r="AK69" s="133"/>
      <c r="AL69" s="133"/>
      <c r="AM69" s="133"/>
      <c r="AN69" s="133"/>
      <c r="AO69" s="133"/>
      <c r="AP69" s="133"/>
      <c r="AQ69" s="133"/>
      <c r="AR69" s="133"/>
      <c r="AS69" s="133"/>
      <c r="AT69" s="133"/>
      <c r="AU69" s="133"/>
      <c r="AV69" s="133"/>
      <c r="AW69" s="133"/>
    </row>
    <row r="70" spans="1:49">
      <c r="A70" s="49"/>
      <c r="B70" s="49"/>
      <c r="C70" s="49"/>
      <c r="D70" s="49"/>
      <c r="E70" s="49"/>
      <c r="F70" s="70"/>
      <c r="G70" s="70"/>
      <c r="H70" s="99"/>
      <c r="I70" s="62"/>
      <c r="J70" s="62"/>
      <c r="K70" s="352"/>
      <c r="L70" s="133"/>
      <c r="M70" s="133"/>
      <c r="N70" s="49"/>
      <c r="O70" s="351"/>
      <c r="P70" s="49"/>
      <c r="Q70" s="49"/>
      <c r="R70" s="70"/>
      <c r="S70" s="70"/>
      <c r="T70" s="90"/>
      <c r="U70" s="62"/>
      <c r="V70" s="49"/>
      <c r="W70" s="49"/>
      <c r="X70" s="49"/>
      <c r="Y70" s="49"/>
      <c r="Z70" s="49"/>
      <c r="AA70" s="49"/>
      <c r="AB70" s="49"/>
      <c r="AC70" s="49"/>
      <c r="AD70" s="49"/>
      <c r="AE70" s="133"/>
      <c r="AF70" s="133"/>
      <c r="AG70" s="133"/>
      <c r="AH70" s="133"/>
      <c r="AI70" s="133"/>
      <c r="AJ70" s="133"/>
      <c r="AK70" s="133"/>
      <c r="AL70" s="133"/>
      <c r="AM70" s="133"/>
      <c r="AN70" s="133"/>
      <c r="AO70" s="133"/>
      <c r="AP70" s="133"/>
      <c r="AQ70" s="133"/>
      <c r="AR70" s="133"/>
      <c r="AS70" s="133"/>
      <c r="AT70" s="133"/>
      <c r="AU70" s="133"/>
      <c r="AV70" s="133"/>
      <c r="AW70" s="133"/>
    </row>
    <row r="71" spans="1:49">
      <c r="A71" s="49"/>
      <c r="B71" s="49"/>
      <c r="C71" s="49"/>
      <c r="D71" s="49"/>
      <c r="E71" s="49"/>
      <c r="F71" s="70"/>
      <c r="G71" s="70"/>
      <c r="H71" s="99"/>
      <c r="I71" s="62"/>
      <c r="J71" s="62"/>
      <c r="K71" s="352"/>
      <c r="L71" s="133"/>
      <c r="M71" s="133"/>
      <c r="N71" s="137"/>
      <c r="O71" s="351"/>
      <c r="P71" s="49"/>
      <c r="Q71" s="49"/>
      <c r="R71" s="70"/>
      <c r="S71" s="70"/>
      <c r="T71" s="90"/>
      <c r="U71" s="62"/>
      <c r="V71" s="49"/>
      <c r="W71" s="49"/>
      <c r="X71" s="49"/>
      <c r="Y71" s="49"/>
      <c r="Z71" s="49"/>
      <c r="AA71" s="49"/>
      <c r="AB71" s="49"/>
      <c r="AC71" s="49"/>
      <c r="AD71" s="137"/>
      <c r="AE71" s="133"/>
      <c r="AF71" s="133"/>
      <c r="AG71" s="133"/>
      <c r="AH71" s="133"/>
      <c r="AI71" s="133"/>
      <c r="AJ71" s="133"/>
      <c r="AK71" s="133"/>
      <c r="AL71" s="133"/>
      <c r="AM71" s="133"/>
      <c r="AN71" s="133"/>
      <c r="AO71" s="133"/>
      <c r="AP71" s="133"/>
      <c r="AQ71" s="133"/>
      <c r="AR71" s="133"/>
      <c r="AS71" s="133"/>
      <c r="AT71" s="133"/>
      <c r="AU71" s="133"/>
      <c r="AV71" s="133"/>
      <c r="AW71" s="133"/>
    </row>
    <row r="72" spans="1:49">
      <c r="A72" s="49"/>
      <c r="B72" s="49"/>
      <c r="C72" s="49"/>
      <c r="D72" s="49"/>
      <c r="E72" s="49"/>
      <c r="F72" s="70"/>
      <c r="G72" s="70"/>
      <c r="H72" s="99"/>
      <c r="I72" s="62"/>
      <c r="J72" s="62"/>
      <c r="K72" s="352"/>
      <c r="L72" s="133"/>
      <c r="M72" s="133"/>
      <c r="N72" s="62"/>
      <c r="O72" s="351"/>
      <c r="P72" s="49"/>
      <c r="Q72" s="49"/>
      <c r="R72" s="70"/>
      <c r="S72" s="70"/>
      <c r="T72" s="90"/>
      <c r="U72" s="62"/>
      <c r="V72" s="49"/>
      <c r="W72" s="62"/>
      <c r="X72" s="62"/>
      <c r="Y72" s="62"/>
      <c r="Z72" s="62"/>
      <c r="AA72" s="62"/>
      <c r="AB72" s="62"/>
      <c r="AC72" s="62"/>
      <c r="AD72" s="62"/>
      <c r="AE72" s="133"/>
      <c r="AF72" s="133"/>
      <c r="AG72" s="133"/>
      <c r="AH72" s="133"/>
      <c r="AI72" s="133"/>
      <c r="AJ72" s="133"/>
      <c r="AK72" s="133"/>
      <c r="AL72" s="133"/>
      <c r="AM72" s="133"/>
      <c r="AN72" s="133"/>
      <c r="AO72" s="133"/>
      <c r="AP72" s="133"/>
      <c r="AQ72" s="133"/>
      <c r="AR72" s="133"/>
      <c r="AS72" s="133"/>
      <c r="AT72" s="133"/>
      <c r="AU72" s="133"/>
      <c r="AV72" s="133"/>
      <c r="AW72" s="133"/>
    </row>
    <row r="73" spans="1:49">
      <c r="A73" s="49"/>
      <c r="B73" s="49"/>
      <c r="C73" s="49"/>
      <c r="D73" s="49"/>
      <c r="E73" s="49"/>
      <c r="F73" s="70"/>
      <c r="G73" s="70"/>
      <c r="H73" s="99"/>
      <c r="I73" s="62"/>
      <c r="J73" s="62"/>
      <c r="K73" s="352"/>
      <c r="L73" s="133"/>
      <c r="M73" s="133"/>
      <c r="N73" s="62"/>
      <c r="O73" s="351"/>
      <c r="P73" s="49"/>
      <c r="Q73" s="49"/>
      <c r="R73" s="70"/>
      <c r="S73" s="70"/>
      <c r="T73" s="90"/>
      <c r="U73" s="62"/>
      <c r="V73" s="49"/>
      <c r="W73" s="62"/>
      <c r="X73" s="352"/>
      <c r="Y73" s="62"/>
      <c r="Z73" s="62"/>
      <c r="AA73" s="62"/>
      <c r="AB73" s="62"/>
      <c r="AC73" s="62"/>
      <c r="AD73" s="62"/>
      <c r="AE73" s="133"/>
      <c r="AF73" s="133"/>
      <c r="AG73" s="133"/>
      <c r="AH73" s="133"/>
      <c r="AI73" s="133"/>
      <c r="AJ73" s="133"/>
      <c r="AK73" s="133"/>
      <c r="AL73" s="133"/>
      <c r="AM73" s="133"/>
      <c r="AN73" s="133"/>
      <c r="AO73" s="133"/>
      <c r="AP73" s="133"/>
      <c r="AQ73" s="133"/>
      <c r="AR73" s="133"/>
      <c r="AS73" s="133"/>
      <c r="AT73" s="133"/>
      <c r="AU73" s="133"/>
      <c r="AV73" s="133"/>
      <c r="AW73" s="133"/>
    </row>
    <row r="74" spans="1:49">
      <c r="A74" s="49"/>
      <c r="B74" s="49"/>
      <c r="C74" s="49"/>
      <c r="D74" s="49"/>
      <c r="E74" s="49"/>
      <c r="F74" s="70"/>
      <c r="G74" s="70"/>
      <c r="H74" s="99"/>
      <c r="I74" s="62"/>
      <c r="J74" s="62"/>
      <c r="K74" s="352"/>
      <c r="L74" s="62"/>
      <c r="M74" s="62"/>
      <c r="N74" s="150"/>
      <c r="O74" s="351"/>
      <c r="P74" s="49"/>
      <c r="Q74" s="49"/>
      <c r="R74" s="70"/>
      <c r="S74" s="70"/>
      <c r="T74" s="90"/>
      <c r="U74" s="62"/>
      <c r="V74" s="49"/>
      <c r="W74" s="62"/>
      <c r="X74" s="352"/>
      <c r="Y74" s="62"/>
      <c r="Z74" s="62"/>
      <c r="AA74" s="62"/>
      <c r="AB74" s="62"/>
      <c r="AC74" s="62"/>
      <c r="AD74" s="150"/>
      <c r="AE74" s="133"/>
      <c r="AF74" s="133"/>
      <c r="AG74" s="133"/>
      <c r="AH74" s="133"/>
      <c r="AI74" s="133"/>
      <c r="AJ74" s="133"/>
      <c r="AK74" s="133"/>
      <c r="AL74" s="133"/>
      <c r="AM74" s="133"/>
      <c r="AN74" s="133"/>
      <c r="AO74" s="133"/>
      <c r="AP74" s="133"/>
      <c r="AQ74" s="133"/>
      <c r="AR74" s="133"/>
      <c r="AS74" s="133"/>
      <c r="AT74" s="133"/>
      <c r="AU74" s="133"/>
      <c r="AV74" s="133"/>
      <c r="AW74" s="133"/>
    </row>
    <row r="75" spans="1:49">
      <c r="A75" s="49"/>
      <c r="B75" s="49"/>
      <c r="C75" s="49"/>
      <c r="D75" s="49"/>
      <c r="E75" s="49"/>
      <c r="F75" s="70"/>
      <c r="G75" s="70"/>
      <c r="H75" s="99"/>
      <c r="I75" s="62"/>
      <c r="J75" s="62"/>
      <c r="K75" s="352"/>
      <c r="L75" s="62"/>
      <c r="M75" s="62"/>
      <c r="N75" s="150"/>
      <c r="O75" s="351"/>
      <c r="P75" s="49"/>
      <c r="Q75" s="49"/>
      <c r="R75" s="70"/>
      <c r="S75" s="70"/>
      <c r="T75" s="90"/>
      <c r="U75" s="62"/>
      <c r="V75" s="49"/>
      <c r="W75" s="62"/>
      <c r="X75" s="352"/>
      <c r="Y75" s="62"/>
      <c r="Z75" s="62"/>
      <c r="AA75" s="62"/>
      <c r="AB75" s="62"/>
      <c r="AC75" s="62"/>
      <c r="AD75" s="150"/>
      <c r="AE75" s="133"/>
      <c r="AF75" s="133"/>
      <c r="AG75" s="133"/>
      <c r="AH75" s="133"/>
      <c r="AI75" s="133"/>
      <c r="AJ75" s="133"/>
      <c r="AK75" s="133"/>
      <c r="AL75" s="133"/>
      <c r="AM75" s="133"/>
      <c r="AN75" s="133"/>
      <c r="AO75" s="133"/>
      <c r="AP75" s="133"/>
      <c r="AQ75" s="133"/>
      <c r="AR75" s="133"/>
      <c r="AS75" s="133"/>
      <c r="AT75" s="133"/>
      <c r="AU75" s="133"/>
      <c r="AV75" s="133"/>
      <c r="AW75" s="133"/>
    </row>
    <row r="76" spans="1:49">
      <c r="A76" s="49"/>
      <c r="B76" s="49"/>
      <c r="C76" s="49"/>
      <c r="D76" s="49"/>
      <c r="E76" s="49"/>
      <c r="F76" s="70"/>
      <c r="G76" s="70"/>
      <c r="H76" s="99"/>
      <c r="I76" s="62"/>
      <c r="J76" s="62"/>
      <c r="K76" s="352"/>
      <c r="L76" s="62"/>
      <c r="M76" s="62"/>
      <c r="N76" s="150"/>
      <c r="O76" s="351"/>
      <c r="P76" s="49"/>
      <c r="Q76" s="49"/>
      <c r="R76" s="70"/>
      <c r="S76" s="70"/>
      <c r="T76" s="90"/>
      <c r="U76" s="62"/>
      <c r="V76" s="49"/>
      <c r="W76" s="62"/>
      <c r="X76" s="352"/>
      <c r="Y76" s="62"/>
      <c r="Z76" s="62"/>
      <c r="AA76" s="62"/>
      <c r="AB76" s="62"/>
      <c r="AC76" s="62"/>
      <c r="AD76" s="150"/>
      <c r="AE76" s="133"/>
      <c r="AF76" s="133"/>
      <c r="AG76" s="133"/>
      <c r="AH76" s="133"/>
      <c r="AI76" s="133"/>
      <c r="AJ76" s="133"/>
      <c r="AK76" s="133"/>
      <c r="AL76" s="133"/>
      <c r="AM76" s="133"/>
      <c r="AN76" s="133"/>
      <c r="AO76" s="133"/>
      <c r="AP76" s="133"/>
      <c r="AQ76" s="133"/>
      <c r="AR76" s="133"/>
      <c r="AS76" s="133"/>
      <c r="AT76" s="133"/>
      <c r="AU76" s="133"/>
      <c r="AV76" s="133"/>
      <c r="AW76" s="133"/>
    </row>
    <row r="77" spans="1:49">
      <c r="A77" s="49"/>
      <c r="B77" s="49"/>
      <c r="C77" s="49"/>
      <c r="D77" s="49"/>
      <c r="E77" s="49"/>
      <c r="F77" s="70"/>
      <c r="G77" s="70"/>
      <c r="H77" s="99"/>
      <c r="I77" s="62"/>
      <c r="J77" s="62"/>
      <c r="K77" s="352"/>
      <c r="L77" s="62"/>
      <c r="M77" s="62"/>
      <c r="N77" s="150"/>
      <c r="O77" s="351"/>
      <c r="P77" s="49"/>
      <c r="Q77" s="49"/>
      <c r="R77" s="70"/>
      <c r="S77" s="70"/>
      <c r="T77" s="90"/>
      <c r="U77" s="62"/>
      <c r="V77" s="49"/>
      <c r="W77" s="62"/>
      <c r="X77" s="352"/>
      <c r="Y77" s="62"/>
      <c r="Z77" s="62"/>
      <c r="AA77" s="62"/>
      <c r="AB77" s="62"/>
      <c r="AC77" s="62"/>
      <c r="AD77" s="150"/>
      <c r="AE77" s="133"/>
      <c r="AF77" s="133"/>
      <c r="AG77" s="133"/>
      <c r="AH77" s="133"/>
      <c r="AI77" s="133"/>
      <c r="AJ77" s="133"/>
      <c r="AK77" s="133"/>
      <c r="AL77" s="133"/>
      <c r="AM77" s="133"/>
      <c r="AN77" s="133"/>
      <c r="AO77" s="133"/>
      <c r="AP77" s="133"/>
      <c r="AQ77" s="133"/>
      <c r="AR77" s="133"/>
      <c r="AS77" s="133"/>
      <c r="AT77" s="133"/>
      <c r="AU77" s="133"/>
      <c r="AV77" s="133"/>
      <c r="AW77" s="133"/>
    </row>
    <row r="78" spans="1:49">
      <c r="A78" s="49"/>
      <c r="B78" s="49"/>
      <c r="C78" s="49"/>
      <c r="D78" s="49"/>
      <c r="E78" s="49"/>
      <c r="F78" s="70"/>
      <c r="G78" s="70"/>
      <c r="H78" s="99"/>
      <c r="I78" s="62"/>
      <c r="J78" s="62"/>
      <c r="K78" s="352"/>
      <c r="L78" s="62"/>
      <c r="M78" s="62"/>
      <c r="N78" s="150"/>
      <c r="O78" s="351"/>
      <c r="P78" s="49"/>
      <c r="Q78" s="49"/>
      <c r="R78" s="70"/>
      <c r="S78" s="70"/>
      <c r="T78" s="90"/>
      <c r="U78" s="62"/>
      <c r="V78" s="49"/>
      <c r="W78" s="62"/>
      <c r="X78" s="352"/>
      <c r="Y78" s="62"/>
      <c r="Z78" s="62"/>
      <c r="AA78" s="62"/>
      <c r="AB78" s="62"/>
      <c r="AC78" s="62"/>
      <c r="AD78" s="150"/>
      <c r="AE78" s="133"/>
      <c r="AF78" s="133"/>
      <c r="AG78" s="133"/>
      <c r="AH78" s="133"/>
      <c r="AI78" s="133"/>
      <c r="AJ78" s="133"/>
      <c r="AK78" s="133"/>
      <c r="AL78" s="133"/>
      <c r="AM78" s="133"/>
      <c r="AN78" s="133"/>
      <c r="AO78" s="133"/>
      <c r="AP78" s="133"/>
      <c r="AQ78" s="133"/>
      <c r="AR78" s="133"/>
      <c r="AS78" s="133"/>
      <c r="AT78" s="133"/>
      <c r="AU78" s="133"/>
      <c r="AV78" s="133"/>
      <c r="AW78" s="133"/>
    </row>
    <row r="79" spans="1:49">
      <c r="A79" s="49"/>
      <c r="B79" s="49"/>
      <c r="C79" s="49"/>
      <c r="D79" s="49"/>
      <c r="E79" s="49"/>
      <c r="F79" s="70"/>
      <c r="G79" s="70"/>
      <c r="H79" s="99"/>
      <c r="I79" s="62"/>
      <c r="J79" s="62"/>
      <c r="K79" s="352"/>
      <c r="L79" s="62"/>
      <c r="M79" s="62"/>
      <c r="N79" s="150"/>
      <c r="O79" s="351"/>
      <c r="P79" s="49"/>
      <c r="Q79" s="49"/>
      <c r="R79" s="70"/>
      <c r="S79" s="70"/>
      <c r="T79" s="90"/>
      <c r="U79" s="62"/>
      <c r="V79" s="49"/>
      <c r="W79" s="62"/>
      <c r="X79" s="352"/>
      <c r="Y79" s="62"/>
      <c r="Z79" s="62"/>
      <c r="AA79" s="62"/>
      <c r="AB79" s="62"/>
      <c r="AC79" s="62"/>
      <c r="AD79" s="150"/>
      <c r="AE79" s="133"/>
      <c r="AF79" s="133"/>
      <c r="AG79" s="133"/>
      <c r="AH79" s="133"/>
      <c r="AI79" s="133"/>
      <c r="AJ79" s="133"/>
      <c r="AK79" s="133"/>
      <c r="AL79" s="133"/>
      <c r="AM79" s="133"/>
      <c r="AN79" s="133"/>
      <c r="AO79" s="133"/>
      <c r="AP79" s="133"/>
      <c r="AQ79" s="133"/>
      <c r="AR79" s="133"/>
      <c r="AS79" s="133"/>
      <c r="AT79" s="133"/>
      <c r="AU79" s="133"/>
      <c r="AV79" s="133"/>
      <c r="AW79" s="133"/>
    </row>
    <row r="80" spans="1:49">
      <c r="A80" s="49"/>
      <c r="B80" s="49"/>
      <c r="C80" s="49"/>
      <c r="D80" s="49"/>
      <c r="E80" s="49"/>
      <c r="F80" s="49"/>
      <c r="G80" s="49"/>
      <c r="H80" s="99"/>
      <c r="I80" s="62"/>
      <c r="J80" s="62"/>
      <c r="K80" s="352"/>
      <c r="L80" s="62"/>
      <c r="M80" s="62"/>
      <c r="N80" s="150"/>
      <c r="O80" s="351"/>
      <c r="P80" s="49"/>
      <c r="Q80" s="49"/>
      <c r="R80" s="49"/>
      <c r="S80" s="49"/>
      <c r="T80" s="90"/>
      <c r="U80" s="62"/>
      <c r="V80" s="49"/>
      <c r="W80" s="62"/>
      <c r="X80" s="352"/>
      <c r="Y80" s="62"/>
      <c r="Z80" s="62"/>
      <c r="AA80" s="62"/>
      <c r="AB80" s="62"/>
      <c r="AC80" s="62"/>
      <c r="AD80" s="150"/>
      <c r="AE80" s="133"/>
      <c r="AF80" s="133"/>
      <c r="AG80" s="133"/>
      <c r="AH80" s="133"/>
      <c r="AI80" s="133"/>
      <c r="AJ80" s="133"/>
      <c r="AK80" s="133"/>
      <c r="AL80" s="133"/>
      <c r="AM80" s="133"/>
      <c r="AN80" s="133"/>
      <c r="AO80" s="133"/>
      <c r="AP80" s="133"/>
      <c r="AQ80" s="133"/>
      <c r="AR80" s="133"/>
      <c r="AS80" s="133"/>
      <c r="AT80" s="133"/>
      <c r="AU80" s="133"/>
      <c r="AV80" s="133"/>
      <c r="AW80" s="133"/>
    </row>
    <row r="81" spans="1:49">
      <c r="A81" s="49"/>
      <c r="B81" s="49"/>
      <c r="C81" s="49"/>
      <c r="D81" s="49"/>
      <c r="E81" s="49"/>
      <c r="F81" s="49"/>
      <c r="G81" s="49"/>
      <c r="H81" s="99"/>
      <c r="I81" s="62"/>
      <c r="J81" s="62"/>
      <c r="K81" s="352"/>
      <c r="L81" s="62"/>
      <c r="M81" s="62"/>
      <c r="N81" s="150"/>
      <c r="O81" s="351"/>
      <c r="P81" s="49"/>
      <c r="Q81" s="49"/>
      <c r="R81" s="49"/>
      <c r="S81" s="49"/>
      <c r="T81" s="90"/>
      <c r="U81" s="62"/>
      <c r="V81" s="49"/>
      <c r="W81" s="62"/>
      <c r="X81" s="352"/>
      <c r="Y81" s="62"/>
      <c r="Z81" s="62"/>
      <c r="AA81" s="62"/>
      <c r="AB81" s="62"/>
      <c r="AC81" s="62"/>
      <c r="AD81" s="150"/>
      <c r="AE81" s="133"/>
      <c r="AF81" s="133"/>
      <c r="AG81" s="133"/>
      <c r="AH81" s="133"/>
      <c r="AI81" s="133"/>
      <c r="AJ81" s="133"/>
      <c r="AK81" s="133"/>
      <c r="AL81" s="133"/>
      <c r="AM81" s="133"/>
      <c r="AN81" s="133"/>
      <c r="AO81" s="133"/>
      <c r="AP81" s="133"/>
      <c r="AQ81" s="133"/>
      <c r="AR81" s="133"/>
      <c r="AS81" s="133"/>
      <c r="AT81" s="133"/>
      <c r="AU81" s="133"/>
      <c r="AV81" s="133"/>
      <c r="AW81" s="133"/>
    </row>
    <row r="82" spans="1:49">
      <c r="A82" s="49"/>
      <c r="B82" s="49"/>
      <c r="C82" s="49"/>
      <c r="D82" s="49"/>
      <c r="E82" s="49"/>
      <c r="F82" s="49"/>
      <c r="G82" s="49"/>
      <c r="H82" s="99"/>
      <c r="I82" s="62"/>
      <c r="J82" s="62"/>
      <c r="K82" s="352"/>
      <c r="L82" s="62"/>
      <c r="M82" s="62"/>
      <c r="N82" s="150"/>
      <c r="O82" s="351"/>
      <c r="P82" s="49"/>
      <c r="Q82" s="49"/>
      <c r="R82" s="49"/>
      <c r="S82" s="49"/>
      <c r="T82" s="90"/>
      <c r="U82" s="62"/>
      <c r="V82" s="49"/>
      <c r="W82" s="62"/>
      <c r="X82" s="352"/>
      <c r="Y82" s="62"/>
      <c r="Z82" s="62"/>
      <c r="AA82" s="62"/>
      <c r="AB82" s="62"/>
      <c r="AC82" s="62"/>
      <c r="AD82" s="150"/>
      <c r="AE82" s="133"/>
      <c r="AF82" s="133"/>
      <c r="AG82" s="133"/>
      <c r="AH82" s="133"/>
      <c r="AI82" s="133"/>
      <c r="AJ82" s="133"/>
      <c r="AK82" s="133"/>
      <c r="AL82" s="133"/>
      <c r="AM82" s="133"/>
      <c r="AN82" s="133"/>
      <c r="AO82" s="133"/>
      <c r="AP82" s="133"/>
      <c r="AQ82" s="133"/>
      <c r="AR82" s="133"/>
      <c r="AS82" s="133"/>
      <c r="AT82" s="133"/>
      <c r="AU82" s="133"/>
      <c r="AV82" s="133"/>
      <c r="AW82" s="133"/>
    </row>
    <row r="83" spans="1:49">
      <c r="A83" s="49"/>
      <c r="B83" s="49"/>
      <c r="C83" s="49"/>
      <c r="D83" s="49"/>
      <c r="E83" s="49"/>
      <c r="F83" s="49"/>
      <c r="G83" s="49"/>
      <c r="H83" s="90"/>
      <c r="I83" s="62"/>
      <c r="J83" s="62"/>
      <c r="K83" s="352"/>
      <c r="L83" s="62"/>
      <c r="M83" s="62"/>
      <c r="N83" s="150"/>
      <c r="O83" s="351"/>
      <c r="P83" s="49"/>
      <c r="Q83" s="49"/>
      <c r="R83" s="49"/>
      <c r="S83" s="49"/>
      <c r="T83" s="90"/>
      <c r="U83" s="62"/>
      <c r="V83" s="49"/>
      <c r="W83" s="62"/>
      <c r="X83" s="352"/>
      <c r="Y83" s="62"/>
      <c r="Z83" s="62"/>
      <c r="AA83" s="62"/>
      <c r="AB83" s="62"/>
      <c r="AC83" s="62"/>
      <c r="AD83" s="150"/>
      <c r="AE83" s="133"/>
      <c r="AF83" s="133"/>
      <c r="AG83" s="133"/>
      <c r="AH83" s="133"/>
      <c r="AI83" s="133"/>
      <c r="AJ83" s="133"/>
      <c r="AK83" s="133"/>
      <c r="AL83" s="133"/>
      <c r="AM83" s="133"/>
      <c r="AN83" s="133"/>
      <c r="AO83" s="133"/>
      <c r="AP83" s="133"/>
      <c r="AQ83" s="133"/>
      <c r="AR83" s="133"/>
      <c r="AS83" s="133"/>
      <c r="AT83" s="133"/>
      <c r="AU83" s="133"/>
      <c r="AV83" s="133"/>
      <c r="AW83" s="133"/>
    </row>
    <row r="84" spans="1:49">
      <c r="A84" s="49"/>
      <c r="B84" s="49"/>
      <c r="C84" s="49"/>
      <c r="D84" s="49"/>
      <c r="E84" s="49"/>
      <c r="F84" s="49"/>
      <c r="G84" s="49"/>
      <c r="H84" s="90"/>
      <c r="I84" s="62"/>
      <c r="J84" s="62"/>
      <c r="K84" s="352"/>
      <c r="L84" s="62"/>
      <c r="M84" s="62"/>
      <c r="N84" s="150"/>
      <c r="O84" s="351"/>
      <c r="P84" s="49"/>
      <c r="Q84" s="49"/>
      <c r="R84" s="49"/>
      <c r="S84" s="49"/>
      <c r="T84" s="90"/>
      <c r="U84" s="62"/>
      <c r="V84" s="49"/>
      <c r="W84" s="62"/>
      <c r="X84" s="352"/>
      <c r="Y84" s="62"/>
      <c r="Z84" s="62"/>
      <c r="AA84" s="62"/>
      <c r="AB84" s="62"/>
      <c r="AC84" s="62"/>
      <c r="AD84" s="150"/>
      <c r="AE84" s="133"/>
      <c r="AF84" s="133"/>
      <c r="AG84" s="133"/>
      <c r="AH84" s="133"/>
      <c r="AI84" s="133"/>
      <c r="AJ84" s="133"/>
      <c r="AK84" s="133"/>
      <c r="AL84" s="133"/>
      <c r="AM84" s="133"/>
      <c r="AN84" s="133"/>
      <c r="AO84" s="133"/>
      <c r="AP84" s="133"/>
      <c r="AQ84" s="133"/>
      <c r="AR84" s="133"/>
      <c r="AS84" s="133"/>
      <c r="AT84" s="133"/>
      <c r="AU84" s="133"/>
      <c r="AV84" s="133"/>
      <c r="AW84" s="133"/>
    </row>
    <row r="85" spans="1:49">
      <c r="A85" s="49"/>
      <c r="B85" s="49"/>
      <c r="C85" s="49"/>
      <c r="D85" s="49"/>
      <c r="E85" s="49"/>
      <c r="F85" s="49"/>
      <c r="G85" s="49"/>
      <c r="H85" s="278"/>
      <c r="I85" s="62"/>
      <c r="J85" s="62"/>
      <c r="K85" s="352"/>
      <c r="L85" s="62"/>
      <c r="M85" s="62"/>
      <c r="N85" s="150"/>
      <c r="O85" s="351"/>
      <c r="P85" s="49"/>
      <c r="Q85" s="49"/>
      <c r="R85" s="49"/>
      <c r="S85" s="49"/>
      <c r="T85" s="278"/>
      <c r="U85" s="62"/>
      <c r="V85" s="49"/>
      <c r="W85" s="62"/>
      <c r="X85" s="352"/>
      <c r="Y85" s="62"/>
      <c r="Z85" s="62"/>
      <c r="AA85" s="62"/>
      <c r="AB85" s="62"/>
      <c r="AC85" s="62"/>
      <c r="AD85" s="150"/>
      <c r="AE85" s="133"/>
      <c r="AF85" s="133"/>
      <c r="AG85" s="133"/>
      <c r="AH85" s="133"/>
      <c r="AI85" s="133"/>
      <c r="AJ85" s="133"/>
      <c r="AK85" s="133"/>
      <c r="AL85" s="133"/>
      <c r="AM85" s="133"/>
      <c r="AN85" s="133"/>
      <c r="AO85" s="133"/>
      <c r="AP85" s="133"/>
      <c r="AQ85" s="133"/>
      <c r="AR85" s="133"/>
      <c r="AS85" s="133"/>
      <c r="AT85" s="133"/>
      <c r="AU85" s="133"/>
      <c r="AV85" s="133"/>
      <c r="AW85" s="133"/>
    </row>
    <row r="86" spans="1:49">
      <c r="A86" s="49"/>
      <c r="B86" s="49"/>
      <c r="C86" s="49"/>
      <c r="D86" s="49"/>
      <c r="E86" s="49"/>
      <c r="F86" s="49"/>
      <c r="G86" s="49"/>
      <c r="H86" s="278"/>
      <c r="I86" s="62"/>
      <c r="J86" s="62"/>
      <c r="K86" s="352"/>
      <c r="L86" s="62"/>
      <c r="M86" s="62"/>
      <c r="N86" s="150"/>
      <c r="O86" s="351"/>
      <c r="P86" s="49"/>
      <c r="Q86" s="49"/>
      <c r="R86" s="49"/>
      <c r="S86" s="49"/>
      <c r="T86" s="278"/>
      <c r="U86" s="62"/>
      <c r="V86" s="49"/>
      <c r="W86" s="62"/>
      <c r="X86" s="352"/>
      <c r="Y86" s="62"/>
      <c r="Z86" s="62"/>
      <c r="AA86" s="62"/>
      <c r="AB86" s="62"/>
      <c r="AC86" s="62"/>
      <c r="AD86" s="150"/>
      <c r="AE86" s="133"/>
      <c r="AF86" s="133"/>
      <c r="AG86" s="133"/>
      <c r="AH86" s="133"/>
      <c r="AI86" s="133"/>
      <c r="AJ86" s="133"/>
      <c r="AK86" s="133"/>
      <c r="AL86" s="133"/>
      <c r="AM86" s="133"/>
      <c r="AN86" s="133"/>
      <c r="AO86" s="133"/>
      <c r="AP86" s="133"/>
      <c r="AQ86" s="133"/>
      <c r="AR86" s="133"/>
      <c r="AS86" s="133"/>
      <c r="AT86" s="133"/>
      <c r="AU86" s="133"/>
      <c r="AV86" s="133"/>
      <c r="AW86" s="133"/>
    </row>
    <row r="87" spans="1:49">
      <c r="A87" s="49"/>
      <c r="B87" s="49"/>
      <c r="C87" s="49"/>
      <c r="D87" s="49"/>
      <c r="E87" s="49"/>
      <c r="F87" s="49"/>
      <c r="G87" s="49"/>
      <c r="H87" s="279"/>
      <c r="I87" s="62"/>
      <c r="J87" s="62"/>
      <c r="K87" s="352"/>
      <c r="L87" s="62"/>
      <c r="M87" s="62"/>
      <c r="N87" s="150"/>
      <c r="O87" s="351"/>
      <c r="P87" s="49"/>
      <c r="Q87" s="49"/>
      <c r="R87" s="49"/>
      <c r="S87" s="49"/>
      <c r="T87" s="279"/>
      <c r="U87" s="62"/>
      <c r="V87" s="49"/>
      <c r="W87" s="62"/>
      <c r="X87" s="352"/>
      <c r="Y87" s="62"/>
      <c r="Z87" s="62"/>
      <c r="AA87" s="62"/>
      <c r="AB87" s="62"/>
      <c r="AC87" s="62"/>
      <c r="AD87" s="150"/>
      <c r="AE87" s="133"/>
      <c r="AF87" s="133"/>
      <c r="AG87" s="133"/>
      <c r="AH87" s="133"/>
      <c r="AI87" s="133"/>
      <c r="AJ87" s="133"/>
      <c r="AK87" s="133"/>
      <c r="AL87" s="133"/>
      <c r="AM87" s="133"/>
      <c r="AN87" s="133"/>
      <c r="AO87" s="133"/>
      <c r="AP87" s="133"/>
      <c r="AQ87" s="133"/>
      <c r="AR87" s="133"/>
      <c r="AS87" s="133"/>
      <c r="AT87" s="133"/>
      <c r="AU87" s="133"/>
      <c r="AV87" s="133"/>
      <c r="AW87" s="133"/>
    </row>
    <row r="88" spans="1:49">
      <c r="A88" s="49"/>
      <c r="B88" s="49"/>
      <c r="C88" s="49"/>
      <c r="D88" s="49"/>
      <c r="E88" s="49"/>
      <c r="F88" s="49"/>
      <c r="G88" s="49"/>
      <c r="H88" s="279"/>
      <c r="I88" s="62"/>
      <c r="J88" s="62"/>
      <c r="K88" s="352"/>
      <c r="L88" s="62"/>
      <c r="M88" s="62"/>
      <c r="N88" s="150"/>
      <c r="O88" s="351"/>
      <c r="P88" s="49"/>
      <c r="Q88" s="49"/>
      <c r="R88" s="49"/>
      <c r="S88" s="49"/>
      <c r="T88" s="279"/>
      <c r="U88" s="62"/>
      <c r="V88" s="49"/>
      <c r="W88" s="62"/>
      <c r="X88" s="352"/>
      <c r="Y88" s="62"/>
      <c r="Z88" s="62"/>
      <c r="AA88" s="62"/>
      <c r="AB88" s="62"/>
      <c r="AC88" s="62"/>
      <c r="AD88" s="150"/>
      <c r="AE88" s="133"/>
      <c r="AF88" s="133"/>
      <c r="AG88" s="133"/>
      <c r="AH88" s="133"/>
      <c r="AI88" s="133"/>
      <c r="AJ88" s="133"/>
      <c r="AK88" s="133"/>
      <c r="AL88" s="133"/>
      <c r="AM88" s="133"/>
      <c r="AN88" s="133"/>
      <c r="AO88" s="133"/>
      <c r="AP88" s="133"/>
      <c r="AQ88" s="133"/>
      <c r="AR88" s="133"/>
      <c r="AS88" s="133"/>
      <c r="AT88" s="133"/>
      <c r="AU88" s="133"/>
      <c r="AV88" s="133"/>
      <c r="AW88" s="133"/>
    </row>
    <row r="89" spans="1:49">
      <c r="A89" s="49"/>
      <c r="B89" s="49"/>
      <c r="C89" s="49"/>
      <c r="D89" s="49"/>
      <c r="E89" s="49"/>
      <c r="F89" s="49"/>
      <c r="G89" s="49"/>
      <c r="H89" s="280"/>
      <c r="I89" s="62"/>
      <c r="J89" s="62"/>
      <c r="K89" s="352"/>
      <c r="L89" s="62"/>
      <c r="M89" s="62"/>
      <c r="N89" s="150"/>
      <c r="O89" s="351"/>
      <c r="P89" s="49"/>
      <c r="Q89" s="49"/>
      <c r="R89" s="49"/>
      <c r="S89" s="49"/>
      <c r="T89" s="280"/>
      <c r="U89" s="62"/>
      <c r="V89" s="49"/>
      <c r="W89" s="62"/>
      <c r="X89" s="352"/>
      <c r="Y89" s="62"/>
      <c r="Z89" s="62"/>
      <c r="AA89" s="62"/>
      <c r="AB89" s="62"/>
      <c r="AC89" s="62"/>
      <c r="AD89" s="150"/>
      <c r="AE89" s="133"/>
      <c r="AF89" s="133"/>
      <c r="AG89" s="133"/>
      <c r="AH89" s="133"/>
      <c r="AI89" s="133"/>
      <c r="AJ89" s="133"/>
      <c r="AK89" s="133"/>
      <c r="AL89" s="133"/>
      <c r="AM89" s="133"/>
      <c r="AN89" s="133"/>
      <c r="AO89" s="133"/>
      <c r="AP89" s="133"/>
      <c r="AQ89" s="133"/>
      <c r="AR89" s="133"/>
      <c r="AS89" s="133"/>
      <c r="AT89" s="133"/>
      <c r="AU89" s="133"/>
      <c r="AV89" s="133"/>
      <c r="AW89" s="133"/>
    </row>
    <row r="90" spans="1:49">
      <c r="A90" s="49"/>
      <c r="B90" s="49"/>
      <c r="C90" s="49"/>
      <c r="D90" s="49"/>
      <c r="E90" s="49"/>
      <c r="F90" s="49"/>
      <c r="G90" s="49"/>
      <c r="H90" s="280"/>
      <c r="I90" s="62"/>
      <c r="J90" s="62"/>
      <c r="K90" s="352"/>
      <c r="L90" s="62"/>
      <c r="M90" s="62"/>
      <c r="N90" s="150"/>
      <c r="O90" s="351"/>
      <c r="P90" s="49"/>
      <c r="Q90" s="49"/>
      <c r="R90" s="49"/>
      <c r="S90" s="49"/>
      <c r="T90" s="280"/>
      <c r="U90" s="62"/>
      <c r="V90" s="49"/>
      <c r="W90" s="62"/>
      <c r="X90" s="352"/>
      <c r="Y90" s="62"/>
      <c r="Z90" s="62"/>
      <c r="AA90" s="62"/>
      <c r="AB90" s="62"/>
      <c r="AC90" s="62"/>
      <c r="AD90" s="150"/>
      <c r="AE90" s="133"/>
      <c r="AF90" s="133"/>
      <c r="AG90" s="133"/>
      <c r="AH90" s="133"/>
      <c r="AI90" s="133"/>
      <c r="AJ90" s="133"/>
      <c r="AK90" s="133"/>
      <c r="AL90" s="133"/>
      <c r="AM90" s="133"/>
      <c r="AN90" s="133"/>
      <c r="AO90" s="133"/>
      <c r="AP90" s="133"/>
      <c r="AQ90" s="133"/>
      <c r="AR90" s="133"/>
      <c r="AS90" s="133"/>
      <c r="AT90" s="133"/>
      <c r="AU90" s="133"/>
      <c r="AV90" s="133"/>
      <c r="AW90" s="133"/>
    </row>
    <row r="91" spans="1:49">
      <c r="A91" s="152"/>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c r="AB91" s="152"/>
      <c r="AC91" s="152"/>
      <c r="AD91" s="152"/>
      <c r="AE91" s="152"/>
    </row>
    <row r="92" spans="1:49">
      <c r="A92" s="152"/>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c r="AB92" s="152"/>
      <c r="AC92" s="152"/>
      <c r="AD92" s="152"/>
      <c r="AE92" s="152"/>
    </row>
    <row r="93" spans="1:49">
      <c r="A93" s="152"/>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c r="AB93" s="152"/>
      <c r="AC93" s="152"/>
      <c r="AD93" s="152"/>
      <c r="AE93" s="152"/>
    </row>
    <row r="94" spans="1:49">
      <c r="A94" s="152"/>
      <c r="B94" s="152"/>
      <c r="C94" s="152"/>
      <c r="D94" s="152"/>
      <c r="E94" s="152"/>
      <c r="F94" s="152"/>
      <c r="G94" s="152"/>
      <c r="H94" s="153"/>
      <c r="I94" s="153"/>
      <c r="J94" s="153"/>
      <c r="K94" s="153"/>
      <c r="L94" s="153"/>
      <c r="M94" s="153"/>
      <c r="N94" s="153"/>
      <c r="O94" s="153"/>
      <c r="P94" s="152"/>
      <c r="Q94" s="152"/>
      <c r="R94" s="369"/>
      <c r="S94" s="369"/>
      <c r="T94" s="153"/>
      <c r="U94" s="153"/>
      <c r="V94" s="152"/>
      <c r="W94" s="153"/>
      <c r="X94" s="153"/>
      <c r="Y94" s="153"/>
      <c r="Z94" s="153"/>
      <c r="AA94" s="153"/>
      <c r="AB94" s="153"/>
      <c r="AC94" s="152"/>
      <c r="AD94" s="152"/>
      <c r="AE94" s="152"/>
    </row>
    <row r="95" spans="1:49">
      <c r="A95" s="152"/>
      <c r="B95" s="152"/>
      <c r="C95" s="152"/>
      <c r="D95" s="152"/>
      <c r="E95" s="152"/>
      <c r="F95" s="152"/>
      <c r="G95" s="152"/>
      <c r="H95" s="332"/>
      <c r="I95" s="153"/>
      <c r="J95" s="153"/>
      <c r="K95" s="153"/>
      <c r="L95" s="153"/>
      <c r="M95" s="153"/>
      <c r="N95" s="153"/>
      <c r="O95" s="370"/>
      <c r="P95" s="152"/>
      <c r="Q95" s="152"/>
      <c r="R95" s="369"/>
      <c r="S95" s="369"/>
      <c r="T95" s="333"/>
      <c r="U95" s="153"/>
      <c r="V95" s="152"/>
      <c r="W95" s="153"/>
      <c r="X95" s="373"/>
      <c r="Y95" s="153"/>
      <c r="Z95" s="153"/>
      <c r="AA95" s="153"/>
      <c r="AB95" s="152"/>
      <c r="AC95" s="152"/>
      <c r="AD95" s="152"/>
      <c r="AE95" s="152"/>
    </row>
    <row r="96" spans="1:49">
      <c r="A96" s="152"/>
      <c r="B96" s="152"/>
      <c r="C96" s="152"/>
      <c r="D96" s="152"/>
      <c r="E96" s="152"/>
      <c r="F96" s="369"/>
      <c r="G96" s="152"/>
      <c r="H96" s="332"/>
      <c r="I96" s="153"/>
      <c r="J96" s="153"/>
      <c r="K96" s="153"/>
      <c r="L96" s="153"/>
      <c r="M96" s="153"/>
      <c r="N96" s="335"/>
      <c r="O96" s="370"/>
      <c r="P96" s="152"/>
      <c r="Q96" s="152"/>
      <c r="R96" s="369"/>
      <c r="S96" s="369"/>
      <c r="T96" s="333"/>
      <c r="U96" s="153"/>
      <c r="V96" s="152"/>
      <c r="W96" s="153"/>
      <c r="X96" s="373"/>
      <c r="Y96" s="153"/>
      <c r="Z96" s="153"/>
      <c r="AA96" s="335"/>
      <c r="AB96" s="370"/>
      <c r="AC96" s="152"/>
      <c r="AD96" s="152"/>
      <c r="AE96" s="152"/>
    </row>
    <row r="97" spans="1:31">
      <c r="A97" s="152"/>
      <c r="B97" s="152"/>
      <c r="C97" s="152"/>
      <c r="D97" s="152"/>
      <c r="E97" s="152"/>
      <c r="F97" s="152"/>
      <c r="G97" s="152"/>
      <c r="H97" s="332"/>
      <c r="I97" s="153"/>
      <c r="J97" s="153"/>
      <c r="K97" s="153"/>
      <c r="L97" s="153"/>
      <c r="M97" s="153"/>
      <c r="N97" s="335"/>
      <c r="O97" s="370"/>
      <c r="P97" s="152"/>
      <c r="Q97" s="152"/>
      <c r="R97" s="369"/>
      <c r="S97" s="369"/>
      <c r="T97" s="333"/>
      <c r="U97" s="153"/>
      <c r="V97" s="152"/>
      <c r="W97" s="153"/>
      <c r="X97" s="373"/>
      <c r="Y97" s="153"/>
      <c r="Z97" s="153"/>
      <c r="AA97" s="335"/>
      <c r="AB97" s="370"/>
      <c r="AC97" s="152"/>
      <c r="AD97" s="152"/>
      <c r="AE97" s="152"/>
    </row>
    <row r="98" spans="1:31">
      <c r="A98" s="152"/>
      <c r="B98" s="152"/>
      <c r="C98" s="152"/>
      <c r="D98" s="152"/>
      <c r="E98" s="152"/>
      <c r="F98" s="152"/>
      <c r="G98" s="152"/>
      <c r="H98" s="332"/>
      <c r="I98" s="153"/>
      <c r="J98" s="153"/>
      <c r="K98" s="153"/>
      <c r="L98" s="153"/>
      <c r="M98" s="153"/>
      <c r="N98" s="335"/>
      <c r="O98" s="370"/>
      <c r="P98" s="152"/>
      <c r="Q98" s="152"/>
      <c r="R98" s="369"/>
      <c r="S98" s="369"/>
      <c r="T98" s="333"/>
      <c r="U98" s="153"/>
      <c r="V98" s="152"/>
      <c r="W98" s="153"/>
      <c r="X98" s="373"/>
      <c r="Y98" s="153"/>
      <c r="Z98" s="153"/>
      <c r="AA98" s="335"/>
      <c r="AB98" s="370"/>
      <c r="AC98" s="152"/>
      <c r="AD98" s="152"/>
      <c r="AE98" s="152"/>
    </row>
    <row r="99" spans="1:31">
      <c r="A99" s="152"/>
      <c r="B99" s="152"/>
      <c r="C99" s="152"/>
      <c r="D99" s="152"/>
      <c r="E99" s="152"/>
      <c r="F99" s="152"/>
      <c r="G99" s="152"/>
      <c r="H99" s="332"/>
      <c r="I99" s="153"/>
      <c r="J99" s="153"/>
      <c r="K99" s="153"/>
      <c r="L99" s="153"/>
      <c r="M99" s="153"/>
      <c r="N99" s="335"/>
      <c r="O99" s="370"/>
      <c r="P99" s="152"/>
      <c r="Q99" s="152"/>
      <c r="R99" s="369"/>
      <c r="S99" s="369"/>
      <c r="T99" s="333"/>
      <c r="U99" s="153"/>
      <c r="V99" s="152"/>
      <c r="W99" s="153"/>
      <c r="X99" s="373"/>
      <c r="Y99" s="153"/>
      <c r="Z99" s="153"/>
      <c r="AA99" s="335"/>
      <c r="AB99" s="370"/>
      <c r="AC99" s="152"/>
      <c r="AD99" s="152"/>
      <c r="AE99" s="152"/>
    </row>
    <row r="100" spans="1:31">
      <c r="A100" s="152"/>
      <c r="B100" s="152"/>
      <c r="C100" s="152"/>
      <c r="D100" s="152"/>
      <c r="E100" s="152"/>
      <c r="F100" s="152"/>
      <c r="G100" s="152"/>
      <c r="H100" s="332"/>
      <c r="I100" s="153"/>
      <c r="J100" s="153"/>
      <c r="K100" s="153"/>
      <c r="L100" s="153"/>
      <c r="M100" s="153"/>
      <c r="N100" s="335"/>
      <c r="O100" s="370"/>
      <c r="P100" s="152"/>
      <c r="Q100" s="152"/>
      <c r="R100" s="369"/>
      <c r="S100" s="369"/>
      <c r="T100" s="333"/>
      <c r="U100" s="153"/>
      <c r="V100" s="152"/>
      <c r="W100" s="153"/>
      <c r="X100" s="373"/>
      <c r="Y100" s="153"/>
      <c r="Z100" s="153"/>
      <c r="AA100" s="335"/>
      <c r="AB100" s="370"/>
      <c r="AC100" s="152"/>
      <c r="AD100" s="152"/>
      <c r="AE100" s="152"/>
    </row>
    <row r="101" spans="1:31">
      <c r="A101" s="152"/>
      <c r="B101" s="152"/>
      <c r="C101" s="152"/>
      <c r="D101" s="152"/>
      <c r="E101" s="152"/>
      <c r="F101" s="152"/>
      <c r="G101" s="152"/>
      <c r="H101" s="332"/>
      <c r="I101" s="153"/>
      <c r="J101" s="153"/>
      <c r="K101" s="153"/>
      <c r="L101" s="153"/>
      <c r="M101" s="153"/>
      <c r="N101" s="335"/>
      <c r="O101" s="370"/>
      <c r="P101" s="152"/>
      <c r="Q101" s="152"/>
      <c r="R101" s="369"/>
      <c r="S101" s="369"/>
      <c r="T101" s="333"/>
      <c r="U101" s="153"/>
      <c r="V101" s="152"/>
      <c r="W101" s="153"/>
      <c r="X101" s="373"/>
      <c r="Y101" s="153"/>
      <c r="Z101" s="153"/>
      <c r="AA101" s="335"/>
      <c r="AB101" s="370"/>
      <c r="AC101" s="152"/>
      <c r="AD101" s="152"/>
      <c r="AE101" s="152"/>
    </row>
    <row r="102" spans="1:31">
      <c r="A102" s="152"/>
      <c r="B102" s="152"/>
      <c r="C102" s="152"/>
      <c r="D102" s="152"/>
      <c r="E102" s="152"/>
      <c r="F102" s="152"/>
      <c r="G102" s="152"/>
      <c r="H102" s="332"/>
      <c r="I102" s="153"/>
      <c r="J102" s="153"/>
      <c r="K102" s="153"/>
      <c r="L102" s="153"/>
      <c r="M102" s="153"/>
      <c r="N102" s="335"/>
      <c r="O102" s="370"/>
      <c r="P102" s="152"/>
      <c r="Q102" s="152"/>
      <c r="R102" s="152"/>
      <c r="S102" s="152"/>
      <c r="T102" s="333"/>
      <c r="U102" s="153"/>
      <c r="V102" s="152"/>
      <c r="W102" s="153"/>
      <c r="X102" s="373"/>
      <c r="Y102" s="153"/>
      <c r="Z102" s="153"/>
      <c r="AA102" s="335"/>
      <c r="AB102" s="370"/>
      <c r="AC102" s="152"/>
      <c r="AD102" s="152"/>
      <c r="AE102" s="152"/>
    </row>
    <row r="103" spans="1:31">
      <c r="A103" s="152"/>
      <c r="B103" s="152"/>
      <c r="C103" s="152"/>
      <c r="D103" s="152"/>
      <c r="E103" s="152"/>
      <c r="F103" s="152"/>
      <c r="G103" s="152"/>
      <c r="H103" s="332"/>
      <c r="I103" s="153"/>
      <c r="J103" s="153"/>
      <c r="K103" s="153"/>
      <c r="L103" s="153"/>
      <c r="M103" s="153"/>
      <c r="N103" s="335"/>
      <c r="O103" s="370"/>
      <c r="P103" s="152"/>
      <c r="Q103" s="152"/>
      <c r="R103" s="152"/>
      <c r="S103" s="152"/>
      <c r="T103" s="333"/>
      <c r="U103" s="153"/>
      <c r="V103" s="152"/>
      <c r="W103" s="153"/>
      <c r="X103" s="373"/>
      <c r="Y103" s="153"/>
      <c r="Z103" s="153"/>
      <c r="AA103" s="335"/>
      <c r="AB103" s="370"/>
      <c r="AC103" s="152"/>
      <c r="AD103" s="152"/>
      <c r="AE103" s="152"/>
    </row>
    <row r="104" spans="1:31">
      <c r="A104" s="152"/>
      <c r="B104" s="152"/>
      <c r="C104" s="152"/>
      <c r="D104" s="152"/>
      <c r="E104" s="152"/>
      <c r="F104" s="152"/>
      <c r="G104" s="152"/>
      <c r="H104" s="332"/>
      <c r="I104" s="153"/>
      <c r="J104" s="153"/>
      <c r="K104" s="153"/>
      <c r="L104" s="153"/>
      <c r="M104" s="153"/>
      <c r="N104" s="335"/>
      <c r="O104" s="370"/>
      <c r="P104" s="152"/>
      <c r="Q104" s="152"/>
      <c r="R104" s="152"/>
      <c r="S104" s="152"/>
      <c r="T104" s="333"/>
      <c r="U104" s="153"/>
      <c r="V104" s="152"/>
      <c r="W104" s="153"/>
      <c r="X104" s="373"/>
      <c r="Y104" s="153"/>
      <c r="Z104" s="153"/>
      <c r="AA104" s="335"/>
      <c r="AB104" s="370"/>
      <c r="AC104" s="152"/>
      <c r="AD104" s="152"/>
      <c r="AE104" s="152"/>
    </row>
    <row r="105" spans="1:31">
      <c r="A105" s="152"/>
      <c r="B105" s="152"/>
      <c r="C105" s="152"/>
      <c r="D105" s="152"/>
      <c r="E105" s="152"/>
      <c r="F105" s="152"/>
      <c r="G105" s="152"/>
      <c r="H105" s="332"/>
      <c r="I105" s="153"/>
      <c r="J105" s="153"/>
      <c r="K105" s="153"/>
      <c r="L105" s="153"/>
      <c r="M105" s="153"/>
      <c r="N105" s="335"/>
      <c r="O105" s="370"/>
      <c r="P105" s="152"/>
      <c r="Q105" s="152"/>
      <c r="R105" s="152"/>
      <c r="S105" s="152"/>
      <c r="T105" s="333"/>
      <c r="U105" s="153"/>
      <c r="V105" s="152"/>
      <c r="W105" s="153"/>
      <c r="X105" s="373"/>
      <c r="Y105" s="153"/>
      <c r="Z105" s="153"/>
      <c r="AA105" s="335"/>
      <c r="AB105" s="370"/>
      <c r="AC105" s="152"/>
      <c r="AD105" s="152"/>
      <c r="AE105" s="152"/>
    </row>
    <row r="106" spans="1:31">
      <c r="A106" s="152"/>
      <c r="B106" s="152"/>
      <c r="C106" s="152"/>
      <c r="D106" s="152"/>
      <c r="E106" s="152"/>
      <c r="F106" s="152"/>
      <c r="G106" s="152"/>
      <c r="H106" s="332"/>
      <c r="I106" s="153"/>
      <c r="J106" s="153"/>
      <c r="K106" s="153"/>
      <c r="L106" s="153"/>
      <c r="M106" s="153"/>
      <c r="N106" s="335"/>
      <c r="O106" s="370"/>
      <c r="P106" s="152"/>
      <c r="Q106" s="152"/>
      <c r="R106" s="152"/>
      <c r="S106" s="152"/>
      <c r="T106" s="333"/>
      <c r="U106" s="153"/>
      <c r="V106" s="152"/>
      <c r="W106" s="153"/>
      <c r="X106" s="373"/>
      <c r="Y106" s="153"/>
      <c r="Z106" s="153"/>
      <c r="AA106" s="335"/>
      <c r="AB106" s="370"/>
      <c r="AC106" s="152"/>
      <c r="AD106" s="152"/>
      <c r="AE106" s="152"/>
    </row>
    <row r="107" spans="1:31">
      <c r="A107" s="152"/>
      <c r="B107" s="152"/>
      <c r="C107" s="152"/>
      <c r="D107" s="152"/>
      <c r="E107" s="152"/>
      <c r="F107" s="152"/>
      <c r="G107" s="152"/>
      <c r="H107" s="332"/>
      <c r="I107" s="153"/>
      <c r="J107" s="153"/>
      <c r="K107" s="153"/>
      <c r="L107" s="153"/>
      <c r="M107" s="153"/>
      <c r="N107" s="335"/>
      <c r="O107" s="370"/>
      <c r="P107" s="152"/>
      <c r="Q107" s="152"/>
      <c r="R107" s="152"/>
      <c r="S107" s="152"/>
      <c r="T107" s="333"/>
      <c r="U107" s="153"/>
      <c r="V107" s="152"/>
      <c r="W107" s="153"/>
      <c r="X107" s="373"/>
      <c r="Y107" s="153"/>
      <c r="Z107" s="153"/>
      <c r="AA107" s="335"/>
      <c r="AB107" s="370"/>
      <c r="AC107" s="152"/>
      <c r="AD107" s="152"/>
      <c r="AE107" s="152"/>
    </row>
    <row r="108" spans="1:31">
      <c r="A108" s="152"/>
      <c r="B108" s="152"/>
      <c r="C108" s="152"/>
      <c r="D108" s="152"/>
      <c r="E108" s="152"/>
      <c r="F108" s="152"/>
      <c r="G108" s="152"/>
      <c r="H108" s="332"/>
      <c r="I108" s="153"/>
      <c r="J108" s="153"/>
      <c r="K108" s="153"/>
      <c r="L108" s="153"/>
      <c r="M108" s="153"/>
      <c r="N108" s="335"/>
      <c r="O108" s="370"/>
      <c r="P108" s="152"/>
      <c r="Q108" s="152"/>
      <c r="R108" s="152"/>
      <c r="S108" s="152"/>
      <c r="T108" s="333"/>
      <c r="U108" s="153"/>
      <c r="V108" s="152"/>
      <c r="W108" s="153"/>
      <c r="X108" s="373"/>
      <c r="Y108" s="153"/>
      <c r="Z108" s="153"/>
      <c r="AA108" s="335"/>
      <c r="AB108" s="370"/>
      <c r="AC108" s="152"/>
      <c r="AD108" s="152"/>
      <c r="AE108" s="152"/>
    </row>
    <row r="109" spans="1:31">
      <c r="A109" s="152"/>
      <c r="B109" s="152"/>
      <c r="C109" s="152"/>
      <c r="D109" s="152"/>
      <c r="E109" s="152"/>
      <c r="F109" s="152"/>
      <c r="G109" s="152"/>
      <c r="H109" s="333"/>
      <c r="I109" s="153"/>
      <c r="J109" s="153"/>
      <c r="K109" s="153"/>
      <c r="L109" s="153"/>
      <c r="M109" s="153"/>
      <c r="N109" s="335"/>
      <c r="O109" s="370"/>
      <c r="P109" s="152"/>
      <c r="Q109" s="152"/>
      <c r="R109" s="152"/>
      <c r="S109" s="152"/>
      <c r="T109" s="333"/>
      <c r="U109" s="153"/>
      <c r="V109" s="152"/>
      <c r="W109" s="153"/>
      <c r="X109" s="373"/>
      <c r="Y109" s="153"/>
      <c r="Z109" s="153"/>
      <c r="AA109" s="335"/>
      <c r="AB109" s="370"/>
      <c r="AC109" s="152"/>
      <c r="AD109" s="152"/>
      <c r="AE109" s="152"/>
    </row>
    <row r="110" spans="1:31">
      <c r="A110" s="152"/>
      <c r="B110" s="152"/>
      <c r="C110" s="152"/>
      <c r="D110" s="152"/>
      <c r="E110" s="152"/>
      <c r="F110" s="152"/>
      <c r="G110" s="152"/>
      <c r="H110" s="333"/>
      <c r="I110" s="153"/>
      <c r="J110" s="153"/>
      <c r="K110" s="153"/>
      <c r="L110" s="153"/>
      <c r="M110" s="153"/>
      <c r="N110" s="335"/>
      <c r="O110" s="370"/>
      <c r="P110" s="152"/>
      <c r="Q110" s="152"/>
      <c r="R110" s="152"/>
      <c r="S110" s="152"/>
      <c r="T110" s="333"/>
      <c r="U110" s="153"/>
      <c r="V110" s="152"/>
      <c r="W110" s="373"/>
      <c r="X110" s="153"/>
      <c r="Y110" s="153"/>
      <c r="Z110" s="335"/>
      <c r="AA110" s="370"/>
      <c r="AB110" s="152"/>
      <c r="AC110" s="152"/>
      <c r="AD110" s="152"/>
      <c r="AE110" s="152"/>
    </row>
    <row r="111" spans="1:31">
      <c r="A111" s="152"/>
      <c r="B111" s="152"/>
      <c r="C111" s="152"/>
      <c r="D111" s="152"/>
      <c r="E111" s="152"/>
      <c r="F111" s="152"/>
      <c r="G111" s="152"/>
      <c r="H111" s="334"/>
      <c r="I111" s="153"/>
      <c r="J111" s="153"/>
      <c r="K111" s="153"/>
      <c r="L111" s="153"/>
      <c r="M111" s="153"/>
      <c r="N111" s="335"/>
      <c r="O111" s="370"/>
      <c r="P111" s="152"/>
      <c r="Q111" s="152"/>
      <c r="R111" s="152"/>
      <c r="S111" s="152"/>
      <c r="T111" s="334"/>
      <c r="U111" s="153"/>
      <c r="V111" s="152"/>
      <c r="W111" s="373"/>
      <c r="X111" s="153"/>
      <c r="Y111" s="153"/>
      <c r="Z111" s="335"/>
      <c r="AA111" s="370"/>
      <c r="AB111" s="152"/>
      <c r="AC111" s="152"/>
      <c r="AD111" s="152"/>
      <c r="AE111" s="152"/>
    </row>
    <row r="112" spans="1:31">
      <c r="A112" s="152"/>
      <c r="B112" s="152"/>
      <c r="C112" s="152"/>
      <c r="D112" s="152"/>
      <c r="E112" s="152"/>
      <c r="F112" s="152"/>
      <c r="G112" s="152"/>
      <c r="H112" s="334"/>
      <c r="I112" s="153"/>
      <c r="J112" s="153"/>
      <c r="K112" s="153"/>
      <c r="L112" s="153"/>
      <c r="M112" s="153"/>
      <c r="N112" s="335"/>
      <c r="O112" s="370"/>
      <c r="P112" s="152"/>
      <c r="Q112" s="152"/>
      <c r="R112" s="152"/>
      <c r="S112" s="152"/>
      <c r="T112" s="334"/>
      <c r="U112" s="153"/>
      <c r="V112" s="152"/>
      <c r="W112" s="373"/>
      <c r="X112" s="153"/>
      <c r="Y112" s="153"/>
      <c r="Z112" s="335"/>
      <c r="AA112" s="370"/>
      <c r="AB112" s="152"/>
      <c r="AC112" s="152"/>
      <c r="AD112" s="152"/>
      <c r="AE112" s="152"/>
    </row>
    <row r="113" spans="1:31">
      <c r="A113" s="152"/>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c r="AA113" s="152"/>
      <c r="AB113" s="152"/>
      <c r="AC113" s="152"/>
      <c r="AD113" s="152"/>
      <c r="AE113" s="152"/>
    </row>
    <row r="114" spans="1:31">
      <c r="A114" s="152"/>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2"/>
      <c r="AB114" s="152"/>
      <c r="AC114" s="152"/>
      <c r="AD114" s="152"/>
      <c r="AE114" s="152"/>
    </row>
    <row r="115" spans="1:31">
      <c r="A115" s="152"/>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2"/>
      <c r="AB115" s="152"/>
      <c r="AC115" s="152"/>
      <c r="AD115" s="152"/>
      <c r="AE115" s="152"/>
    </row>
    <row r="116" spans="1:31">
      <c r="A116" s="152"/>
      <c r="B116" s="152"/>
      <c r="C116" s="152"/>
      <c r="D116" s="152"/>
      <c r="E116" s="152"/>
      <c r="F116" s="369"/>
      <c r="G116" s="369"/>
      <c r="H116" s="153"/>
      <c r="I116" s="153"/>
      <c r="J116" s="153"/>
      <c r="K116" s="153"/>
      <c r="L116" s="153"/>
      <c r="M116" s="153"/>
      <c r="N116" s="153"/>
      <c r="O116" s="153"/>
      <c r="P116" s="153"/>
      <c r="Q116" s="152"/>
      <c r="R116" s="152"/>
      <c r="S116" s="152"/>
      <c r="T116" s="152"/>
      <c r="U116" s="152"/>
      <c r="V116" s="152"/>
      <c r="W116" s="152"/>
      <c r="X116" s="152"/>
      <c r="Y116" s="152"/>
      <c r="Z116" s="152"/>
      <c r="AA116" s="152"/>
      <c r="AB116" s="152"/>
      <c r="AC116" s="152"/>
      <c r="AD116" s="152"/>
      <c r="AE116" s="152"/>
    </row>
    <row r="117" spans="1:31">
      <c r="A117" s="152"/>
      <c r="B117" s="152"/>
      <c r="C117" s="152"/>
      <c r="D117" s="152"/>
      <c r="E117" s="152"/>
      <c r="F117" s="369"/>
      <c r="G117" s="369"/>
      <c r="H117" s="334"/>
      <c r="I117" s="153"/>
      <c r="J117" s="153"/>
      <c r="K117" s="153"/>
      <c r="L117" s="153"/>
      <c r="M117" s="153"/>
      <c r="N117" s="153"/>
      <c r="O117" s="153"/>
      <c r="P117" s="153"/>
      <c r="Q117" s="152"/>
      <c r="R117" s="152"/>
      <c r="S117" s="152"/>
      <c r="T117" s="152"/>
      <c r="U117" s="152"/>
      <c r="V117" s="152"/>
      <c r="W117" s="152"/>
      <c r="X117" s="152"/>
      <c r="Y117" s="152"/>
      <c r="Z117" s="152"/>
      <c r="AA117" s="152"/>
      <c r="AB117" s="152"/>
      <c r="AC117" s="152"/>
      <c r="AD117" s="152"/>
      <c r="AE117" s="152"/>
    </row>
    <row r="118" spans="1:31">
      <c r="A118" s="152"/>
      <c r="B118" s="152"/>
      <c r="C118" s="152"/>
      <c r="D118" s="152"/>
      <c r="E118" s="152"/>
      <c r="F118" s="369"/>
      <c r="G118" s="369"/>
      <c r="H118" s="334"/>
      <c r="I118" s="153"/>
      <c r="J118" s="153"/>
      <c r="K118" s="371"/>
      <c r="L118" s="153"/>
      <c r="M118" s="153"/>
      <c r="N118" s="153"/>
      <c r="O118" s="335"/>
      <c r="P118" s="372"/>
      <c r="Q118" s="152"/>
      <c r="R118" s="152"/>
      <c r="S118" s="152"/>
      <c r="T118" s="152"/>
      <c r="U118" s="152"/>
      <c r="V118" s="152"/>
      <c r="W118" s="152"/>
      <c r="X118" s="152"/>
      <c r="Y118" s="152"/>
      <c r="Z118" s="152"/>
      <c r="AA118" s="152"/>
      <c r="AB118" s="152"/>
      <c r="AC118" s="152"/>
      <c r="AD118" s="152"/>
      <c r="AE118" s="152"/>
    </row>
    <row r="119" spans="1:31">
      <c r="A119" s="152"/>
      <c r="B119" s="152"/>
      <c r="C119" s="152"/>
      <c r="D119" s="152"/>
      <c r="E119" s="152"/>
      <c r="F119" s="369"/>
      <c r="G119" s="369"/>
      <c r="H119" s="334"/>
      <c r="I119" s="153"/>
      <c r="J119" s="153"/>
      <c r="K119" s="371"/>
      <c r="L119" s="153"/>
      <c r="M119" s="153"/>
      <c r="N119" s="153"/>
      <c r="O119" s="335"/>
      <c r="P119" s="372"/>
      <c r="Q119" s="152"/>
      <c r="R119" s="152"/>
      <c r="S119" s="152"/>
      <c r="T119" s="152"/>
      <c r="U119" s="152"/>
      <c r="V119" s="152"/>
      <c r="W119" s="152"/>
      <c r="X119" s="152"/>
      <c r="Y119" s="152"/>
      <c r="Z119" s="152"/>
      <c r="AA119" s="152"/>
      <c r="AB119" s="152"/>
      <c r="AC119" s="152"/>
      <c r="AD119" s="152"/>
      <c r="AE119" s="152"/>
    </row>
    <row r="120" spans="1:31">
      <c r="A120" s="152"/>
      <c r="B120" s="152"/>
      <c r="C120" s="152"/>
      <c r="D120" s="152"/>
      <c r="E120" s="152"/>
      <c r="F120" s="369"/>
      <c r="G120" s="369"/>
      <c r="H120" s="334"/>
      <c r="I120" s="153"/>
      <c r="J120" s="153"/>
      <c r="K120" s="371"/>
      <c r="L120" s="153"/>
      <c r="M120" s="153"/>
      <c r="N120" s="153"/>
      <c r="O120" s="335"/>
      <c r="P120" s="372"/>
      <c r="Q120" s="152"/>
      <c r="R120" s="152"/>
      <c r="S120" s="152"/>
      <c r="T120" s="152"/>
      <c r="U120" s="152"/>
      <c r="V120" s="152"/>
      <c r="W120" s="152"/>
      <c r="X120" s="152"/>
      <c r="Y120" s="152"/>
      <c r="Z120" s="152"/>
      <c r="AA120" s="152"/>
      <c r="AB120" s="152"/>
      <c r="AC120" s="152"/>
      <c r="AD120" s="152"/>
      <c r="AE120" s="152"/>
    </row>
    <row r="121" spans="1:31">
      <c r="A121" s="152"/>
      <c r="B121" s="152"/>
      <c r="C121" s="152"/>
      <c r="D121" s="152"/>
      <c r="E121" s="152"/>
      <c r="F121" s="369"/>
      <c r="G121" s="369"/>
      <c r="H121" s="334"/>
      <c r="I121" s="153"/>
      <c r="J121" s="153"/>
      <c r="K121" s="371"/>
      <c r="L121" s="153"/>
      <c r="M121" s="153"/>
      <c r="N121" s="153"/>
      <c r="O121" s="335"/>
      <c r="P121" s="372"/>
      <c r="Q121" s="152"/>
      <c r="R121" s="152"/>
      <c r="S121" s="152"/>
      <c r="T121" s="152"/>
      <c r="U121" s="152"/>
      <c r="V121" s="152"/>
      <c r="W121" s="152"/>
      <c r="X121" s="152"/>
      <c r="Y121" s="152"/>
      <c r="Z121" s="152"/>
      <c r="AA121" s="152"/>
      <c r="AB121" s="152"/>
      <c r="AC121" s="152"/>
      <c r="AD121" s="152"/>
      <c r="AE121" s="152"/>
    </row>
    <row r="122" spans="1:31">
      <c r="A122" s="152"/>
      <c r="B122" s="152"/>
      <c r="C122" s="152"/>
      <c r="D122" s="152"/>
      <c r="E122" s="152"/>
      <c r="F122" s="369"/>
      <c r="G122" s="369"/>
      <c r="H122" s="334"/>
      <c r="I122" s="153"/>
      <c r="J122" s="153"/>
      <c r="K122" s="371"/>
      <c r="L122" s="153"/>
      <c r="M122" s="153"/>
      <c r="N122" s="153"/>
      <c r="O122" s="335"/>
      <c r="P122" s="372"/>
      <c r="Q122" s="152"/>
      <c r="R122" s="152"/>
      <c r="S122" s="152"/>
      <c r="T122" s="152"/>
      <c r="U122" s="152"/>
      <c r="V122" s="152"/>
      <c r="W122" s="152"/>
      <c r="X122" s="152"/>
      <c r="Y122" s="152"/>
      <c r="Z122" s="152"/>
      <c r="AA122" s="152"/>
      <c r="AB122" s="152"/>
      <c r="AC122" s="152"/>
      <c r="AD122" s="152"/>
      <c r="AE122" s="152"/>
    </row>
    <row r="123" spans="1:31">
      <c r="A123" s="152"/>
      <c r="B123" s="152"/>
      <c r="C123" s="152"/>
      <c r="D123" s="152"/>
      <c r="E123" s="152"/>
      <c r="F123" s="369"/>
      <c r="G123" s="369"/>
      <c r="H123" s="334"/>
      <c r="I123" s="153"/>
      <c r="J123" s="153"/>
      <c r="K123" s="371"/>
      <c r="L123" s="153"/>
      <c r="M123" s="153"/>
      <c r="N123" s="153"/>
      <c r="O123" s="335"/>
      <c r="P123" s="372"/>
      <c r="Q123" s="152"/>
      <c r="R123" s="152"/>
      <c r="S123" s="152"/>
      <c r="T123" s="152"/>
      <c r="U123" s="152"/>
      <c r="V123" s="152"/>
      <c r="W123" s="152"/>
      <c r="X123" s="152"/>
      <c r="Y123" s="152"/>
      <c r="Z123" s="152"/>
      <c r="AA123" s="152"/>
      <c r="AB123" s="152"/>
      <c r="AC123" s="152"/>
      <c r="AD123" s="152"/>
      <c r="AE123" s="152"/>
    </row>
    <row r="124" spans="1:31">
      <c r="A124" s="152"/>
      <c r="B124" s="152"/>
      <c r="C124" s="152"/>
      <c r="D124" s="152"/>
      <c r="E124" s="152"/>
      <c r="F124" s="369"/>
      <c r="G124" s="369"/>
      <c r="H124" s="334"/>
      <c r="I124" s="153"/>
      <c r="J124" s="153"/>
      <c r="K124" s="371"/>
      <c r="L124" s="153"/>
      <c r="M124" s="153"/>
      <c r="N124" s="153"/>
      <c r="O124" s="335"/>
      <c r="P124" s="372"/>
      <c r="Q124" s="152"/>
      <c r="R124" s="152"/>
      <c r="S124" s="152"/>
      <c r="T124" s="152"/>
      <c r="U124" s="152"/>
      <c r="V124" s="152"/>
      <c r="W124" s="152"/>
      <c r="X124" s="152"/>
      <c r="Y124" s="152"/>
      <c r="Z124" s="152"/>
      <c r="AA124" s="152"/>
      <c r="AB124" s="152"/>
      <c r="AC124" s="152"/>
      <c r="AD124" s="152"/>
      <c r="AE124" s="152"/>
    </row>
    <row r="125" spans="1:31">
      <c r="A125" s="152"/>
      <c r="B125" s="152"/>
      <c r="C125" s="152"/>
      <c r="D125" s="152"/>
      <c r="E125" s="152"/>
      <c r="F125" s="152"/>
      <c r="G125" s="152"/>
      <c r="H125" s="334"/>
      <c r="I125" s="153"/>
      <c r="J125" s="153"/>
      <c r="K125" s="371"/>
      <c r="L125" s="153"/>
      <c r="M125" s="153"/>
      <c r="N125" s="153"/>
      <c r="O125" s="335"/>
      <c r="P125" s="372"/>
      <c r="Q125" s="152"/>
      <c r="R125" s="152"/>
      <c r="S125" s="152"/>
      <c r="T125" s="152"/>
      <c r="U125" s="152"/>
      <c r="V125" s="152"/>
      <c r="W125" s="152"/>
      <c r="X125" s="152"/>
      <c r="Y125" s="152"/>
      <c r="Z125" s="152"/>
      <c r="AA125" s="152"/>
      <c r="AB125" s="152"/>
      <c r="AC125" s="152"/>
      <c r="AD125" s="152"/>
      <c r="AE125" s="152"/>
    </row>
    <row r="126" spans="1:31">
      <c r="A126" s="152"/>
      <c r="B126" s="152"/>
      <c r="C126" s="152"/>
      <c r="D126" s="152"/>
      <c r="E126" s="152"/>
      <c r="F126" s="152"/>
      <c r="G126" s="152"/>
      <c r="H126" s="334"/>
      <c r="I126" s="153"/>
      <c r="J126" s="153"/>
      <c r="K126" s="371"/>
      <c r="L126" s="153"/>
      <c r="M126" s="153"/>
      <c r="N126" s="153"/>
      <c r="O126" s="335"/>
      <c r="P126" s="372"/>
      <c r="Q126" s="152"/>
      <c r="R126" s="152"/>
      <c r="S126" s="152"/>
      <c r="T126" s="152"/>
      <c r="U126" s="152"/>
      <c r="V126" s="152"/>
      <c r="W126" s="152"/>
      <c r="X126" s="152"/>
      <c r="Y126" s="152"/>
      <c r="Z126" s="152"/>
      <c r="AA126" s="152"/>
      <c r="AB126" s="152"/>
      <c r="AC126" s="152"/>
      <c r="AD126" s="152"/>
      <c r="AE126" s="152"/>
    </row>
    <row r="127" spans="1:31">
      <c r="A127" s="152"/>
      <c r="B127" s="152"/>
      <c r="C127" s="152"/>
      <c r="D127" s="152"/>
      <c r="E127" s="152"/>
      <c r="F127" s="152"/>
      <c r="G127" s="152"/>
      <c r="H127" s="334"/>
      <c r="I127" s="153"/>
      <c r="J127" s="153"/>
      <c r="K127" s="371"/>
      <c r="L127" s="153"/>
      <c r="M127" s="153"/>
      <c r="N127" s="153"/>
      <c r="O127" s="335"/>
      <c r="P127" s="372"/>
      <c r="Q127" s="152"/>
      <c r="R127" s="152"/>
      <c r="S127" s="152"/>
      <c r="T127" s="152"/>
      <c r="U127" s="152"/>
      <c r="V127" s="152"/>
      <c r="W127" s="152"/>
      <c r="X127" s="152"/>
      <c r="Y127" s="152"/>
      <c r="Z127" s="152"/>
      <c r="AA127" s="152"/>
      <c r="AB127" s="152"/>
      <c r="AC127" s="152"/>
      <c r="AD127" s="152"/>
      <c r="AE127" s="152"/>
    </row>
    <row r="128" spans="1:31">
      <c r="A128" s="152"/>
      <c r="B128" s="152"/>
      <c r="C128" s="152"/>
      <c r="D128" s="152"/>
      <c r="E128" s="152"/>
      <c r="F128" s="152"/>
      <c r="G128" s="152"/>
      <c r="H128" s="334"/>
      <c r="I128" s="153"/>
      <c r="J128" s="153"/>
      <c r="K128" s="371"/>
      <c r="L128" s="153"/>
      <c r="M128" s="153"/>
      <c r="N128" s="153"/>
      <c r="O128" s="335"/>
      <c r="P128" s="372"/>
      <c r="Q128" s="152"/>
      <c r="R128" s="152"/>
      <c r="S128" s="152"/>
      <c r="T128" s="152"/>
      <c r="U128" s="152"/>
      <c r="V128" s="152"/>
      <c r="W128" s="152"/>
      <c r="X128" s="152"/>
      <c r="Y128" s="152"/>
      <c r="Z128" s="152"/>
      <c r="AA128" s="152"/>
      <c r="AB128" s="152"/>
      <c r="AC128" s="152"/>
      <c r="AD128" s="152"/>
      <c r="AE128" s="152"/>
    </row>
    <row r="129" spans="1:31">
      <c r="A129" s="152"/>
      <c r="B129" s="152"/>
      <c r="C129" s="152"/>
      <c r="D129" s="152"/>
      <c r="E129" s="152"/>
      <c r="F129" s="152"/>
      <c r="G129" s="152"/>
      <c r="H129" s="334"/>
      <c r="I129" s="153"/>
      <c r="J129" s="153"/>
      <c r="K129" s="371"/>
      <c r="L129" s="153"/>
      <c r="M129" s="153"/>
      <c r="N129" s="153"/>
      <c r="O129" s="335"/>
      <c r="P129" s="372"/>
      <c r="Q129" s="152"/>
      <c r="R129" s="152"/>
      <c r="S129" s="152"/>
      <c r="T129" s="152"/>
      <c r="U129" s="152"/>
      <c r="V129" s="152"/>
      <c r="W129" s="152"/>
      <c r="X129" s="152"/>
      <c r="Y129" s="152"/>
      <c r="Z129" s="152"/>
      <c r="AA129" s="152"/>
      <c r="AB129" s="152"/>
      <c r="AC129" s="152"/>
      <c r="AD129" s="152"/>
      <c r="AE129" s="152"/>
    </row>
    <row r="130" spans="1:31">
      <c r="A130" s="152"/>
      <c r="B130" s="152"/>
      <c r="C130" s="152"/>
      <c r="D130" s="152"/>
      <c r="E130" s="152"/>
      <c r="F130" s="152"/>
      <c r="G130" s="152"/>
      <c r="H130" s="334"/>
      <c r="I130" s="153"/>
      <c r="J130" s="153"/>
      <c r="K130" s="371"/>
      <c r="L130" s="153"/>
      <c r="M130" s="153"/>
      <c r="N130" s="153"/>
      <c r="O130" s="335"/>
      <c r="P130" s="372"/>
      <c r="Q130" s="152"/>
      <c r="R130" s="152"/>
      <c r="S130" s="152"/>
      <c r="T130" s="152"/>
      <c r="U130" s="152"/>
      <c r="V130" s="152"/>
      <c r="W130" s="152"/>
      <c r="X130" s="152"/>
      <c r="Y130" s="152"/>
      <c r="Z130" s="152"/>
      <c r="AA130" s="152"/>
      <c r="AB130" s="152"/>
      <c r="AC130" s="152"/>
      <c r="AD130" s="152"/>
      <c r="AE130" s="152"/>
    </row>
    <row r="131" spans="1:31">
      <c r="A131" s="152"/>
      <c r="B131" s="152"/>
      <c r="C131" s="152"/>
      <c r="D131" s="152"/>
      <c r="E131" s="152"/>
      <c r="F131" s="152"/>
      <c r="G131" s="152"/>
      <c r="H131" s="334"/>
      <c r="I131" s="153"/>
      <c r="J131" s="153"/>
      <c r="K131" s="371"/>
      <c r="L131" s="153"/>
      <c r="M131" s="153"/>
      <c r="N131" s="153"/>
      <c r="O131" s="335"/>
      <c r="P131" s="372"/>
      <c r="Q131" s="152"/>
      <c r="R131" s="152"/>
      <c r="S131" s="152"/>
      <c r="T131" s="152"/>
      <c r="U131" s="152"/>
      <c r="V131" s="152"/>
      <c r="W131" s="152"/>
      <c r="X131" s="152"/>
      <c r="Y131" s="152"/>
      <c r="Z131" s="152"/>
      <c r="AA131" s="152"/>
      <c r="AB131" s="152"/>
      <c r="AC131" s="152"/>
      <c r="AD131" s="152"/>
      <c r="AE131" s="152"/>
    </row>
    <row r="132" spans="1:31">
      <c r="A132" s="152"/>
      <c r="B132" s="152"/>
      <c r="C132" s="152"/>
      <c r="D132" s="152"/>
      <c r="E132" s="152"/>
      <c r="F132" s="152"/>
      <c r="G132" s="152"/>
      <c r="H132" s="334"/>
      <c r="I132" s="153"/>
      <c r="J132" s="153"/>
      <c r="K132" s="371"/>
      <c r="L132" s="153"/>
      <c r="M132" s="153"/>
      <c r="N132" s="153"/>
      <c r="O132" s="335"/>
      <c r="P132" s="372"/>
      <c r="Q132" s="152"/>
      <c r="R132" s="152"/>
      <c r="S132" s="152"/>
      <c r="T132" s="152"/>
      <c r="U132" s="152"/>
      <c r="V132" s="152"/>
      <c r="W132" s="152"/>
      <c r="X132" s="152"/>
      <c r="Y132" s="152"/>
      <c r="Z132" s="152"/>
      <c r="AA132" s="152"/>
      <c r="AB132" s="152"/>
      <c r="AC132" s="152"/>
      <c r="AD132" s="152"/>
      <c r="AE132" s="152"/>
    </row>
    <row r="133" spans="1:31">
      <c r="A133" s="152"/>
      <c r="B133" s="152"/>
      <c r="C133" s="152"/>
      <c r="D133" s="152"/>
      <c r="E133" s="152"/>
      <c r="F133" s="152"/>
      <c r="G133" s="152"/>
      <c r="H133" s="334"/>
      <c r="I133" s="153"/>
      <c r="J133" s="153"/>
      <c r="K133" s="371"/>
      <c r="L133" s="153"/>
      <c r="M133" s="153"/>
      <c r="N133" s="153"/>
      <c r="O133" s="335"/>
      <c r="P133" s="372"/>
      <c r="Q133" s="152"/>
      <c r="R133" s="152"/>
      <c r="S133" s="152"/>
      <c r="T133" s="152"/>
      <c r="U133" s="152"/>
      <c r="V133" s="152"/>
      <c r="W133" s="152"/>
      <c r="X133" s="152"/>
      <c r="Y133" s="152"/>
      <c r="Z133" s="152"/>
      <c r="AA133" s="152"/>
      <c r="AB133" s="152"/>
      <c r="AC133" s="152"/>
      <c r="AD133" s="152"/>
      <c r="AE133" s="152"/>
    </row>
    <row r="134" spans="1:31">
      <c r="A134" s="152"/>
      <c r="B134" s="152"/>
      <c r="C134" s="152"/>
      <c r="D134" s="152"/>
      <c r="E134" s="152"/>
      <c r="F134" s="152"/>
      <c r="G134" s="152"/>
      <c r="H134" s="334"/>
      <c r="I134" s="153"/>
      <c r="J134" s="153"/>
      <c r="K134" s="371"/>
      <c r="L134" s="153"/>
      <c r="M134" s="153"/>
      <c r="N134" s="153"/>
      <c r="O134" s="335"/>
      <c r="P134" s="372"/>
      <c r="Q134" s="152"/>
      <c r="R134" s="152"/>
      <c r="S134" s="152"/>
      <c r="T134" s="152"/>
      <c r="U134" s="152"/>
      <c r="V134" s="152"/>
      <c r="W134" s="152"/>
      <c r="X134" s="152"/>
      <c r="Y134" s="152"/>
      <c r="Z134" s="152"/>
      <c r="AA134" s="152"/>
      <c r="AB134" s="152"/>
      <c r="AC134" s="152"/>
      <c r="AD134" s="152"/>
      <c r="AE134" s="152"/>
    </row>
    <row r="135" spans="1:31">
      <c r="A135" s="152"/>
      <c r="B135" s="152"/>
      <c r="C135" s="152"/>
      <c r="D135" s="152"/>
      <c r="E135" s="152"/>
      <c r="F135" s="152"/>
      <c r="G135" s="152"/>
      <c r="H135" s="152"/>
      <c r="I135" s="152"/>
      <c r="J135" s="152"/>
      <c r="K135" s="152"/>
      <c r="L135" s="152"/>
      <c r="M135" s="152"/>
      <c r="N135" s="152"/>
      <c r="O135" s="152"/>
      <c r="P135" s="152"/>
      <c r="Q135" s="152"/>
      <c r="R135" s="152"/>
      <c r="S135" s="152"/>
      <c r="T135" s="152"/>
      <c r="U135" s="152"/>
      <c r="V135" s="152"/>
      <c r="W135" s="152"/>
      <c r="X135" s="152"/>
      <c r="Y135" s="152"/>
      <c r="Z135" s="152"/>
      <c r="AA135" s="152"/>
      <c r="AB135" s="152"/>
      <c r="AC135" s="152"/>
      <c r="AD135" s="152"/>
      <c r="AE135" s="152"/>
    </row>
    <row r="136" spans="1:31">
      <c r="A136" s="152"/>
      <c r="B136" s="152"/>
      <c r="C136" s="152"/>
      <c r="D136" s="152"/>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c r="AA136" s="152"/>
      <c r="AB136" s="152"/>
      <c r="AC136" s="152"/>
      <c r="AD136" s="152"/>
      <c r="AE136" s="152"/>
    </row>
    <row r="137" spans="1:31">
      <c r="A137" s="152"/>
      <c r="B137" s="152"/>
      <c r="C137" s="152"/>
      <c r="D137" s="152"/>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c r="AA137" s="152"/>
      <c r="AB137" s="152"/>
      <c r="AC137" s="152"/>
      <c r="AD137" s="152"/>
      <c r="AE137" s="152"/>
    </row>
    <row r="138" spans="1:31">
      <c r="A138" s="152"/>
      <c r="B138" s="152"/>
      <c r="C138" s="152"/>
      <c r="D138" s="152"/>
      <c r="E138" s="152"/>
      <c r="F138" s="152"/>
      <c r="G138" s="152"/>
      <c r="H138" s="152"/>
      <c r="I138" s="152"/>
      <c r="J138" s="152"/>
      <c r="K138" s="152"/>
      <c r="L138" s="152"/>
      <c r="M138" s="152"/>
      <c r="N138" s="152"/>
      <c r="O138" s="152"/>
      <c r="P138" s="152"/>
      <c r="Q138" s="152"/>
      <c r="R138" s="152"/>
      <c r="S138" s="152"/>
      <c r="T138" s="152"/>
      <c r="U138" s="152"/>
      <c r="V138" s="152"/>
      <c r="W138" s="152"/>
      <c r="X138" s="152"/>
      <c r="Y138" s="152"/>
      <c r="Z138" s="152"/>
      <c r="AA138" s="152"/>
      <c r="AB138" s="152"/>
      <c r="AC138" s="152"/>
      <c r="AD138" s="152"/>
      <c r="AE138" s="152"/>
    </row>
    <row r="139" spans="1:31">
      <c r="A139" s="152"/>
      <c r="B139" s="152"/>
      <c r="C139" s="152"/>
      <c r="D139" s="152"/>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c r="AA139" s="152"/>
      <c r="AB139" s="152"/>
      <c r="AC139" s="152"/>
      <c r="AD139" s="152"/>
      <c r="AE139" s="152"/>
    </row>
    <row r="140" spans="1:31">
      <c r="A140" s="152"/>
      <c r="B140" s="152"/>
      <c r="C140" s="152"/>
      <c r="D140" s="15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152"/>
      <c r="AE140" s="152"/>
    </row>
    <row r="141" spans="1:31">
      <c r="A141" s="152"/>
      <c r="B141" s="152"/>
      <c r="C141" s="152"/>
      <c r="D141" s="152"/>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c r="AA141" s="152"/>
      <c r="AB141" s="152"/>
      <c r="AC141" s="152"/>
      <c r="AD141" s="152"/>
      <c r="AE141" s="152"/>
    </row>
    <row r="142" spans="1:31">
      <c r="A142" s="152"/>
      <c r="B142" s="152"/>
      <c r="C142" s="152"/>
      <c r="D142" s="152"/>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c r="AA142" s="152"/>
      <c r="AB142" s="152"/>
      <c r="AC142" s="152"/>
      <c r="AD142" s="152"/>
      <c r="AE142" s="152"/>
    </row>
  </sheetData>
  <mergeCells count="4">
    <mergeCell ref="D1:E2"/>
    <mergeCell ref="AF1:AG2"/>
    <mergeCell ref="A1:C2"/>
    <mergeCell ref="A3:C4"/>
  </mergeCells>
  <conditionalFormatting sqref="A30:Y34">
    <cfRule type="expression" dxfId="38" priority="65">
      <formula>颜色主题="魔法"</formula>
    </cfRule>
  </conditionalFormatting>
  <conditionalFormatting sqref="A18:AI18 D19:AI19 A19:C21 D20:G21 Z20:AI22 A22:G24 Z23:AW24 A25:AW25 A28:AI29 Z30:AI32 Z34:AW34">
    <cfRule type="expression" dxfId="37" priority="110">
      <formula>颜色主题="魔法"</formula>
    </cfRule>
  </conditionalFormatting>
  <conditionalFormatting sqref="A26:AR27 AS26:AS31 AR28:AR31 AR32:AS32 Z33:AS33">
    <cfRule type="expression" dxfId="36" priority="11">
      <formula>颜色主题="魔法"</formula>
    </cfRule>
  </conditionalFormatting>
  <conditionalFormatting sqref="A1:AW17">
    <cfRule type="expression" dxfId="35" priority="30">
      <formula>颜色主题="魔法"</formula>
    </cfRule>
  </conditionalFormatting>
  <conditionalFormatting sqref="A35:AW90">
    <cfRule type="expression" dxfId="34" priority="12">
      <formula>颜色主题="魔法"</formula>
    </cfRule>
  </conditionalFormatting>
  <conditionalFormatting sqref="H20:Y24">
    <cfRule type="expression" dxfId="33" priority="80">
      <formula>颜色主题="魔法"</formula>
    </cfRule>
  </conditionalFormatting>
  <conditionalFormatting sqref="AJ28:AQ32">
    <cfRule type="expression" dxfId="32" priority="3">
      <formula>颜色主题="魔法"</formula>
    </cfRule>
  </conditionalFormatting>
  <conditionalFormatting sqref="AJ18:AW22">
    <cfRule type="expression" dxfId="31" priority="21">
      <formula>颜色主题="魔法"</formula>
    </cfRule>
  </conditionalFormatting>
  <conditionalFormatting sqref="AT26:AW33">
    <cfRule type="expression" dxfId="30" priority="1">
      <formula>颜色主题="魔法"</formula>
    </cfRule>
  </conditionalFormatting>
  <dataValidations count="51">
    <dataValidation allowBlank="1" showInputMessage="1" showErrorMessage="1" promptTitle="====================" prompt="飞行速度：14格/秒_x000a_可否追踪：可以_x000a_弹道轨迹：抛物线_x000a_参考时间：0.25秒_x000a_" sqref="S5" xr:uid="{00000000-0002-0000-0600-000000000000}"/>
    <dataValidation allowBlank="1" showInputMessage="1" showErrorMessage="1" promptTitle="======================" prompt="法术所覆盖的半径，作用效果取决于法术类型。" sqref="AH6 AO6 AH27 AO27" xr:uid="{00000000-0002-0000-0600-000001000000}"/>
    <dataValidation allowBlank="1" showInputMessage="1" showErrorMessage="1" promptTitle="=========================" prompt="此项目决定了兵种的攻击目标和偏好。_x000a_攻击任何目标，选择最近的攻击！" sqref="F6 O6 O19 F43 O43 W43" xr:uid="{00000000-0002-0000-0600-000002000000}"/>
    <dataValidation allowBlank="1" showInputMessage="1" showErrorMessage="1" promptTitle="===========狂暴法术===========" prompt="狂暴法术的问世与法术滥用现象同时出现。_x000a_如化学实验提高反应速率，加快火焰的燃烧速度，或者快速跳过无聊的会议。_x000a_甚至还可以提高疗伤因子的活性！_x000a_" sqref="AH26" xr:uid="{00000000-0002-0000-0600-000003000000}"/>
    <dataValidation allowBlank="1" showInputMessage="1" showErrorMessage="1" promptTitle="===========疗伤法术===========" prompt="相比于危险的电击质，疗伤法术的材料更好找。_x000a_唯一比较难找的材料就是天使的愈伤因子。欣喜的是不仅天使愿意奉献，同时还会参与到疗伤法术的产线，以帮助更多天使无法顾及的伤员。_x000a_" sqref="AH5" xr:uid="{00000000-0002-0000-0600-000004000000}"/>
    <dataValidation allowBlank="1" showInputMessage="1" showErrorMessage="1" promptTitle="===========弹跳法术===========" prompt="弹跳法术的正确使用方法是内服，然后获得强大的弹跳能力，从而登上山峰。_x000a_但是有一次法师们尝试给弹跳法术增加了一点龙息，使得法术非常难喝。愤怒的法师于是打碎了瓶子，弹跳法术便从此成为了现在的样子。_x000a_" sqref="AO5" xr:uid="{00000000-0002-0000-0600-000005000000}"/>
    <dataValidation allowBlank="1" showInputMessage="1" showErrorMessage="1" promptTitle="======================" prompt="此项目决定了兵种的攻击目标和偏好。_x000a_优先攻击最近偏好目标，否则选择最近的攻击！" sqref="W6 W19 F29 W55" xr:uid="{00000000-0002-0000-0600-000006000000}"/>
    <dataValidation allowBlank="1" showInputMessage="1" showErrorMessage="1" promptTitle="==========================" prompt="单体攻击：一次攻击只击中一个目标，并且永远不会击空。_x000a_" sqref="AT33" xr:uid="{00000000-0002-0000-0600-000007000000}"/>
    <dataValidation allowBlank="1" showInputMessage="1" showErrorMessage="1" promptTitle="======================" prompt="占用空间指的是法术占用法术工厂总容量的多少。" sqref="AH11 AO11 AO21 AH22 AH32 AO32" xr:uid="{00000000-0002-0000-0600-000008000000}"/>
    <dataValidation allowBlank="1" showInputMessage="1" showErrorMessage="1" promptTitle="=========================" prompt="射程指的是单位可以攻击到目标的最远距离" sqref="F7 O7 W7 O20 W20 F44 O44 W44 F49" xr:uid="{00000000-0002-0000-0600-000009000000}"/>
    <dataValidation allowBlank="1" showInputMessage="1" showErrorMessage="1" promptTitle="=====================" prompt="法术的作用时长，越长代表持续越久，可以越早下。" sqref="AH7 AO7 AH28 AO28 AO17:AO18" xr:uid="{00000000-0002-0000-0600-00000A000000}"/>
    <dataValidation allowBlank="1" showInputMessage="1" showErrorMessage="1" promptTitle="====================" prompt="飞行速度：14格/秒_x000a_可否追踪：不可以_x000a_弹道轨迹：直线_x000a_参考时间：0.43+0.29秒_x000a_" sqref="H54" xr:uid="{00000000-0002-0000-0600-00000B000000}"/>
    <dataValidation allowBlank="1" showInputMessage="1" showErrorMessage="1" promptTitle="=========================" prompt="攻速决定了单位开火所需要的时间，_x000a_每次伤害=攻速*每秒伤害。" sqref="F8 O8 W8 O21 W21 F45 O45 W45 R63:R74" xr:uid="{00000000-0002-0000-0600-00000C000000}"/>
    <dataValidation allowBlank="1" showInputMessage="1" showErrorMessage="1" promptTitle="=====================" prompt="代表法术可以释放增益效果的次数" sqref="AH18" xr:uid="{00000000-0002-0000-0600-00000D000000}"/>
    <dataValidation allowBlank="1" showInputMessage="1" showErrorMessage="1" promptTitle="=====================" prompt="法术两次增益之间所需要的时间，往往比较短，就好像持续下去的。" sqref="AH8 AO8 AH29" xr:uid="{00000000-0002-0000-0600-00000E000000}"/>
    <dataValidation allowBlank="1" showInputMessage="1" showErrorMessage="1" promptTitle="=========================" prompt="移速的单位是：秒/格_x000a_与游戏显示的数值n的转换方法是：n/8" sqref="F9 O9 W9 O22 W22 F46 O46 W46 R75" xr:uid="{00000000-0002-0000-0600-00000F000000}"/>
    <dataValidation allowBlank="1" showInputMessage="1" showErrorMessage="1" promptTitle="======================" prompt="生效延迟指的是从法术落地之后到起作用的时间。" sqref="AH10 AO10 AO20 AH31" xr:uid="{00000000-0002-0000-0600-000010000000}"/>
    <dataValidation allowBlank="1" showInputMessage="1" showErrorMessage="1" promptTitle="=========================" prompt="放置时长指的是从你释放法术到法术落在地上的时间" sqref="AH9 AO9 AO19 AH20 AH30" xr:uid="{00000000-0002-0000-0600-000011000000}"/>
    <dataValidation allowBlank="1" showInputMessage="1" showErrorMessage="1" promptTitle="=========================" prompt="单体攻击：一次攻击只击中一个目标，并且永远不会击空。" sqref="F10 O10 W10 O23 W23 F47 O47 W47" xr:uid="{00000000-0002-0000-0600-000012000000}"/>
    <dataValidation allowBlank="1" showInputMessage="1" showErrorMessage="1" promptTitle="=========================" prompt="野蛮人狂暴模式下的移速_x000a_" sqref="F11" xr:uid="{00000000-0002-0000-0600-000013000000}"/>
    <dataValidation allowBlank="1" showInputMessage="1" showErrorMessage="1" promptTitle="====================" prompt="在隐形期间，弓箭手仅仅无法作为攻击目标。_x000a_陷阱或者其他间接伤害都可以伤害到她们。_x000a_" sqref="O11" xr:uid="{00000000-0002-0000-0600-000014000000}"/>
    <dataValidation allowBlank="1" showInputMessage="1" showErrorMessage="1" promptTitle="=====================" prompt="野蛮人狂暴模式下的每秒伤害比例" sqref="F12" xr:uid="{00000000-0002-0000-0600-000015000000}"/>
    <dataValidation allowBlank="1" showInputMessage="1" showErrorMessage="1" promptTitle="======骷髅======" prompt="单体伤害_x000a_移动速度：2格/秒_x000a_攻击速度：1秒/次_x000a_每秒伤害：25_x000a_生命值：30" sqref="T29 AC29" xr:uid="{00000000-0002-0000-0600-000016000000}"/>
    <dataValidation allowBlank="1" showInputMessage="1" showErrorMessage="1" promptTitle="=========================" prompt="陆军单位有被弹射陷阱和隐形弹簧作用的风险。_x000a_弹射质量代表了部队的规模，数值越大，弹射相同数量的部队所需要的弹射能力越大。_x000a_" sqref="O12 W12 F13 R78" xr:uid="{00000000-0002-0000-0600-000017000000}"/>
    <dataValidation allowBlank="1" showInputMessage="1" showErrorMessage="1" promptTitle="===========雷电法术===========" prompt="雷电法术装满了电击质，这是来自天堂的稀有不稳定物质，一旦挥发就会引起感应雷击。_x000a_那么法师究竟是怎么得到这些危险的材料呢？_x000a_" sqref="AH16" xr:uid="{00000000-0002-0000-0600-000018000000}"/>
    <dataValidation allowBlank="1" showInputMessage="1" showErrorMessage="1" promptTitle="====================" prompt="飞行速度：5格/秒_x000a_可否追踪：不能_x000a_弹道轨迹：直线_x000a_参考时间：0.8秒_x000a_" sqref="AD71" xr:uid="{00000000-0002-0000-0600-000019000000}"/>
    <dataValidation allowBlank="1" showInputMessage="1" showErrorMessage="1" promptTitle="====================" prompt="飞行速度：2格/秒_x000a_可否追踪：可以_x000a_弹道轨迹：直线_x000a_参考时间：0.375秒_x000a_" sqref="H28" xr:uid="{00000000-0002-0000-0600-00001A000000}"/>
    <dataValidation allowBlank="1" showInputMessage="1" showErrorMessage="1" promptTitle="======================" prompt="雷电的溅射半径，巨大的覆盖范围保证法术的中心点受到全额伤害。" sqref="AH17" xr:uid="{00000000-0002-0000-0600-00001B000000}"/>
    <dataValidation allowBlank="1" showInputMessage="1" showErrorMessage="1" promptTitle="=================" prompt="射程指的是单位可以攻击到目标的最远距离" sqref="F20 F30 O30 W30 AT30 F56 O56 W56" xr:uid="{00000000-0002-0000-0600-00001C000000}"/>
    <dataValidation allowBlank="1" showInputMessage="1" showErrorMessage="1" prompt="移动速度1.5格/秒_x000a_射程：0.3格_x000a_攻速：1秒/次" sqref="L18" xr:uid="{00000000-0002-0000-0600-00001D000000}"/>
    <dataValidation allowBlank="1" showInputMessage="1" showErrorMessage="1" promptTitle="=========================" prompt="一部分兵种不甘于被消灭，希望能最后一击。自爆半径指的是这种伤害的范围。" sqref="F35" xr:uid="{00000000-0002-0000-0600-00001E000000}"/>
    <dataValidation allowBlank="1" showInputMessage="1" showErrorMessage="1" promptTitle="====================" prompt="飞行速度：3.8格/秒_x000a_可否追踪：可以_x000a_弹道轨迹：抛物线_x000a_参考时间：0.72秒_x000a_" sqref="T18" xr:uid="{00000000-0002-0000-0600-00001F000000}"/>
    <dataValidation allowBlank="1" showInputMessage="1" showErrorMessage="1" promptTitle="========================" prompt="移速的单位是：秒/格_x000a_与游戏显示的数值n的转换方法是：n/8_x000a__x000a_" sqref="F21 F32 W32 O33 F58 O58 W58" xr:uid="{00000000-0002-0000-0600-000020000000}"/>
    <dataValidation allowBlank="1" showInputMessage="1" showErrorMessage="1" promptTitle="=========================" prompt="带有溅射半径的兵种都可以产生溅射伤害，从而可以击中多个单位，但有可能会因为高速移动而被闪避。_x000a_" sqref="F22 F33 F59 R76" xr:uid="{00000000-0002-0000-0600-000021000000}"/>
    <dataValidation allowBlank="1" showInputMessage="1" showErrorMessage="1" promptTitle="=======================" prompt="占用空间指的是兵种占用兵营的容量。_x000a_" sqref="F24 W33 O34 F37 F62 O62 W62" xr:uid="{00000000-0002-0000-0600-000022000000}"/>
    <dataValidation allowBlank="1" showInputMessage="1" showErrorMessage="1" promptTitle="=====================" prompt="从2阶伤害提高到3阶伤害所需要的时间。_x000a_这代表了一个单位的毁灭..._x000a_" sqref="W60" xr:uid="{00000000-0002-0000-0600-000023000000}"/>
    <dataValidation allowBlank="1" showInputMessage="1" showErrorMessage="1" promptTitle="===========气球火箭兵===========" prompt="加装了火箭推进器的气球兵，一路向着防御狂奔。_x000a__x000a_" sqref="F28" xr:uid="{00000000-0002-0000-0600-000024000000}"/>
    <dataValidation allowBlank="1" showInputMessage="1" showErrorMessage="1" promptTitle="===属性===" prompt="攻击偏好：防御_x000a_移动速度：2.3格/秒_x000a_攻速：0.2秒/次   _x000a_死亡生成骷髅数3；_x000a_人口2单位" sqref="AD28" xr:uid="{00000000-0002-0000-0600-000025000000}"/>
    <dataValidation allowBlank="1" showInputMessage="1" showErrorMessage="1" promptTitle="=========================" prompt="此项目决定了兵种的攻击目标和偏好。_x000a_攻击任何目标，选择最近的攻击！_x000a__x000a_" sqref="O29 W29 AT29 F55 O55" xr:uid="{00000000-0002-0000-0600-000026000000}"/>
    <dataValidation allowBlank="1" showInputMessage="1" showErrorMessage="1" promptTitle="===属性===" prompt="移动速度2.3格/秒_x000a_攻击距离：0格_x000a_攻击速度0.2秒/次_x000a__x000a_" sqref="AB29" xr:uid="{00000000-0002-0000-0600-000027000000}"/>
    <dataValidation allowBlank="1" showInputMessage="1" showErrorMessage="1" promptTitle="=========================" prompt="从被消灭到造成坠落伤害的时间" sqref="F36" xr:uid="{00000000-0002-0000-0600-000028000000}"/>
    <dataValidation allowBlank="1" showInputMessage="1" showErrorMessage="1" promptTitle="=========================" prompt="攻速决定了单位开火所需要的时间，_x000a_每次伤害=攻速*每秒伤害。_x000a_" sqref="F31 AT31 F57 O57 W57" xr:uid="{00000000-0002-0000-0600-000029000000}"/>
    <dataValidation allowBlank="1" showInputMessage="1" showErrorMessage="1" promptTitle="======================" prompt="从最初伤害提高到2阶伤害所需要的时间。" sqref="W59" xr:uid="{00000000-0002-0000-0600-00002A000000}"/>
    <dataValidation allowBlank="1" showInputMessage="1" showErrorMessage="1" promptTitle="=========================" prompt="移速的单位是：秒/格_x000a_与游戏显示的数值n的转换方法是：n/8_x000a__x000a_" sqref="AT32" xr:uid="{00000000-0002-0000-0600-00002B000000}"/>
    <dataValidation allowBlank="1" showInputMessage="1" showErrorMessage="1" promptTitle="======================" prompt="攻击新的目标时的实际开火时间，往往比攻速快。" sqref="F34" xr:uid="{00000000-0002-0000-0600-00002C000000}"/>
    <dataValidation allowBlank="1" showInputMessage="1" showErrorMessage="1" promptTitle="====================" prompt="飞行速度：12格/秒_x000a_可否追踪：可以_x000a_弹道轨迹：直线_x000a_参考时间：0.375秒_x000a_" sqref="M42 N71" xr:uid="{00000000-0002-0000-0600-00002D000000}"/>
    <dataValidation allowBlank="1" showInputMessage="1" showErrorMessage="1" promptTitle="===属性===" prompt="移动速度2.3格/秒_x000a_撞击半径：0.25格" sqref="AC42" xr:uid="{00000000-0002-0000-0600-00002E000000}"/>
    <dataValidation allowBlank="1" showInputMessage="1" showErrorMessage="1" promptTitle="======================" prompt="每秒钟生命值降低25，直到报废" sqref="F50" xr:uid="{00000000-0002-0000-0600-00002F000000}"/>
    <dataValidation allowBlank="1" showInputMessage="1" showErrorMessage="1" promptTitle="===========超级飞龙===========" prompt="待补充……" sqref="F54" xr:uid="{00000000-0002-0000-0600-000030000000}"/>
    <dataValidation allowBlank="1" showInputMessage="1" showErrorMessage="1" promptTitle="===========地狱飞龙===========" prompt="继承地狱之塔力量的飞龙宝宝，大人物的克星。_x000a__x000a_" sqref="W54" xr:uid="{00000000-0002-0000-0600-000031000000}"/>
    <dataValidation allowBlank="1" showInputMessage="1" showErrorMessage="1" promptTitle="======================" prompt="连发是特殊的攻击模式，一次攻击射出多发子弹。有利于快速消灭目标，但是可能需要更多的装填时间。_x000a_" sqref="F60" xr:uid="{00000000-0002-0000-0600-000032000000}"/>
  </dataValidations>
  <hyperlinks>
    <hyperlink ref="D4" location="'4.1都城军队'!F5:L13" tooltip="狂暴的无情战士，有浓密秀发的靓仔" display="01.超级野蛮人" xr:uid="{00000000-0004-0000-0600-000000000000}"/>
    <hyperlink ref="D5" location="'4.1都城军队'!O5:S12" tooltip="隐身于月色中，骄傲自负的精灵" display="02.隐秘弓箭手" xr:uid="{00000000-0004-0000-0600-000001000000}"/>
    <hyperlink ref="D6" location="'4.1都城军队'!W5:AC12" tooltip="佩戴大胃王腰带，普通巨人的大表哥" display="03.超级巨人" xr:uid="{00000000-0004-0000-0600-000002000000}"/>
    <hyperlink ref="D7" location="'4.1都城军队'!F18:M24" tooltip="英勇无畏的勇士，托举武器冒着炮火冲锋" display="04.野蛮人攻城槌" xr:uid="{00000000-0004-0000-0600-000003000000}"/>
    <hyperlink ref="D8" location="'4.1都城军队'!O18:T24" tooltip="诞生于暗黑重油，战场上来去自如" display="05.亡灵大军" xr:uid="{00000000-0004-0000-0600-000004000000}"/>
    <hyperlink ref="D9" location="'4.1都城军队'!W18:AC24" tooltip="全身充满魔法能量" display="06.超级法师" xr:uid="{00000000-0004-0000-0600-000005000000}"/>
    <hyperlink ref="D10" location="'4.1都城军队'!F28:L38" tooltip="配备火箭助推器的气球炸弹" display="07.火箭气球兵" xr:uid="{00000000-0004-0000-0600-000006000000}"/>
    <hyperlink ref="D11" location="'4.1都城军队'!O28:T34" tooltip="鸟儿？飞机？他们是参加派对的骷髅" display="08.骷髅飞桶" xr:uid="{00000000-0004-0000-0600-000007000000}"/>
    <hyperlink ref="D12" location="'4.1都城军队'!W28:AE34" tooltip="插上翅膀的堡垒" display="09.空中堡垒" xr:uid="{00000000-0004-0000-0600-000008000000}"/>
    <hyperlink ref="D13" location="'4.1都城军队'!F42:L50" tooltip="野蛮人一路护送，更不好惹哦" display="10.突袭炮车" xr:uid="{00000000-0004-0000-0600-000009000000}"/>
    <hyperlink ref="D20" location="'4.1都城军队'!AF1:AU33" tooltip="查看都城法术" display="&gt;&gt;法术" xr:uid="{00000000-0004-0000-0600-00000A000000}"/>
    <hyperlink ref="D14" location="'4.1都城军队'!O24:U50" tooltip="暗黑盔甲蕴含可自爆的能量" display="11.超级皮卡" xr:uid="{00000000-0004-0000-0600-00000B000000}"/>
    <hyperlink ref="AF4" location="'2.2家乡支援军'!AH5:AL11" tooltip="恢复部队的元气" display="01.疗伤法术" xr:uid="{00000000-0004-0000-0600-00000C000000}"/>
    <hyperlink ref="AF5" location="'4.1都城军队'!AO5:AR13" tooltip="创建快捷通道" display="02.弹跳法术" xr:uid="{00000000-0004-0000-0600-00000D000000}"/>
    <hyperlink ref="AF6" location="'4.1都城军队'!AH16:AK22" tooltip="释放雷电，击晕建筑和部队" display="03.雷电法术" xr:uid="{00000000-0004-0000-0600-00000E000000}"/>
    <hyperlink ref="AF7" location="'4.1都城军队'!AO16:AR22" tooltip="减缓设施和部队的速度" display="04.冰霜法术" xr:uid="{00000000-0004-0000-0600-00000F000000}"/>
    <hyperlink ref="AF8" location="'4.1都城军队'!AH26:AL33" tooltip="让部队更快更强" display="05.狂暴法术" xr:uid="{00000000-0004-0000-0600-000010000000}"/>
    <hyperlink ref="AF12" location="'4.1都城军队'!A1:C14" tooltip="返回主页面" display="○主界面" xr:uid="{00000000-0004-0000-0600-000011000000}"/>
    <hyperlink ref="AF11" location="'4.1都城军队'!D1:AD63" tooltip="跳至都城兵种" display="&gt;&gt;都城兵种" xr:uid="{00000000-0004-0000-0600-000012000000}"/>
    <hyperlink ref="D21" location="'4.1都城军队'!A1:C14" tooltip="返回主页面" display="○主界面" xr:uid="{00000000-0004-0000-0600-000013000000}"/>
    <hyperlink ref="D15:D17" location="'3.1夜本军队'!F115：P134" tooltip="会飞的野猪，而且可以瘫痪目标" display="12.野猪突袭队" xr:uid="{00000000-0004-0000-0600-000014000000}"/>
    <hyperlink ref="D15" location="'4.1都城军队'!W42:AD50" tooltip="飞骑和陆骑完美结合，掀起一场突袭派对" display="12.野猪突袭队" xr:uid="{00000000-0004-0000-0600-000015000000}"/>
    <hyperlink ref="D16" location="'4.1都城军队'!F54:L63" tooltip="全身迸发出熊熊烈焰" display="13.超级飞龙" xr:uid="{00000000-0004-0000-0600-000016000000}"/>
    <hyperlink ref="D17" location="'4.1都城军队'!O54:U62" tooltip="移动的高山，当然很慢了" display="14.高山戈仑" xr:uid="{00000000-0004-0000-0600-000017000000}"/>
    <hyperlink ref="D18" location="'4.1都城军队'!W54:AC62" tooltip="怒火的烈焰" display="15.地狱飞龙" xr:uid="{00000000-0004-0000-0600-000018000000}"/>
    <hyperlink ref="AF9" location="'4.1都城军队'!AO26:AT33" tooltip="对地对空" display="06.骷髅召唤法术" xr:uid="{00000000-0004-0000-0600-000019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dimension ref="A1:BT143"/>
  <sheetViews>
    <sheetView workbookViewId="0">
      <selection sqref="A1:C2"/>
    </sheetView>
  </sheetViews>
  <sheetFormatPr defaultColWidth="9" defaultRowHeight="14.15"/>
  <cols>
    <col min="13" max="13" width="9.35546875" customWidth="1"/>
    <col min="23" max="23" width="9.35546875" customWidth="1"/>
    <col min="33" max="33" width="9.35546875" customWidth="1"/>
    <col min="44" max="44" width="9" customWidth="1"/>
    <col min="53" max="54" width="9.35546875" customWidth="1"/>
  </cols>
  <sheetData>
    <row r="1" spans="1:72" ht="14.25" customHeight="1">
      <c r="A1" s="536" t="s">
        <v>1853</v>
      </c>
      <c r="B1" s="536"/>
      <c r="C1" s="536"/>
      <c r="D1" s="537" t="s">
        <v>1035</v>
      </c>
      <c r="E1" s="537"/>
      <c r="F1" s="49"/>
      <c r="G1" s="49"/>
      <c r="H1" s="49"/>
      <c r="I1" s="49"/>
      <c r="J1" s="49"/>
      <c r="K1" s="49"/>
      <c r="L1" s="49"/>
      <c r="M1" s="118"/>
      <c r="N1" s="118"/>
      <c r="O1" s="118"/>
      <c r="P1" s="118"/>
      <c r="Q1" s="118"/>
      <c r="R1" s="118"/>
      <c r="S1" s="118"/>
      <c r="T1" s="118"/>
      <c r="U1" s="118"/>
      <c r="V1" s="118"/>
      <c r="W1" s="118"/>
      <c r="X1" s="118"/>
      <c r="Y1" s="118"/>
      <c r="Z1" s="49"/>
      <c r="AA1" s="49"/>
      <c r="AB1" s="49"/>
      <c r="AC1" s="49"/>
      <c r="AD1" s="49"/>
      <c r="AE1" s="49"/>
      <c r="AF1" s="49"/>
      <c r="AG1" s="49"/>
      <c r="AH1" s="49"/>
      <c r="AI1" s="49"/>
      <c r="AJ1" s="537" t="s">
        <v>1077</v>
      </c>
      <c r="AK1" s="537"/>
      <c r="AL1" s="49"/>
      <c r="AM1" s="49"/>
      <c r="AN1" s="49"/>
      <c r="AO1" s="49"/>
      <c r="AP1" s="49"/>
      <c r="AQ1" s="49"/>
      <c r="AR1" s="49"/>
      <c r="AS1" s="49"/>
      <c r="AT1" s="49"/>
      <c r="AU1" s="49"/>
      <c r="AV1" s="49"/>
      <c r="AW1" s="49"/>
      <c r="AX1" s="49"/>
      <c r="AY1" s="49"/>
      <c r="AZ1" s="49"/>
      <c r="BA1" s="49"/>
      <c r="BB1" s="49"/>
      <c r="BC1" s="49"/>
      <c r="BD1" s="49"/>
      <c r="BE1" s="49"/>
      <c r="BF1" s="49"/>
      <c r="BG1" s="49"/>
      <c r="BH1" s="49"/>
      <c r="BI1" s="62"/>
      <c r="BJ1" s="62"/>
      <c r="BK1" s="62"/>
      <c r="BL1" s="62"/>
    </row>
    <row r="2" spans="1:72" ht="15" customHeight="1">
      <c r="A2" s="536"/>
      <c r="B2" s="536"/>
      <c r="C2" s="536"/>
      <c r="D2" s="538"/>
      <c r="E2" s="538"/>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49"/>
      <c r="AI2" s="49"/>
      <c r="AJ2" s="538"/>
      <c r="AK2" s="538"/>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62"/>
    </row>
    <row r="3" spans="1:72">
      <c r="A3" s="539" t="s">
        <v>1568</v>
      </c>
      <c r="B3" s="539"/>
      <c r="C3" s="539"/>
      <c r="D3" s="54" t="s">
        <v>1433</v>
      </c>
      <c r="E3" s="49"/>
      <c r="F3" s="118"/>
      <c r="G3" s="118"/>
      <c r="H3" s="118"/>
      <c r="I3" s="118"/>
      <c r="J3" s="118"/>
      <c r="K3" s="118"/>
      <c r="L3" s="118"/>
      <c r="M3" s="118"/>
      <c r="N3" s="118"/>
      <c r="O3" s="118"/>
      <c r="P3" s="118"/>
      <c r="Q3" s="118"/>
      <c r="R3" s="118"/>
      <c r="S3" s="118"/>
      <c r="T3" s="118"/>
      <c r="U3" s="118"/>
      <c r="V3" s="118"/>
      <c r="W3" s="118"/>
      <c r="X3" s="118"/>
      <c r="Y3" s="118"/>
      <c r="Z3" s="49"/>
      <c r="AA3" s="49"/>
      <c r="AB3" s="49"/>
      <c r="AC3" s="49"/>
      <c r="AD3" s="49"/>
      <c r="AE3" s="49"/>
      <c r="AF3" s="49"/>
      <c r="AG3" s="49"/>
      <c r="AH3" s="49"/>
      <c r="AI3" s="49"/>
      <c r="AJ3" s="49" t="s">
        <v>231</v>
      </c>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62"/>
      <c r="BL3" s="62"/>
    </row>
    <row r="4" spans="1:72" ht="14.6">
      <c r="A4" s="539"/>
      <c r="B4" s="539"/>
      <c r="C4" s="539"/>
      <c r="D4" s="201" t="s">
        <v>1854</v>
      </c>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118"/>
      <c r="AJ4" s="164" t="s">
        <v>1855</v>
      </c>
      <c r="AK4" s="49"/>
      <c r="AL4" s="49"/>
      <c r="AM4" s="49"/>
      <c r="AN4" s="49"/>
      <c r="AO4" s="49"/>
      <c r="AP4" s="49"/>
      <c r="AQ4" s="49"/>
      <c r="AR4" s="49"/>
      <c r="AS4" s="49"/>
      <c r="AT4" s="49"/>
      <c r="AU4" s="49"/>
      <c r="AV4" s="49"/>
      <c r="AW4" s="49"/>
      <c r="AX4" s="49"/>
      <c r="AY4" s="49"/>
      <c r="AZ4" s="49"/>
      <c r="BA4" s="49"/>
      <c r="BB4" s="49"/>
      <c r="BC4" s="49"/>
      <c r="BD4" s="49"/>
      <c r="BE4" s="49"/>
      <c r="BF4" s="49"/>
      <c r="BG4" s="49"/>
      <c r="BH4" s="49"/>
      <c r="BI4" s="62"/>
      <c r="BJ4" s="62"/>
      <c r="BK4" s="62"/>
      <c r="BL4" s="62"/>
    </row>
    <row r="5" spans="1:72" ht="14.6">
      <c r="A5" s="62" t="s">
        <v>238</v>
      </c>
      <c r="B5" s="62" t="s">
        <v>239</v>
      </c>
      <c r="C5" s="62" t="s">
        <v>240</v>
      </c>
      <c r="D5" s="201" t="s">
        <v>1570</v>
      </c>
      <c r="E5" s="49"/>
      <c r="F5" s="49" t="s">
        <v>1086</v>
      </c>
      <c r="G5" s="49"/>
      <c r="H5" s="49"/>
      <c r="I5" s="49"/>
      <c r="J5" s="49"/>
      <c r="K5" s="49"/>
      <c r="L5" s="49"/>
      <c r="M5" s="49"/>
      <c r="N5" s="49"/>
      <c r="O5" s="49"/>
      <c r="P5" s="49" t="s">
        <v>1856</v>
      </c>
      <c r="Q5" s="49"/>
      <c r="R5" s="137" t="s">
        <v>1084</v>
      </c>
      <c r="S5" s="49"/>
      <c r="T5" s="49"/>
      <c r="U5" s="49"/>
      <c r="V5" s="49"/>
      <c r="W5" s="49"/>
      <c r="X5" s="49"/>
      <c r="Y5" s="49"/>
      <c r="Z5" s="49" t="s">
        <v>1857</v>
      </c>
      <c r="AA5" s="49"/>
      <c r="AB5" s="137" t="s">
        <v>1858</v>
      </c>
      <c r="AC5" s="49"/>
      <c r="AD5" s="49"/>
      <c r="AE5" s="49"/>
      <c r="AF5" s="49"/>
      <c r="AG5" s="49"/>
      <c r="AH5" s="49"/>
      <c r="AI5" s="118"/>
      <c r="AJ5" s="164" t="s">
        <v>1859</v>
      </c>
      <c r="AK5" s="49"/>
      <c r="AL5" s="49"/>
      <c r="AM5" s="49"/>
      <c r="AN5" s="49"/>
      <c r="AO5" s="49"/>
      <c r="AP5" s="49"/>
      <c r="AQ5" s="49"/>
      <c r="AR5" s="49"/>
      <c r="AS5" s="49"/>
      <c r="AT5" s="49"/>
      <c r="AU5" s="49"/>
      <c r="AV5" s="49"/>
      <c r="AW5" s="49"/>
      <c r="AX5" s="49"/>
      <c r="AY5" s="49"/>
      <c r="AZ5" s="49"/>
      <c r="BA5" s="49"/>
      <c r="BB5" s="49"/>
      <c r="BC5" s="49"/>
      <c r="BD5" s="49"/>
      <c r="BE5" s="49"/>
      <c r="BF5" s="49"/>
      <c r="BG5" s="49"/>
      <c r="BH5" s="49"/>
      <c r="BI5" s="62"/>
      <c r="BJ5" s="62"/>
      <c r="BK5" s="62"/>
      <c r="BL5" s="62"/>
    </row>
    <row r="6" spans="1:72" ht="14.6">
      <c r="A6" s="120" t="s">
        <v>1723</v>
      </c>
      <c r="B6" s="87" t="s">
        <v>1724</v>
      </c>
      <c r="C6" s="79"/>
      <c r="D6" s="201" t="s">
        <v>1860</v>
      </c>
      <c r="E6" s="49"/>
      <c r="F6" s="52" t="s">
        <v>1103</v>
      </c>
      <c r="G6" s="117"/>
      <c r="H6" s="108" t="s">
        <v>243</v>
      </c>
      <c r="I6" s="65" t="s">
        <v>244</v>
      </c>
      <c r="J6" s="65" t="s">
        <v>1091</v>
      </c>
      <c r="K6" s="49"/>
      <c r="L6" s="49"/>
      <c r="M6" s="49"/>
      <c r="N6" s="49"/>
      <c r="O6" s="49"/>
      <c r="P6" s="52" t="s">
        <v>1099</v>
      </c>
      <c r="Q6" s="64"/>
      <c r="R6" s="108" t="s">
        <v>243</v>
      </c>
      <c r="S6" s="65" t="s">
        <v>244</v>
      </c>
      <c r="T6" s="65" t="s">
        <v>245</v>
      </c>
      <c r="U6" s="65" t="s">
        <v>250</v>
      </c>
      <c r="V6" s="65" t="s">
        <v>246</v>
      </c>
      <c r="W6" s="65" t="s">
        <v>1861</v>
      </c>
      <c r="X6" s="49"/>
      <c r="Y6" s="49"/>
      <c r="Z6" s="52" t="s">
        <v>1102</v>
      </c>
      <c r="AA6" s="64"/>
      <c r="AB6" s="108" t="s">
        <v>243</v>
      </c>
      <c r="AC6" s="65" t="s">
        <v>244</v>
      </c>
      <c r="AD6" s="65" t="s">
        <v>1862</v>
      </c>
      <c r="AE6" s="65" t="s">
        <v>250</v>
      </c>
      <c r="AF6" s="65" t="s">
        <v>1091</v>
      </c>
      <c r="AG6" s="65" t="s">
        <v>1861</v>
      </c>
      <c r="AH6" s="49"/>
      <c r="AI6" s="118"/>
      <c r="AJ6" s="164" t="s">
        <v>1863</v>
      </c>
      <c r="AK6" s="49"/>
      <c r="AL6" s="49"/>
      <c r="AM6" s="49" t="s">
        <v>1864</v>
      </c>
      <c r="AN6" s="49"/>
      <c r="AO6" s="49"/>
      <c r="AP6" s="49"/>
      <c r="AQ6" s="49"/>
      <c r="AR6" s="49"/>
      <c r="AS6" s="49"/>
      <c r="AT6" s="49"/>
      <c r="AU6" s="49"/>
      <c r="AV6" s="49"/>
      <c r="AW6" s="49" t="s">
        <v>1865</v>
      </c>
      <c r="AX6" s="49"/>
      <c r="AY6" s="49"/>
      <c r="AZ6" s="49"/>
      <c r="BA6" s="49"/>
      <c r="BB6" s="49"/>
      <c r="BC6" s="49"/>
      <c r="BD6" s="49"/>
      <c r="BE6" s="49" t="s">
        <v>1866</v>
      </c>
      <c r="BF6" s="56"/>
      <c r="BG6" s="49"/>
      <c r="BH6" s="49"/>
      <c r="BI6" s="49"/>
      <c r="BJ6" s="49"/>
      <c r="BK6" s="49"/>
      <c r="BL6" s="62"/>
    </row>
    <row r="7" spans="1:72" ht="14.6">
      <c r="A7" s="120" t="s">
        <v>1730</v>
      </c>
      <c r="B7" s="99" t="s">
        <v>1731</v>
      </c>
      <c r="C7" s="79"/>
      <c r="D7" s="201" t="s">
        <v>1867</v>
      </c>
      <c r="E7" s="49"/>
      <c r="F7" s="49" t="s">
        <v>1114</v>
      </c>
      <c r="G7" s="297"/>
      <c r="H7" s="298">
        <v>1</v>
      </c>
      <c r="I7" s="62">
        <v>5000</v>
      </c>
      <c r="J7" s="316">
        <v>0</v>
      </c>
      <c r="K7" s="49"/>
      <c r="L7" s="49"/>
      <c r="M7" s="49"/>
      <c r="N7" s="49"/>
      <c r="O7" s="49"/>
      <c r="P7" s="49" t="s">
        <v>1642</v>
      </c>
      <c r="Q7" s="56"/>
      <c r="R7" s="298">
        <v>1</v>
      </c>
      <c r="S7" s="62">
        <v>1250</v>
      </c>
      <c r="T7" s="62">
        <v>130</v>
      </c>
      <c r="U7" s="62">
        <f>T7*1.5</f>
        <v>195</v>
      </c>
      <c r="V7" s="316">
        <v>2500</v>
      </c>
      <c r="W7" s="83">
        <v>100</v>
      </c>
      <c r="X7" s="49"/>
      <c r="Y7" s="49"/>
      <c r="Z7" s="49" t="s">
        <v>1112</v>
      </c>
      <c r="AA7" s="56"/>
      <c r="AB7" s="298">
        <v>1</v>
      </c>
      <c r="AC7" s="62">
        <v>1200</v>
      </c>
      <c r="AD7" s="62">
        <v>90</v>
      </c>
      <c r="AE7" s="62">
        <f>AD7*0.9</f>
        <v>81</v>
      </c>
      <c r="AF7" s="150">
        <v>12000</v>
      </c>
      <c r="AG7" s="83">
        <v>100</v>
      </c>
      <c r="AH7" s="49"/>
      <c r="AI7" s="118"/>
      <c r="AJ7" s="164" t="s">
        <v>1868</v>
      </c>
      <c r="AK7" s="49"/>
      <c r="AL7" s="49"/>
      <c r="AM7" s="134" t="s">
        <v>1102</v>
      </c>
      <c r="AN7" s="64"/>
      <c r="AO7" s="65" t="s">
        <v>243</v>
      </c>
      <c r="AP7" s="65" t="s">
        <v>244</v>
      </c>
      <c r="AQ7" s="65" t="s">
        <v>245</v>
      </c>
      <c r="AR7" s="65" t="s">
        <v>250</v>
      </c>
      <c r="AS7" s="65" t="s">
        <v>1091</v>
      </c>
      <c r="AT7" s="65" t="s">
        <v>1869</v>
      </c>
      <c r="AU7" s="65" t="s">
        <v>1870</v>
      </c>
      <c r="AV7" s="65" t="s">
        <v>1871</v>
      </c>
      <c r="AW7" s="324" t="s">
        <v>170</v>
      </c>
      <c r="AX7" s="325" t="s">
        <v>171</v>
      </c>
      <c r="AY7" s="325" t="s">
        <v>172</v>
      </c>
      <c r="AZ7" s="325" t="s">
        <v>173</v>
      </c>
      <c r="BA7" s="325" t="s">
        <v>174</v>
      </c>
      <c r="BB7" s="325" t="s">
        <v>175</v>
      </c>
      <c r="BC7" s="325" t="s">
        <v>176</v>
      </c>
      <c r="BD7" s="49"/>
      <c r="BE7" s="75" t="s">
        <v>1088</v>
      </c>
      <c r="BF7" s="328"/>
      <c r="BG7" s="329" t="s">
        <v>243</v>
      </c>
      <c r="BH7" s="65" t="s">
        <v>244</v>
      </c>
      <c r="BI7" s="65" t="s">
        <v>1091</v>
      </c>
      <c r="BJ7" s="65" t="s">
        <v>1870</v>
      </c>
      <c r="BK7" s="65" t="s">
        <v>1871</v>
      </c>
      <c r="BL7" s="62"/>
    </row>
    <row r="8" spans="1:72" ht="14.6">
      <c r="A8" s="120" t="s">
        <v>1737</v>
      </c>
      <c r="B8" s="90" t="s">
        <v>1738</v>
      </c>
      <c r="C8" s="79"/>
      <c r="D8" s="201" t="s">
        <v>1872</v>
      </c>
      <c r="E8" s="49"/>
      <c r="F8" s="49" t="s">
        <v>1120</v>
      </c>
      <c r="G8" s="297"/>
      <c r="H8" s="299">
        <v>2</v>
      </c>
      <c r="I8" s="62">
        <v>6500</v>
      </c>
      <c r="J8" s="316">
        <v>500</v>
      </c>
      <c r="K8" s="49"/>
      <c r="L8" s="49"/>
      <c r="M8" s="49"/>
      <c r="N8" s="49"/>
      <c r="O8" s="49"/>
      <c r="P8" s="60" t="s">
        <v>405</v>
      </c>
      <c r="Q8" s="61"/>
      <c r="R8" s="308">
        <v>2</v>
      </c>
      <c r="S8" s="62">
        <v>1450</v>
      </c>
      <c r="T8" s="62">
        <v>150</v>
      </c>
      <c r="U8" s="62">
        <f t="shared" ref="U8:U11" si="0">T8*1.5</f>
        <v>225</v>
      </c>
      <c r="V8" s="316">
        <v>5000</v>
      </c>
      <c r="W8" s="83">
        <v>110</v>
      </c>
      <c r="X8" s="49"/>
      <c r="Y8" s="49"/>
      <c r="Z8" s="60" t="s">
        <v>652</v>
      </c>
      <c r="AA8" s="56"/>
      <c r="AB8" s="308">
        <v>2</v>
      </c>
      <c r="AC8" s="62">
        <v>1400</v>
      </c>
      <c r="AD8" s="62">
        <v>110</v>
      </c>
      <c r="AE8" s="62">
        <f t="shared" ref="AE8:AE11" si="1">AD8*0.9</f>
        <v>99</v>
      </c>
      <c r="AF8" s="150">
        <v>30000</v>
      </c>
      <c r="AG8" s="83">
        <v>110</v>
      </c>
      <c r="AH8" s="49"/>
      <c r="AI8" s="118"/>
      <c r="AJ8" s="164" t="s">
        <v>1873</v>
      </c>
      <c r="AK8" s="49"/>
      <c r="AL8" s="49"/>
      <c r="AM8" s="137" t="s">
        <v>1874</v>
      </c>
      <c r="AN8" s="56"/>
      <c r="AO8" s="298">
        <v>1</v>
      </c>
      <c r="AP8" s="62">
        <v>10000</v>
      </c>
      <c r="AQ8" s="62">
        <v>0</v>
      </c>
      <c r="AR8" s="62">
        <f t="shared" ref="AR8:AR17" si="2">AQ8*8</f>
        <v>0</v>
      </c>
      <c r="AS8" s="62"/>
      <c r="AT8" s="62"/>
      <c r="AU8" s="83">
        <v>100</v>
      </c>
      <c r="AV8" s="83">
        <v>45</v>
      </c>
      <c r="AW8" s="326"/>
      <c r="AX8" s="49"/>
      <c r="AY8" s="62"/>
      <c r="AZ8" s="62"/>
      <c r="BA8" s="150"/>
      <c r="BB8" s="124"/>
      <c r="BC8" s="49"/>
      <c r="BD8" s="49"/>
      <c r="BE8" s="210" t="s">
        <v>1106</v>
      </c>
      <c r="BF8" s="330"/>
      <c r="BG8" s="123">
        <v>1</v>
      </c>
      <c r="BH8" s="62">
        <v>6000</v>
      </c>
      <c r="BI8" s="62"/>
      <c r="BJ8" s="62">
        <v>200</v>
      </c>
      <c r="BK8" s="62">
        <v>135</v>
      </c>
      <c r="BL8" s="62"/>
    </row>
    <row r="9" spans="1:72" ht="14.6">
      <c r="A9" s="120" t="s">
        <v>1744</v>
      </c>
      <c r="B9" s="278" t="s">
        <v>1745</v>
      </c>
      <c r="C9" s="79"/>
      <c r="D9" s="201" t="s">
        <v>1875</v>
      </c>
      <c r="E9" s="49"/>
      <c r="F9" s="300"/>
      <c r="G9" s="297"/>
      <c r="H9" s="301">
        <v>3</v>
      </c>
      <c r="I9" s="62">
        <v>8000</v>
      </c>
      <c r="J9" s="316">
        <v>1500</v>
      </c>
      <c r="K9" s="49"/>
      <c r="L9" s="49"/>
      <c r="M9" s="49"/>
      <c r="N9" s="49"/>
      <c r="O9" s="49"/>
      <c r="P9" s="49" t="s">
        <v>1126</v>
      </c>
      <c r="Q9" s="64"/>
      <c r="R9" s="309">
        <v>3</v>
      </c>
      <c r="S9" s="62">
        <v>1700</v>
      </c>
      <c r="T9" s="62">
        <v>170</v>
      </c>
      <c r="U9" s="62">
        <f t="shared" si="0"/>
        <v>255</v>
      </c>
      <c r="V9" s="316">
        <v>10000</v>
      </c>
      <c r="W9" s="83">
        <v>120</v>
      </c>
      <c r="X9" s="49"/>
      <c r="Y9" s="49"/>
      <c r="Z9" s="49" t="s">
        <v>1126</v>
      </c>
      <c r="AA9" s="96"/>
      <c r="AB9" s="309">
        <v>3</v>
      </c>
      <c r="AC9" s="62">
        <v>1600</v>
      </c>
      <c r="AD9" s="62">
        <v>130</v>
      </c>
      <c r="AE9" s="62">
        <f t="shared" si="1"/>
        <v>117</v>
      </c>
      <c r="AF9" s="150">
        <v>60000</v>
      </c>
      <c r="AG9" s="83">
        <v>120</v>
      </c>
      <c r="AH9" s="49"/>
      <c r="AI9" s="118"/>
      <c r="AJ9" s="164" t="s">
        <v>1876</v>
      </c>
      <c r="AK9" s="49"/>
      <c r="AL9" s="49"/>
      <c r="AM9" s="140" t="s">
        <v>1877</v>
      </c>
      <c r="AN9" s="67"/>
      <c r="AO9" s="323">
        <v>2</v>
      </c>
      <c r="AP9" s="62">
        <v>14000</v>
      </c>
      <c r="AQ9" s="62">
        <v>80</v>
      </c>
      <c r="AR9" s="62">
        <f t="shared" si="2"/>
        <v>640</v>
      </c>
      <c r="AS9" s="150">
        <v>50000</v>
      </c>
      <c r="AT9" s="62">
        <v>15</v>
      </c>
      <c r="AU9" s="83">
        <v>200</v>
      </c>
      <c r="AV9" s="83">
        <v>180</v>
      </c>
      <c r="AW9" s="323">
        <v>1</v>
      </c>
      <c r="AX9" s="62"/>
      <c r="AY9" s="62"/>
      <c r="AZ9" s="62"/>
      <c r="BA9" s="62"/>
      <c r="BB9" s="62"/>
      <c r="BC9" s="49"/>
      <c r="BD9" s="49"/>
      <c r="BE9" s="49"/>
      <c r="BF9" s="56"/>
      <c r="BG9" s="123">
        <v>2</v>
      </c>
      <c r="BH9" s="62">
        <v>7000</v>
      </c>
      <c r="BI9" s="150">
        <v>25000</v>
      </c>
      <c r="BJ9" s="62">
        <v>225</v>
      </c>
      <c r="BK9" s="62">
        <v>225</v>
      </c>
      <c r="BL9" s="62"/>
    </row>
    <row r="10" spans="1:72" ht="14.6">
      <c r="A10" s="120" t="s">
        <v>1449</v>
      </c>
      <c r="B10" s="279" t="s">
        <v>1751</v>
      </c>
      <c r="C10" s="79"/>
      <c r="D10" s="201" t="s">
        <v>1878</v>
      </c>
      <c r="E10" s="49"/>
      <c r="F10" s="49"/>
      <c r="G10" s="297"/>
      <c r="H10" s="302">
        <v>4</v>
      </c>
      <c r="I10" s="62">
        <v>9500</v>
      </c>
      <c r="J10" s="316">
        <v>3500</v>
      </c>
      <c r="K10" s="49"/>
      <c r="L10" s="49"/>
      <c r="M10" s="49"/>
      <c r="N10" s="49"/>
      <c r="O10" s="49"/>
      <c r="P10" s="49" t="s">
        <v>1223</v>
      </c>
      <c r="Q10" s="56"/>
      <c r="R10" s="310">
        <v>4</v>
      </c>
      <c r="S10" s="62">
        <v>2000</v>
      </c>
      <c r="T10" s="62">
        <v>190</v>
      </c>
      <c r="U10" s="62">
        <f t="shared" si="0"/>
        <v>285</v>
      </c>
      <c r="V10" s="316">
        <v>18000</v>
      </c>
      <c r="W10" s="83">
        <v>130</v>
      </c>
      <c r="X10" s="49"/>
      <c r="Y10" s="49"/>
      <c r="Z10" s="49" t="s">
        <v>1223</v>
      </c>
      <c r="AA10" s="56"/>
      <c r="AB10" s="310">
        <v>4</v>
      </c>
      <c r="AC10" s="62">
        <v>1800</v>
      </c>
      <c r="AD10" s="62">
        <v>150</v>
      </c>
      <c r="AE10" s="62">
        <f t="shared" si="1"/>
        <v>135</v>
      </c>
      <c r="AF10" s="150">
        <v>250000</v>
      </c>
      <c r="AG10" s="83">
        <v>130</v>
      </c>
      <c r="AH10" s="49"/>
      <c r="AI10" s="118"/>
      <c r="AJ10" s="164" t="s">
        <v>1879</v>
      </c>
      <c r="AK10" s="49"/>
      <c r="AL10" s="49"/>
      <c r="AM10" s="317" t="s">
        <v>1880</v>
      </c>
      <c r="AN10" s="56"/>
      <c r="AO10" s="299">
        <v>3</v>
      </c>
      <c r="AP10" s="62">
        <v>18000</v>
      </c>
      <c r="AQ10" s="62">
        <v>100</v>
      </c>
      <c r="AR10" s="62">
        <f t="shared" si="2"/>
        <v>800</v>
      </c>
      <c r="AS10" s="150">
        <v>75000</v>
      </c>
      <c r="AT10" s="62">
        <v>65</v>
      </c>
      <c r="AU10" s="83">
        <v>300</v>
      </c>
      <c r="AV10" s="230">
        <v>360</v>
      </c>
      <c r="AW10" s="299">
        <v>2</v>
      </c>
      <c r="AX10" s="299">
        <v>1</v>
      </c>
      <c r="AY10" s="62"/>
      <c r="AZ10" s="62"/>
      <c r="BA10" s="62"/>
      <c r="BB10" s="62"/>
      <c r="BC10" s="49"/>
      <c r="BD10" s="49"/>
      <c r="BE10" s="49"/>
      <c r="BF10" s="56"/>
      <c r="BG10" s="123">
        <v>3</v>
      </c>
      <c r="BH10" s="62">
        <v>8000</v>
      </c>
      <c r="BI10" s="150">
        <v>75000</v>
      </c>
      <c r="BJ10" s="62">
        <v>250</v>
      </c>
      <c r="BK10" s="62">
        <v>350</v>
      </c>
      <c r="BL10" s="62"/>
      <c r="BO10">
        <v>1</v>
      </c>
    </row>
    <row r="11" spans="1:72" ht="14.6">
      <c r="A11" s="120" t="s">
        <v>1452</v>
      </c>
      <c r="B11" s="280" t="s">
        <v>1755</v>
      </c>
      <c r="C11" s="79"/>
      <c r="D11" s="201" t="s">
        <v>1881</v>
      </c>
      <c r="E11" s="49"/>
      <c r="F11" s="118"/>
      <c r="G11" s="297"/>
      <c r="H11" s="303">
        <v>5</v>
      </c>
      <c r="I11" s="62">
        <v>11000</v>
      </c>
      <c r="J11" s="316">
        <v>6500</v>
      </c>
      <c r="K11" s="49"/>
      <c r="L11" s="49"/>
      <c r="M11" s="49"/>
      <c r="N11" s="49"/>
      <c r="O11" s="49"/>
      <c r="P11" s="49" t="s">
        <v>1120</v>
      </c>
      <c r="Q11" s="56"/>
      <c r="R11" s="303">
        <v>5</v>
      </c>
      <c r="S11" s="62">
        <v>2300</v>
      </c>
      <c r="T11" s="62">
        <v>210</v>
      </c>
      <c r="U11" s="62">
        <f t="shared" si="0"/>
        <v>315</v>
      </c>
      <c r="V11" s="316">
        <v>30000</v>
      </c>
      <c r="W11" s="83">
        <v>140</v>
      </c>
      <c r="X11" s="49"/>
      <c r="Y11" s="49"/>
      <c r="Z11" s="49" t="s">
        <v>1120</v>
      </c>
      <c r="AA11" s="56"/>
      <c r="AB11" s="303">
        <v>5</v>
      </c>
      <c r="AC11" s="62">
        <v>2000</v>
      </c>
      <c r="AD11" s="62">
        <v>170</v>
      </c>
      <c r="AE11" s="62">
        <f t="shared" si="1"/>
        <v>153</v>
      </c>
      <c r="AF11" s="150">
        <v>800000</v>
      </c>
      <c r="AG11" s="83">
        <v>140</v>
      </c>
      <c r="AH11" s="49"/>
      <c r="AI11" s="118"/>
      <c r="AJ11" s="164" t="s">
        <v>1882</v>
      </c>
      <c r="AK11" s="49"/>
      <c r="AL11" s="49"/>
      <c r="AM11" s="137" t="s">
        <v>1883</v>
      </c>
      <c r="AN11" s="56"/>
      <c r="AO11" s="309">
        <v>4</v>
      </c>
      <c r="AP11" s="62">
        <v>22000</v>
      </c>
      <c r="AQ11" s="62">
        <v>120</v>
      </c>
      <c r="AR11" s="62">
        <f t="shared" si="2"/>
        <v>960</v>
      </c>
      <c r="AS11" s="150">
        <v>100000</v>
      </c>
      <c r="AT11" s="62">
        <v>165</v>
      </c>
      <c r="AU11" s="83">
        <v>400</v>
      </c>
      <c r="AV11" s="230">
        <v>585</v>
      </c>
      <c r="AW11" s="309">
        <v>2</v>
      </c>
      <c r="AX11" s="309">
        <v>2</v>
      </c>
      <c r="AY11" s="309">
        <v>1</v>
      </c>
      <c r="AZ11" s="62"/>
      <c r="BA11" s="62"/>
      <c r="BB11" s="62"/>
      <c r="BC11" s="49"/>
      <c r="BD11" s="49"/>
      <c r="BE11" s="49"/>
      <c r="BF11" s="56"/>
      <c r="BG11" s="83">
        <v>4</v>
      </c>
      <c r="BH11" s="62">
        <v>9000</v>
      </c>
      <c r="BI11" s="150">
        <v>150000</v>
      </c>
      <c r="BJ11" s="62">
        <v>275</v>
      </c>
      <c r="BK11" s="62">
        <v>405</v>
      </c>
      <c r="BL11" s="62"/>
      <c r="BO11">
        <v>2</v>
      </c>
      <c r="BP11">
        <v>1</v>
      </c>
    </row>
    <row r="12" spans="1:72" ht="14.6">
      <c r="A12" s="120" t="s">
        <v>269</v>
      </c>
      <c r="B12" s="304" t="s">
        <v>1761</v>
      </c>
      <c r="C12" s="49"/>
      <c r="D12" s="201" t="s">
        <v>1599</v>
      </c>
      <c r="E12" s="49"/>
      <c r="F12" s="118"/>
      <c r="G12" s="118"/>
      <c r="H12" s="90"/>
      <c r="I12" s="62"/>
      <c r="J12" s="62"/>
      <c r="K12" s="150"/>
      <c r="L12" s="49"/>
      <c r="M12" s="49"/>
      <c r="N12" s="49"/>
      <c r="O12" s="49"/>
      <c r="P12" s="49"/>
      <c r="Q12" s="49"/>
      <c r="R12" s="90"/>
      <c r="S12" s="62"/>
      <c r="T12" s="62"/>
      <c r="U12" s="62"/>
      <c r="V12" s="150"/>
      <c r="W12" s="124"/>
      <c r="X12" s="49"/>
      <c r="Y12" s="49"/>
      <c r="Z12" s="49"/>
      <c r="AA12" s="49"/>
      <c r="AB12" s="90"/>
      <c r="AC12" s="62"/>
      <c r="AD12" s="62"/>
      <c r="AE12" s="62"/>
      <c r="AF12" s="62"/>
      <c r="AG12" s="150"/>
      <c r="AH12" s="49"/>
      <c r="AI12" s="118"/>
      <c r="AJ12" s="164" t="s">
        <v>1884</v>
      </c>
      <c r="AK12" s="49"/>
      <c r="AL12" s="49"/>
      <c r="AM12" s="142" t="s">
        <v>1885</v>
      </c>
      <c r="AN12" s="56"/>
      <c r="AO12" s="301">
        <v>5</v>
      </c>
      <c r="AP12" s="62">
        <v>25000</v>
      </c>
      <c r="AQ12" s="62">
        <v>140</v>
      </c>
      <c r="AR12" s="62">
        <f t="shared" si="2"/>
        <v>1120</v>
      </c>
      <c r="AS12" s="150">
        <v>150000</v>
      </c>
      <c r="AT12" s="62">
        <v>285</v>
      </c>
      <c r="AU12" s="83">
        <v>500</v>
      </c>
      <c r="AV12" s="230">
        <v>810</v>
      </c>
      <c r="AW12" s="301">
        <v>3</v>
      </c>
      <c r="AX12" s="301">
        <v>2</v>
      </c>
      <c r="AY12" s="301">
        <v>2</v>
      </c>
      <c r="AZ12" s="301">
        <v>1</v>
      </c>
      <c r="BA12" s="62"/>
      <c r="BB12" s="62"/>
      <c r="BC12" s="49"/>
      <c r="BD12" s="49"/>
      <c r="BE12" s="49"/>
      <c r="BF12" s="56"/>
      <c r="BG12" s="83">
        <v>5</v>
      </c>
      <c r="BH12" s="62">
        <v>10000</v>
      </c>
      <c r="BI12" s="150">
        <v>300000</v>
      </c>
      <c r="BJ12" s="62">
        <v>300</v>
      </c>
      <c r="BK12" s="62">
        <v>460</v>
      </c>
      <c r="BL12" s="62"/>
      <c r="BO12">
        <v>2</v>
      </c>
      <c r="BP12">
        <v>2</v>
      </c>
      <c r="BQ12">
        <v>1</v>
      </c>
    </row>
    <row r="13" spans="1:72" ht="14.6">
      <c r="A13" s="120" t="s">
        <v>276</v>
      </c>
      <c r="B13" s="305" t="s">
        <v>1765</v>
      </c>
      <c r="C13" s="49"/>
      <c r="D13" s="201" t="s">
        <v>1886</v>
      </c>
      <c r="E13" s="49"/>
      <c r="F13" s="49"/>
      <c r="G13" s="118"/>
      <c r="H13" s="278"/>
      <c r="I13" s="62"/>
      <c r="J13" s="62"/>
      <c r="K13" s="150"/>
      <c r="L13" s="49"/>
      <c r="M13" s="49"/>
      <c r="N13" s="49"/>
      <c r="O13" s="49"/>
      <c r="P13" s="49"/>
      <c r="Q13" s="49"/>
      <c r="R13" s="278"/>
      <c r="S13" s="62"/>
      <c r="T13" s="62"/>
      <c r="U13" s="62"/>
      <c r="V13" s="150"/>
      <c r="W13" s="124"/>
      <c r="X13" s="49"/>
      <c r="Y13" s="49"/>
      <c r="Z13" s="49"/>
      <c r="AA13" s="49"/>
      <c r="AB13" s="278"/>
      <c r="AC13" s="62"/>
      <c r="AD13" s="62"/>
      <c r="AE13" s="62"/>
      <c r="AF13" s="62"/>
      <c r="AG13" s="150"/>
      <c r="AH13" s="49"/>
      <c r="AI13" s="118"/>
      <c r="AJ13" s="164" t="s">
        <v>1887</v>
      </c>
      <c r="AK13" s="49"/>
      <c r="AL13" s="49"/>
      <c r="AM13" s="49" t="s">
        <v>1888</v>
      </c>
      <c r="AN13" s="56"/>
      <c r="AO13" s="310">
        <v>6</v>
      </c>
      <c r="AP13" s="62">
        <v>28000</v>
      </c>
      <c r="AQ13" s="62">
        <v>160</v>
      </c>
      <c r="AR13" s="62">
        <f t="shared" si="2"/>
        <v>1280</v>
      </c>
      <c r="AS13" s="150">
        <v>200000</v>
      </c>
      <c r="AT13" s="62">
        <v>480</v>
      </c>
      <c r="AU13" s="83">
        <v>600</v>
      </c>
      <c r="AV13" s="230">
        <v>1115</v>
      </c>
      <c r="AW13" s="310">
        <v>3</v>
      </c>
      <c r="AX13" s="310">
        <v>3</v>
      </c>
      <c r="AY13" s="310">
        <v>2</v>
      </c>
      <c r="AZ13" s="310">
        <v>2</v>
      </c>
      <c r="BA13" s="310">
        <v>1</v>
      </c>
      <c r="BB13" s="62"/>
      <c r="BC13" s="49"/>
      <c r="BD13" s="49"/>
      <c r="BE13" s="49"/>
      <c r="BF13" s="49"/>
      <c r="BG13" s="49"/>
      <c r="BH13" s="49"/>
      <c r="BI13" s="49"/>
      <c r="BJ13" s="302"/>
      <c r="BK13" s="302"/>
      <c r="BL13" s="62"/>
      <c r="BO13">
        <v>3</v>
      </c>
      <c r="BP13">
        <v>2</v>
      </c>
      <c r="BQ13">
        <v>2</v>
      </c>
      <c r="BR13">
        <v>1</v>
      </c>
    </row>
    <row r="14" spans="1:72" ht="14.6">
      <c r="A14" s="120" t="s">
        <v>284</v>
      </c>
      <c r="B14" s="306" t="s">
        <v>1771</v>
      </c>
      <c r="C14" s="49"/>
      <c r="D14" s="201" t="s">
        <v>1889</v>
      </c>
      <c r="E14" s="49"/>
      <c r="F14" s="49"/>
      <c r="G14" s="118"/>
      <c r="H14" s="279"/>
      <c r="I14" s="62"/>
      <c r="J14" s="62"/>
      <c r="K14" s="150"/>
      <c r="L14" s="49"/>
      <c r="M14" s="49"/>
      <c r="N14" s="49"/>
      <c r="O14" s="49"/>
      <c r="P14" s="49"/>
      <c r="Q14" s="49"/>
      <c r="R14" s="279"/>
      <c r="S14" s="62"/>
      <c r="T14" s="62"/>
      <c r="U14" s="62"/>
      <c r="V14" s="150"/>
      <c r="W14" s="124"/>
      <c r="X14" s="49"/>
      <c r="Y14" s="49"/>
      <c r="Z14" s="49"/>
      <c r="AA14" s="49"/>
      <c r="AB14" s="279"/>
      <c r="AC14" s="62"/>
      <c r="AD14" s="62"/>
      <c r="AE14" s="62"/>
      <c r="AF14" s="62"/>
      <c r="AG14" s="150"/>
      <c r="AH14" s="49"/>
      <c r="AI14" s="118"/>
      <c r="AJ14" s="164" t="s">
        <v>1890</v>
      </c>
      <c r="AK14" s="49"/>
      <c r="AL14" s="49"/>
      <c r="AM14" s="49"/>
      <c r="AN14" s="56"/>
      <c r="AO14" s="302">
        <v>7</v>
      </c>
      <c r="AP14" s="62">
        <v>31000</v>
      </c>
      <c r="AQ14" s="62">
        <v>190</v>
      </c>
      <c r="AR14" s="62">
        <f t="shared" si="2"/>
        <v>1520</v>
      </c>
      <c r="AS14" s="150">
        <v>400000</v>
      </c>
      <c r="AT14" s="62">
        <v>670</v>
      </c>
      <c r="AU14" s="83">
        <v>700</v>
      </c>
      <c r="AV14" s="230">
        <v>1240</v>
      </c>
      <c r="AW14" s="302">
        <v>4</v>
      </c>
      <c r="AX14" s="302">
        <v>3</v>
      </c>
      <c r="AY14" s="302">
        <v>3</v>
      </c>
      <c r="AZ14" s="302">
        <v>3</v>
      </c>
      <c r="BA14" s="302">
        <v>2</v>
      </c>
      <c r="BB14" s="302">
        <v>2</v>
      </c>
      <c r="BC14" s="49"/>
      <c r="BD14" s="49"/>
      <c r="BE14" s="49"/>
      <c r="BF14" s="49"/>
      <c r="BG14" s="49"/>
      <c r="BH14" s="49"/>
      <c r="BI14" s="49"/>
      <c r="BJ14" s="49"/>
      <c r="BK14" s="49"/>
      <c r="BL14" s="62"/>
      <c r="BO14">
        <v>3</v>
      </c>
      <c r="BP14">
        <v>3</v>
      </c>
      <c r="BQ14">
        <v>2</v>
      </c>
      <c r="BR14">
        <v>2</v>
      </c>
      <c r="BS14">
        <v>1</v>
      </c>
    </row>
    <row r="15" spans="1:72" ht="14.6">
      <c r="A15" s="120" t="s">
        <v>289</v>
      </c>
      <c r="B15" s="307" t="s">
        <v>1774</v>
      </c>
      <c r="C15" s="49"/>
      <c r="D15" s="201" t="s">
        <v>1891</v>
      </c>
      <c r="E15" s="49"/>
      <c r="F15" s="49" t="s">
        <v>1892</v>
      </c>
      <c r="G15" s="49"/>
      <c r="H15" s="137" t="s">
        <v>1893</v>
      </c>
      <c r="I15" s="49"/>
      <c r="J15" s="49"/>
      <c r="K15" s="49"/>
      <c r="L15" s="49"/>
      <c r="M15" s="49"/>
      <c r="N15" s="49"/>
      <c r="O15" s="49"/>
      <c r="P15" s="49" t="s">
        <v>1894</v>
      </c>
      <c r="Q15" s="49"/>
      <c r="R15" s="137" t="s">
        <v>1084</v>
      </c>
      <c r="S15" s="49"/>
      <c r="T15" s="49"/>
      <c r="U15" s="49"/>
      <c r="V15" s="49"/>
      <c r="W15" s="49"/>
      <c r="X15" s="49"/>
      <c r="Y15" s="49"/>
      <c r="Z15" s="137" t="s">
        <v>1211</v>
      </c>
      <c r="AA15" s="137"/>
      <c r="AB15" s="137" t="s">
        <v>1212</v>
      </c>
      <c r="AC15" s="137"/>
      <c r="AD15" s="137"/>
      <c r="AE15" s="137"/>
      <c r="AF15" s="137"/>
      <c r="AG15" s="137"/>
      <c r="AH15" s="137"/>
      <c r="AI15" s="118"/>
      <c r="AJ15" s="164" t="s">
        <v>1895</v>
      </c>
      <c r="AK15" s="49"/>
      <c r="AL15" s="49"/>
      <c r="AM15" s="49"/>
      <c r="AN15" s="56"/>
      <c r="AO15" s="312">
        <v>8</v>
      </c>
      <c r="AP15" s="62">
        <v>34000</v>
      </c>
      <c r="AQ15" s="62">
        <v>220</v>
      </c>
      <c r="AR15" s="62">
        <f t="shared" si="2"/>
        <v>1760</v>
      </c>
      <c r="AS15" s="150">
        <v>600000</v>
      </c>
      <c r="AT15" s="62">
        <v>1050</v>
      </c>
      <c r="AU15" s="83">
        <v>800</v>
      </c>
      <c r="AV15" s="230">
        <v>1260</v>
      </c>
      <c r="AW15" s="312">
        <v>4</v>
      </c>
      <c r="AX15" s="312">
        <v>4</v>
      </c>
      <c r="AY15" s="312">
        <v>4</v>
      </c>
      <c r="AZ15" s="312">
        <v>3</v>
      </c>
      <c r="BA15" s="312">
        <v>3</v>
      </c>
      <c r="BB15" s="312">
        <v>3</v>
      </c>
      <c r="BC15" s="312">
        <v>2</v>
      </c>
      <c r="BD15" s="49"/>
      <c r="BE15" s="49"/>
      <c r="BF15" s="49"/>
      <c r="BG15" s="49"/>
      <c r="BH15" s="49"/>
      <c r="BI15" s="49"/>
      <c r="BJ15" s="49"/>
      <c r="BK15" s="49"/>
      <c r="BL15" s="62"/>
      <c r="BO15">
        <v>4</v>
      </c>
      <c r="BP15">
        <v>3</v>
      </c>
      <c r="BQ15">
        <v>3</v>
      </c>
      <c r="BR15">
        <v>3</v>
      </c>
      <c r="BS15">
        <v>2</v>
      </c>
      <c r="BT15">
        <v>2</v>
      </c>
    </row>
    <row r="16" spans="1:72" ht="14.6">
      <c r="A16" s="118"/>
      <c r="B16" s="118"/>
      <c r="C16" s="118"/>
      <c r="D16" s="201" t="s">
        <v>1896</v>
      </c>
      <c r="E16" s="49"/>
      <c r="F16" s="52" t="s">
        <v>1191</v>
      </c>
      <c r="G16" s="64"/>
      <c r="H16" s="108" t="s">
        <v>243</v>
      </c>
      <c r="I16" s="65" t="s">
        <v>244</v>
      </c>
      <c r="J16" s="65" t="s">
        <v>245</v>
      </c>
      <c r="K16" s="65" t="s">
        <v>250</v>
      </c>
      <c r="L16" s="65" t="s">
        <v>1091</v>
      </c>
      <c r="M16" s="65" t="s">
        <v>1861</v>
      </c>
      <c r="N16" s="49"/>
      <c r="O16" s="49"/>
      <c r="P16" s="52" t="s">
        <v>1099</v>
      </c>
      <c r="Q16" s="64"/>
      <c r="R16" s="108" t="s">
        <v>243</v>
      </c>
      <c r="S16" s="65" t="s">
        <v>244</v>
      </c>
      <c r="T16" s="65" t="s">
        <v>245</v>
      </c>
      <c r="U16" s="65" t="s">
        <v>250</v>
      </c>
      <c r="V16" s="65" t="s">
        <v>1091</v>
      </c>
      <c r="W16" s="65" t="s">
        <v>1861</v>
      </c>
      <c r="X16" s="49"/>
      <c r="Y16" s="49"/>
      <c r="Z16" s="134" t="s">
        <v>1099</v>
      </c>
      <c r="AA16" s="203"/>
      <c r="AB16" s="204" t="s">
        <v>243</v>
      </c>
      <c r="AC16" s="136" t="s">
        <v>244</v>
      </c>
      <c r="AD16" s="136" t="s">
        <v>245</v>
      </c>
      <c r="AE16" s="136" t="s">
        <v>250</v>
      </c>
      <c r="AF16" s="136" t="s">
        <v>545</v>
      </c>
      <c r="AG16" s="136" t="s">
        <v>1091</v>
      </c>
      <c r="AH16" s="136" t="s">
        <v>1870</v>
      </c>
      <c r="AI16" s="118"/>
      <c r="AJ16" s="164" t="s">
        <v>1897</v>
      </c>
      <c r="AK16" s="49"/>
      <c r="AL16" s="49"/>
      <c r="AM16" s="49"/>
      <c r="AN16" s="56"/>
      <c r="AO16" s="303">
        <v>9</v>
      </c>
      <c r="AP16" s="62">
        <v>37000</v>
      </c>
      <c r="AQ16" s="62">
        <v>250</v>
      </c>
      <c r="AR16" s="62">
        <f t="shared" si="2"/>
        <v>2000</v>
      </c>
      <c r="AS16" s="150">
        <v>800000</v>
      </c>
      <c r="AT16" s="62">
        <v>1300</v>
      </c>
      <c r="AU16" s="83">
        <v>900</v>
      </c>
      <c r="AV16" s="230">
        <v>1375</v>
      </c>
      <c r="AW16" s="303">
        <v>5</v>
      </c>
      <c r="AX16" s="303">
        <v>4</v>
      </c>
      <c r="AY16" s="303">
        <v>4</v>
      </c>
      <c r="AZ16" s="303">
        <v>4</v>
      </c>
      <c r="BA16" s="303">
        <v>4</v>
      </c>
      <c r="BB16" s="303">
        <v>4</v>
      </c>
      <c r="BC16" s="303">
        <v>3</v>
      </c>
      <c r="BD16" s="49"/>
      <c r="BE16" s="49"/>
      <c r="BF16" s="49"/>
      <c r="BG16" s="49"/>
      <c r="BH16" s="49"/>
      <c r="BI16" s="49"/>
      <c r="BJ16" s="62"/>
      <c r="BK16" s="62"/>
      <c r="BL16" s="62"/>
      <c r="BO16">
        <v>4</v>
      </c>
      <c r="BP16">
        <v>4</v>
      </c>
      <c r="BQ16">
        <v>4</v>
      </c>
      <c r="BR16">
        <v>3</v>
      </c>
      <c r="BS16">
        <v>3</v>
      </c>
      <c r="BT16">
        <v>3</v>
      </c>
    </row>
    <row r="17" spans="1:72" ht="14.6">
      <c r="A17" s="118"/>
      <c r="B17" s="118"/>
      <c r="C17" s="118"/>
      <c r="D17" s="201" t="s">
        <v>1898</v>
      </c>
      <c r="E17" s="49"/>
      <c r="F17" s="49" t="s">
        <v>1899</v>
      </c>
      <c r="G17" s="56"/>
      <c r="H17" s="298">
        <v>1</v>
      </c>
      <c r="I17" s="62">
        <v>1400</v>
      </c>
      <c r="J17" s="62">
        <v>260</v>
      </c>
      <c r="K17" s="62">
        <f>J17*1.5</f>
        <v>390</v>
      </c>
      <c r="L17" s="316">
        <v>3500</v>
      </c>
      <c r="M17" s="83">
        <v>100</v>
      </c>
      <c r="N17" s="49"/>
      <c r="O17" s="49"/>
      <c r="P17" s="49" t="s">
        <v>1216</v>
      </c>
      <c r="Q17" s="56"/>
      <c r="R17" s="308">
        <v>1</v>
      </c>
      <c r="S17" s="62">
        <v>1800</v>
      </c>
      <c r="T17" s="62">
        <v>222</v>
      </c>
      <c r="U17" s="62">
        <v>80</v>
      </c>
      <c r="V17" s="316">
        <v>4000</v>
      </c>
      <c r="W17" s="83">
        <v>140</v>
      </c>
      <c r="X17" s="49"/>
      <c r="Y17" s="49"/>
      <c r="Z17" s="137" t="s">
        <v>275</v>
      </c>
      <c r="AA17" s="205"/>
      <c r="AB17" s="308">
        <v>1</v>
      </c>
      <c r="AC17" s="120">
        <v>2000</v>
      </c>
      <c r="AD17" s="120">
        <v>65</v>
      </c>
      <c r="AE17" s="120">
        <f>AD17*1.1</f>
        <v>71.5</v>
      </c>
      <c r="AF17" s="120">
        <v>300</v>
      </c>
      <c r="AG17" s="316">
        <v>4500</v>
      </c>
      <c r="AH17" s="123">
        <v>150</v>
      </c>
      <c r="AI17" s="118"/>
      <c r="AJ17" s="164" t="s">
        <v>1900</v>
      </c>
      <c r="AK17" s="49"/>
      <c r="AL17" s="49"/>
      <c r="AM17" s="49"/>
      <c r="AN17" s="56"/>
      <c r="AO17" s="313">
        <v>10</v>
      </c>
      <c r="AP17" s="62">
        <v>40000</v>
      </c>
      <c r="AQ17" s="62">
        <v>280</v>
      </c>
      <c r="AR17" s="62">
        <f t="shared" si="2"/>
        <v>2240</v>
      </c>
      <c r="AS17" s="150">
        <v>1000000</v>
      </c>
      <c r="AT17" s="62">
        <v>1525</v>
      </c>
      <c r="AU17" s="83">
        <v>1000</v>
      </c>
      <c r="AV17" s="230">
        <v>1450</v>
      </c>
      <c r="AW17" s="313">
        <v>5</v>
      </c>
      <c r="AX17" s="313">
        <v>5</v>
      </c>
      <c r="AY17" s="313">
        <v>5</v>
      </c>
      <c r="AZ17" s="313">
        <v>5</v>
      </c>
      <c r="BA17" s="313">
        <v>5</v>
      </c>
      <c r="BB17" s="313">
        <v>5</v>
      </c>
      <c r="BC17" s="313">
        <v>4</v>
      </c>
      <c r="BD17" s="49"/>
      <c r="BE17" s="49"/>
      <c r="BF17" s="49"/>
      <c r="BG17" s="49"/>
      <c r="BH17" s="49"/>
      <c r="BI17" s="49"/>
      <c r="BJ17" s="62"/>
      <c r="BK17" s="62"/>
      <c r="BL17" s="62"/>
      <c r="BO17">
        <v>5</v>
      </c>
      <c r="BP17">
        <v>4</v>
      </c>
      <c r="BQ17">
        <v>4</v>
      </c>
      <c r="BR17">
        <v>4</v>
      </c>
      <c r="BS17">
        <v>4</v>
      </c>
      <c r="BT17">
        <v>4</v>
      </c>
    </row>
    <row r="18" spans="1:72" ht="14.6">
      <c r="A18" s="118"/>
      <c r="B18" s="118"/>
      <c r="C18" s="118"/>
      <c r="D18" s="201" t="s">
        <v>1901</v>
      </c>
      <c r="E18" s="49"/>
      <c r="F18" s="49"/>
      <c r="G18" s="56"/>
      <c r="H18" s="308">
        <v>2</v>
      </c>
      <c r="I18" s="62">
        <v>1500</v>
      </c>
      <c r="J18" s="62">
        <v>290</v>
      </c>
      <c r="K18" s="62">
        <f t="shared" ref="K18:K21" si="3">J18*1.5</f>
        <v>435</v>
      </c>
      <c r="L18" s="316">
        <v>7000</v>
      </c>
      <c r="M18" s="83">
        <v>110</v>
      </c>
      <c r="N18" s="49"/>
      <c r="O18" s="49"/>
      <c r="P18" s="49" t="s">
        <v>1902</v>
      </c>
      <c r="Q18" s="56"/>
      <c r="R18" s="299">
        <v>2</v>
      </c>
      <c r="S18" s="62">
        <v>2050</v>
      </c>
      <c r="T18" s="62">
        <v>250</v>
      </c>
      <c r="U18" s="62">
        <v>90</v>
      </c>
      <c r="V18" s="316">
        <v>8000</v>
      </c>
      <c r="W18" s="83">
        <v>150</v>
      </c>
      <c r="X18" s="49"/>
      <c r="Y18" s="49"/>
      <c r="Z18" s="140" t="s">
        <v>698</v>
      </c>
      <c r="AA18" s="207"/>
      <c r="AB18" s="299">
        <v>2</v>
      </c>
      <c r="AC18" s="120">
        <v>2250</v>
      </c>
      <c r="AD18" s="120">
        <v>80</v>
      </c>
      <c r="AE18" s="120">
        <f t="shared" ref="AE18:AE21" si="4">AD18*1.1</f>
        <v>88</v>
      </c>
      <c r="AF18" s="120">
        <v>350</v>
      </c>
      <c r="AG18" s="316">
        <v>9000</v>
      </c>
      <c r="AH18" s="123">
        <v>160</v>
      </c>
      <c r="AI18" s="49"/>
      <c r="AJ18" s="164" t="s">
        <v>1903</v>
      </c>
      <c r="AK18" s="49"/>
      <c r="AL18" s="49"/>
      <c r="AM18" s="49"/>
      <c r="AN18" s="49"/>
      <c r="AO18" s="49"/>
      <c r="AP18" s="49"/>
      <c r="AQ18" s="49"/>
      <c r="AR18" s="49"/>
      <c r="AS18" s="49"/>
      <c r="AT18" s="49"/>
      <c r="AU18" s="49"/>
      <c r="AV18" s="49"/>
      <c r="AW18" s="316"/>
      <c r="AX18" s="49"/>
      <c r="AY18" s="62"/>
      <c r="AZ18" s="62"/>
      <c r="BA18" s="150"/>
      <c r="BB18" s="124"/>
      <c r="BC18" s="49"/>
      <c r="BD18" s="49"/>
      <c r="BE18" s="49"/>
      <c r="BF18" s="49"/>
      <c r="BG18" s="49"/>
      <c r="BH18" s="49"/>
      <c r="BI18" s="49"/>
      <c r="BJ18" s="62"/>
      <c r="BK18" s="62"/>
      <c r="BL18" s="62"/>
      <c r="BO18">
        <v>5</v>
      </c>
      <c r="BP18">
        <v>5</v>
      </c>
      <c r="BQ18">
        <v>5</v>
      </c>
      <c r="BR18">
        <v>5</v>
      </c>
      <c r="BS18">
        <v>5</v>
      </c>
      <c r="BT18">
        <v>5</v>
      </c>
    </row>
    <row r="19" spans="1:72" ht="14.6">
      <c r="A19" s="118"/>
      <c r="B19" s="118"/>
      <c r="C19" s="118"/>
      <c r="D19" s="201" t="s">
        <v>1904</v>
      </c>
      <c r="E19" s="49"/>
      <c r="F19" s="60" t="s">
        <v>405</v>
      </c>
      <c r="G19" s="61"/>
      <c r="H19" s="309">
        <v>3</v>
      </c>
      <c r="I19" s="62">
        <v>1600</v>
      </c>
      <c r="J19" s="62">
        <v>320</v>
      </c>
      <c r="K19" s="62">
        <f t="shared" si="3"/>
        <v>480</v>
      </c>
      <c r="L19" s="316">
        <v>14000</v>
      </c>
      <c r="M19" s="83">
        <v>120</v>
      </c>
      <c r="N19" s="49"/>
      <c r="O19" s="49"/>
      <c r="P19" s="60" t="s">
        <v>1905</v>
      </c>
      <c r="Q19" s="61"/>
      <c r="R19" s="301">
        <v>3</v>
      </c>
      <c r="S19" s="62">
        <v>2300</v>
      </c>
      <c r="T19" s="62">
        <v>277</v>
      </c>
      <c r="U19" s="62">
        <v>100</v>
      </c>
      <c r="V19" s="316">
        <v>16000</v>
      </c>
      <c r="W19" s="83">
        <v>160</v>
      </c>
      <c r="X19" s="49"/>
      <c r="Y19" s="49"/>
      <c r="Z19" s="134" t="s">
        <v>366</v>
      </c>
      <c r="AA19" s="203"/>
      <c r="AB19" s="301">
        <v>3</v>
      </c>
      <c r="AC19" s="120">
        <v>2500</v>
      </c>
      <c r="AD19" s="120">
        <v>95</v>
      </c>
      <c r="AE19" s="120">
        <f t="shared" si="4"/>
        <v>104.50000000000001</v>
      </c>
      <c r="AF19" s="120">
        <v>400</v>
      </c>
      <c r="AG19" s="316">
        <v>18000</v>
      </c>
      <c r="AH19" s="123">
        <v>170</v>
      </c>
      <c r="AI19" s="49"/>
      <c r="AJ19" s="164" t="s">
        <v>1906</v>
      </c>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62"/>
      <c r="BK19" s="62"/>
      <c r="BL19" s="62"/>
    </row>
    <row r="20" spans="1:72" ht="14.6">
      <c r="A20" s="118"/>
      <c r="B20" s="118"/>
      <c r="C20" s="118"/>
      <c r="D20" s="201" t="s">
        <v>1907</v>
      </c>
      <c r="E20" s="49"/>
      <c r="F20" s="49" t="s">
        <v>1126</v>
      </c>
      <c r="G20" s="64"/>
      <c r="H20" s="310">
        <v>4</v>
      </c>
      <c r="I20" s="62">
        <v>1700</v>
      </c>
      <c r="J20" s="62">
        <v>350</v>
      </c>
      <c r="K20" s="62">
        <f t="shared" si="3"/>
        <v>525</v>
      </c>
      <c r="L20" s="316">
        <v>24000</v>
      </c>
      <c r="M20" s="83">
        <v>130</v>
      </c>
      <c r="N20" s="62"/>
      <c r="O20" s="49"/>
      <c r="P20" s="49" t="s">
        <v>1908</v>
      </c>
      <c r="Q20" s="56"/>
      <c r="R20" s="302">
        <v>4</v>
      </c>
      <c r="S20" s="62">
        <v>2550</v>
      </c>
      <c r="T20" s="62">
        <v>305</v>
      </c>
      <c r="U20" s="62">
        <v>110</v>
      </c>
      <c r="V20" s="316">
        <v>27000</v>
      </c>
      <c r="W20" s="83">
        <v>170</v>
      </c>
      <c r="X20" s="49"/>
      <c r="Y20" s="49"/>
      <c r="Z20" s="137" t="s">
        <v>1223</v>
      </c>
      <c r="AA20" s="205"/>
      <c r="AB20" s="302">
        <v>4</v>
      </c>
      <c r="AC20" s="120">
        <v>2750</v>
      </c>
      <c r="AD20" s="120">
        <v>110</v>
      </c>
      <c r="AE20" s="120">
        <f t="shared" si="4"/>
        <v>121.00000000000001</v>
      </c>
      <c r="AF20" s="120">
        <v>450</v>
      </c>
      <c r="AG20" s="316">
        <v>30000</v>
      </c>
      <c r="AH20" s="123">
        <v>180</v>
      </c>
      <c r="AI20" s="49"/>
      <c r="AJ20" s="164" t="s">
        <v>1909</v>
      </c>
      <c r="AK20" s="49"/>
      <c r="AL20" s="49"/>
      <c r="AM20" s="49"/>
      <c r="AN20" s="62"/>
      <c r="AO20" s="62"/>
      <c r="AP20" s="62"/>
      <c r="AQ20" s="62"/>
      <c r="AR20" s="49"/>
      <c r="AS20" s="49"/>
      <c r="AT20" s="49"/>
      <c r="AU20" s="49"/>
      <c r="AV20" s="49"/>
      <c r="AW20" s="49"/>
      <c r="AX20" s="49"/>
      <c r="AY20" s="62"/>
      <c r="AZ20" s="62"/>
      <c r="BA20" s="62"/>
      <c r="BB20" s="62"/>
      <c r="BC20" s="49"/>
      <c r="BD20" s="49"/>
      <c r="BE20" s="49"/>
      <c r="BF20" s="49"/>
      <c r="BG20" s="118"/>
      <c r="BH20" s="62"/>
      <c r="BI20" s="62"/>
      <c r="BJ20" s="62"/>
      <c r="BK20" s="62"/>
      <c r="BL20" s="62"/>
    </row>
    <row r="21" spans="1:72" ht="14.6">
      <c r="A21" s="118"/>
      <c r="B21" s="118"/>
      <c r="C21" s="118"/>
      <c r="D21" s="201" t="s">
        <v>1910</v>
      </c>
      <c r="E21" s="49"/>
      <c r="F21" s="49" t="s">
        <v>1223</v>
      </c>
      <c r="G21" s="56"/>
      <c r="H21" s="303">
        <v>5</v>
      </c>
      <c r="I21" s="62">
        <v>1800</v>
      </c>
      <c r="J21" s="62">
        <v>380</v>
      </c>
      <c r="K21" s="62">
        <f t="shared" si="3"/>
        <v>570</v>
      </c>
      <c r="L21" s="316">
        <v>40000</v>
      </c>
      <c r="M21" s="83">
        <v>140</v>
      </c>
      <c r="N21" s="124"/>
      <c r="O21" s="49"/>
      <c r="P21" s="49" t="s">
        <v>1126</v>
      </c>
      <c r="Q21" s="56"/>
      <c r="R21" s="303">
        <v>5</v>
      </c>
      <c r="S21" s="62">
        <v>2800</v>
      </c>
      <c r="T21" s="62">
        <v>333</v>
      </c>
      <c r="U21" s="62">
        <v>120</v>
      </c>
      <c r="V21" s="316">
        <v>45000</v>
      </c>
      <c r="W21" s="83">
        <v>180</v>
      </c>
      <c r="X21" s="49"/>
      <c r="Y21" s="49"/>
      <c r="Z21" s="49" t="s">
        <v>1120</v>
      </c>
      <c r="AA21" s="205"/>
      <c r="AB21" s="303">
        <v>5</v>
      </c>
      <c r="AC21" s="120">
        <v>3000</v>
      </c>
      <c r="AD21" s="120">
        <v>125</v>
      </c>
      <c r="AE21" s="120">
        <f t="shared" si="4"/>
        <v>137.5</v>
      </c>
      <c r="AF21" s="120">
        <v>500</v>
      </c>
      <c r="AG21" s="316">
        <v>50000</v>
      </c>
      <c r="AH21" s="123">
        <v>190</v>
      </c>
      <c r="AI21" s="49"/>
      <c r="AJ21" s="164" t="s">
        <v>1911</v>
      </c>
      <c r="AK21" s="49"/>
      <c r="AL21" s="49" t="s">
        <v>1912</v>
      </c>
      <c r="AM21" s="49"/>
      <c r="AN21" s="49"/>
      <c r="AO21" s="49"/>
      <c r="AP21" s="49"/>
      <c r="AQ21" s="49"/>
      <c r="AR21" s="49"/>
      <c r="AS21" s="49"/>
      <c r="AT21" s="49" t="s">
        <v>195</v>
      </c>
      <c r="AU21" s="49"/>
      <c r="AV21" s="49"/>
      <c r="AW21" s="49"/>
      <c r="AX21" s="49"/>
      <c r="AY21" s="49"/>
      <c r="AZ21" s="49"/>
      <c r="BA21" s="150"/>
      <c r="BB21" s="49" t="s">
        <v>194</v>
      </c>
      <c r="BC21" s="49"/>
      <c r="BD21" s="49"/>
      <c r="BE21" s="49"/>
      <c r="BF21" s="49"/>
      <c r="BG21" s="49"/>
      <c r="BH21" s="49"/>
      <c r="BI21" s="62"/>
      <c r="BJ21" s="62"/>
      <c r="BK21" s="62"/>
      <c r="BL21" s="62"/>
    </row>
    <row r="22" spans="1:72" ht="14.6">
      <c r="A22" s="118"/>
      <c r="B22" s="118"/>
      <c r="C22" s="118"/>
      <c r="D22" s="201" t="s">
        <v>1913</v>
      </c>
      <c r="E22" s="49"/>
      <c r="F22" s="49" t="s">
        <v>1120</v>
      </c>
      <c r="G22" s="56"/>
      <c r="H22" s="90"/>
      <c r="I22" s="62"/>
      <c r="J22" s="62"/>
      <c r="K22" s="62"/>
      <c r="L22" s="150"/>
      <c r="M22" s="124"/>
      <c r="N22" s="124"/>
      <c r="O22" s="49"/>
      <c r="P22" s="49" t="s">
        <v>1223</v>
      </c>
      <c r="Q22" s="56"/>
      <c r="R22" s="90"/>
      <c r="S22" s="62"/>
      <c r="T22" s="62"/>
      <c r="U22" s="62"/>
      <c r="V22" s="150"/>
      <c r="W22" s="124"/>
      <c r="X22" s="49"/>
      <c r="Y22" s="49"/>
      <c r="Z22" s="317" t="s">
        <v>1230</v>
      </c>
      <c r="AA22" s="203"/>
      <c r="AB22" s="93"/>
      <c r="AC22" s="120"/>
      <c r="AD22" s="120"/>
      <c r="AE22" s="120"/>
      <c r="AF22" s="120"/>
      <c r="AG22" s="150"/>
      <c r="AH22" s="149"/>
      <c r="AI22" s="49"/>
      <c r="AJ22" s="164" t="s">
        <v>1914</v>
      </c>
      <c r="AK22" s="49"/>
      <c r="AL22" s="52" t="s">
        <v>1088</v>
      </c>
      <c r="AM22" s="64"/>
      <c r="AN22" s="65" t="s">
        <v>243</v>
      </c>
      <c r="AO22" s="65" t="s">
        <v>244</v>
      </c>
      <c r="AP22" s="65" t="s">
        <v>1915</v>
      </c>
      <c r="AQ22" s="65" t="s">
        <v>1091</v>
      </c>
      <c r="AR22" s="65" t="s">
        <v>1870</v>
      </c>
      <c r="AS22" s="49"/>
      <c r="AT22" s="52" t="s">
        <v>1107</v>
      </c>
      <c r="AU22" s="64"/>
      <c r="AV22" s="65" t="s">
        <v>243</v>
      </c>
      <c r="AW22" s="65" t="s">
        <v>244</v>
      </c>
      <c r="AX22" s="65" t="s">
        <v>1915</v>
      </c>
      <c r="AY22" s="65" t="s">
        <v>1091</v>
      </c>
      <c r="AZ22" s="65" t="s">
        <v>1870</v>
      </c>
      <c r="BA22" s="150"/>
      <c r="BB22" s="52" t="s">
        <v>1107</v>
      </c>
      <c r="BC22" s="64"/>
      <c r="BD22" s="65" t="s">
        <v>243</v>
      </c>
      <c r="BE22" s="65" t="s">
        <v>244</v>
      </c>
      <c r="BF22" s="65" t="s">
        <v>1091</v>
      </c>
      <c r="BG22" s="65" t="s">
        <v>1870</v>
      </c>
      <c r="BH22" s="49"/>
      <c r="BI22" s="62"/>
      <c r="BJ22" s="62"/>
      <c r="BK22" s="62"/>
      <c r="BL22" s="62"/>
    </row>
    <row r="23" spans="1:72" ht="14.6">
      <c r="A23" s="118"/>
      <c r="B23" s="118"/>
      <c r="C23" s="118"/>
      <c r="D23" s="201" t="s">
        <v>1916</v>
      </c>
      <c r="E23" s="49"/>
      <c r="F23" s="49"/>
      <c r="G23" s="49"/>
      <c r="H23" s="49"/>
      <c r="I23" s="49"/>
      <c r="J23" s="49"/>
      <c r="K23" s="49"/>
      <c r="L23" s="49"/>
      <c r="M23" s="49"/>
      <c r="N23" s="124"/>
      <c r="O23" s="49"/>
      <c r="P23" s="49" t="s">
        <v>1120</v>
      </c>
      <c r="Q23" s="56"/>
      <c r="R23" s="278"/>
      <c r="S23" s="62"/>
      <c r="T23" s="62"/>
      <c r="U23" s="62"/>
      <c r="V23" s="150"/>
      <c r="W23" s="124"/>
      <c r="X23" s="49"/>
      <c r="Y23" s="49"/>
      <c r="Z23" s="321"/>
      <c r="AA23" s="205"/>
      <c r="AB23" s="94"/>
      <c r="AC23" s="120"/>
      <c r="AD23" s="120"/>
      <c r="AE23" s="120"/>
      <c r="AF23" s="120"/>
      <c r="AG23" s="150"/>
      <c r="AH23" s="149"/>
      <c r="AI23" s="49"/>
      <c r="AJ23" s="164" t="s">
        <v>1917</v>
      </c>
      <c r="AK23" s="49"/>
      <c r="AL23" s="322" t="s">
        <v>1106</v>
      </c>
      <c r="AM23" s="61"/>
      <c r="AN23" s="323">
        <v>1</v>
      </c>
      <c r="AO23" s="62">
        <v>600</v>
      </c>
      <c r="AP23" s="62">
        <v>30</v>
      </c>
      <c r="AQ23" s="150">
        <v>10000</v>
      </c>
      <c r="AR23" s="83">
        <v>20</v>
      </c>
      <c r="AS23" s="49"/>
      <c r="AT23" s="322" t="s">
        <v>1117</v>
      </c>
      <c r="AU23" s="61"/>
      <c r="AV23" s="299">
        <v>1</v>
      </c>
      <c r="AW23" s="62">
        <v>1000</v>
      </c>
      <c r="AX23" s="62">
        <v>3</v>
      </c>
      <c r="AY23" s="150"/>
      <c r="AZ23" s="83">
        <v>30</v>
      </c>
      <c r="BA23" s="150"/>
      <c r="BB23" s="322" t="s">
        <v>1117</v>
      </c>
      <c r="BC23" s="61"/>
      <c r="BD23" s="323">
        <v>1</v>
      </c>
      <c r="BE23" s="62">
        <v>1200</v>
      </c>
      <c r="BF23" s="150"/>
      <c r="BG23" s="83">
        <v>25</v>
      </c>
      <c r="BH23" s="49"/>
      <c r="BI23" s="62"/>
      <c r="BJ23" s="62"/>
      <c r="BK23" s="62"/>
      <c r="BL23" s="62"/>
    </row>
    <row r="24" spans="1:72" ht="14.6">
      <c r="A24" s="118"/>
      <c r="B24" s="118"/>
      <c r="C24" s="118"/>
      <c r="D24" s="201" t="s">
        <v>1918</v>
      </c>
      <c r="E24" s="49"/>
      <c r="F24" s="49"/>
      <c r="G24" s="49"/>
      <c r="H24" s="49"/>
      <c r="I24" s="49"/>
      <c r="J24" s="49"/>
      <c r="K24" s="49"/>
      <c r="L24" s="49"/>
      <c r="M24" s="49"/>
      <c r="N24" s="124"/>
      <c r="O24" s="49"/>
      <c r="P24" s="49"/>
      <c r="Q24" s="118"/>
      <c r="R24" s="279"/>
      <c r="S24" s="62"/>
      <c r="T24" s="62"/>
      <c r="U24" s="62"/>
      <c r="V24" s="150"/>
      <c r="W24" s="124"/>
      <c r="X24" s="49"/>
      <c r="Y24" s="49"/>
      <c r="Z24" s="137"/>
      <c r="AA24" s="137"/>
      <c r="AB24" s="122"/>
      <c r="AC24" s="120"/>
      <c r="AD24" s="120"/>
      <c r="AE24" s="120"/>
      <c r="AF24" s="120"/>
      <c r="AG24" s="150"/>
      <c r="AH24" s="149"/>
      <c r="AI24" s="49"/>
      <c r="AJ24" s="164" t="s">
        <v>1919</v>
      </c>
      <c r="AK24" s="49"/>
      <c r="AL24" s="49" t="s">
        <v>1920</v>
      </c>
      <c r="AM24" s="56"/>
      <c r="AN24" s="299">
        <v>2</v>
      </c>
      <c r="AO24" s="62">
        <v>750</v>
      </c>
      <c r="AP24" s="62">
        <v>35</v>
      </c>
      <c r="AQ24" s="150">
        <v>25000</v>
      </c>
      <c r="AR24" s="83">
        <v>25</v>
      </c>
      <c r="AS24" s="49"/>
      <c r="AT24" s="49" t="s">
        <v>1920</v>
      </c>
      <c r="AU24" s="56"/>
      <c r="AV24" s="309">
        <v>2</v>
      </c>
      <c r="AW24" s="62">
        <v>1150</v>
      </c>
      <c r="AX24" s="62">
        <v>4</v>
      </c>
      <c r="AY24" s="150">
        <v>50000</v>
      </c>
      <c r="AZ24" s="83">
        <v>35</v>
      </c>
      <c r="BA24" s="150"/>
      <c r="BB24" s="49" t="s">
        <v>1920</v>
      </c>
      <c r="BC24" s="56"/>
      <c r="BD24" s="299">
        <v>2</v>
      </c>
      <c r="BE24" s="62">
        <v>1400</v>
      </c>
      <c r="BF24" s="150">
        <v>50000</v>
      </c>
      <c r="BG24" s="83">
        <v>30</v>
      </c>
      <c r="BH24" s="49"/>
      <c r="BI24" s="62"/>
      <c r="BJ24" s="62"/>
      <c r="BK24" s="62"/>
      <c r="BL24" s="62"/>
    </row>
    <row r="25" spans="1:72">
      <c r="A25" s="118"/>
      <c r="B25" s="118"/>
      <c r="C25" s="118"/>
      <c r="D25" s="54"/>
      <c r="E25" s="49"/>
      <c r="F25" s="49"/>
      <c r="G25" s="49"/>
      <c r="H25" s="49"/>
      <c r="I25" s="49"/>
      <c r="J25" s="49"/>
      <c r="K25" s="49"/>
      <c r="L25" s="49"/>
      <c r="M25" s="49"/>
      <c r="N25" s="124"/>
      <c r="O25" s="49"/>
      <c r="P25" s="49"/>
      <c r="Q25" s="118"/>
      <c r="R25" s="279"/>
      <c r="S25" s="62"/>
      <c r="T25" s="62"/>
      <c r="U25" s="62"/>
      <c r="V25" s="150"/>
      <c r="W25" s="124"/>
      <c r="X25" s="49"/>
      <c r="Y25" s="49"/>
      <c r="Z25" s="137"/>
      <c r="AA25" s="137"/>
      <c r="AB25" s="122"/>
      <c r="AC25" s="120"/>
      <c r="AD25" s="120"/>
      <c r="AE25" s="120"/>
      <c r="AF25" s="120"/>
      <c r="AG25" s="150"/>
      <c r="AH25" s="149"/>
      <c r="AI25" s="49"/>
      <c r="AJ25" s="164" t="s">
        <v>1921</v>
      </c>
      <c r="AK25" s="49"/>
      <c r="AL25" s="49" t="s">
        <v>170</v>
      </c>
      <c r="AM25" s="56"/>
      <c r="AN25" s="301">
        <v>3</v>
      </c>
      <c r="AO25" s="62">
        <v>900</v>
      </c>
      <c r="AP25" s="62">
        <v>40</v>
      </c>
      <c r="AQ25" s="150">
        <v>50000</v>
      </c>
      <c r="AR25" s="83">
        <v>30</v>
      </c>
      <c r="AS25" s="49"/>
      <c r="AT25" s="49" t="s">
        <v>171</v>
      </c>
      <c r="AU25" s="56"/>
      <c r="AV25" s="310">
        <v>3</v>
      </c>
      <c r="AW25" s="62">
        <v>1350</v>
      </c>
      <c r="AX25" s="62">
        <v>5</v>
      </c>
      <c r="AY25" s="150">
        <v>100000</v>
      </c>
      <c r="AZ25" s="83">
        <v>40</v>
      </c>
      <c r="BA25" s="150"/>
      <c r="BB25" s="49" t="s">
        <v>170</v>
      </c>
      <c r="BC25" s="56"/>
      <c r="BD25" s="301">
        <v>3</v>
      </c>
      <c r="BE25" s="62">
        <v>1600</v>
      </c>
      <c r="BF25" s="150">
        <v>100000</v>
      </c>
      <c r="BG25" s="83">
        <v>35</v>
      </c>
      <c r="BH25" s="49"/>
      <c r="BI25" s="62"/>
      <c r="BJ25" s="62"/>
      <c r="BK25" s="62"/>
      <c r="BL25" s="62"/>
    </row>
    <row r="26" spans="1:72" ht="14.6">
      <c r="A26" s="118"/>
      <c r="B26" s="118"/>
      <c r="C26" s="118"/>
      <c r="D26" s="201" t="s">
        <v>1183</v>
      </c>
      <c r="E26" s="49"/>
      <c r="F26" s="49" t="s">
        <v>1647</v>
      </c>
      <c r="G26" s="49"/>
      <c r="H26" s="137" t="s">
        <v>1190</v>
      </c>
      <c r="I26" s="49"/>
      <c r="J26" s="49"/>
      <c r="K26" s="49"/>
      <c r="L26" s="49"/>
      <c r="M26" s="49"/>
      <c r="N26" s="124"/>
      <c r="O26" s="49"/>
      <c r="P26" s="137" t="s">
        <v>1922</v>
      </c>
      <c r="Q26" s="137"/>
      <c r="R26" s="137" t="s">
        <v>1923</v>
      </c>
      <c r="S26" s="137"/>
      <c r="T26" s="137"/>
      <c r="U26" s="137"/>
      <c r="V26" s="137"/>
      <c r="W26" s="137"/>
      <c r="X26" s="137"/>
      <c r="Y26" s="49"/>
      <c r="Z26" s="49" t="s">
        <v>1924</v>
      </c>
      <c r="AA26" s="49"/>
      <c r="AB26" s="137" t="s">
        <v>107</v>
      </c>
      <c r="AC26" s="49"/>
      <c r="AD26" s="49"/>
      <c r="AE26" s="49"/>
      <c r="AF26" s="49"/>
      <c r="AG26" s="49"/>
      <c r="AH26" s="149"/>
      <c r="AI26" s="49"/>
      <c r="AJ26" s="164" t="s">
        <v>1925</v>
      </c>
      <c r="AK26" s="49"/>
      <c r="AL26" s="49" t="s">
        <v>171</v>
      </c>
      <c r="AM26" s="56"/>
      <c r="AN26" s="302">
        <v>4</v>
      </c>
      <c r="AO26" s="62">
        <v>1050</v>
      </c>
      <c r="AP26" s="62">
        <v>45</v>
      </c>
      <c r="AQ26" s="150">
        <v>75000</v>
      </c>
      <c r="AR26" s="83">
        <v>35</v>
      </c>
      <c r="AS26" s="49"/>
      <c r="AT26" s="49"/>
      <c r="AU26" s="56"/>
      <c r="AV26" s="312">
        <v>4</v>
      </c>
      <c r="AW26" s="62">
        <v>1550</v>
      </c>
      <c r="AX26" s="62">
        <v>6</v>
      </c>
      <c r="AY26" s="150">
        <v>200000</v>
      </c>
      <c r="AZ26" s="83">
        <v>45</v>
      </c>
      <c r="BA26" s="150"/>
      <c r="BB26" s="49"/>
      <c r="BC26" s="56"/>
      <c r="BD26" s="302">
        <v>4</v>
      </c>
      <c r="BE26" s="62">
        <v>1800</v>
      </c>
      <c r="BF26" s="150">
        <v>200000</v>
      </c>
      <c r="BG26" s="83">
        <v>40</v>
      </c>
      <c r="BH26" s="49"/>
      <c r="BI26" s="62"/>
      <c r="BJ26" s="62"/>
      <c r="BK26" s="62"/>
      <c r="BL26" s="62"/>
    </row>
    <row r="27" spans="1:72" ht="14.6">
      <c r="A27" s="118"/>
      <c r="B27" s="118"/>
      <c r="C27" s="118"/>
      <c r="D27" s="201" t="s">
        <v>307</v>
      </c>
      <c r="E27" s="49"/>
      <c r="F27" s="52" t="s">
        <v>1099</v>
      </c>
      <c r="G27" s="64"/>
      <c r="H27" s="108" t="s">
        <v>243</v>
      </c>
      <c r="I27" s="65" t="s">
        <v>244</v>
      </c>
      <c r="J27" s="65" t="s">
        <v>245</v>
      </c>
      <c r="K27" s="65" t="s">
        <v>250</v>
      </c>
      <c r="L27" s="65" t="s">
        <v>1091</v>
      </c>
      <c r="M27" s="65" t="s">
        <v>1861</v>
      </c>
      <c r="N27" s="124"/>
      <c r="O27" s="49"/>
      <c r="P27" s="134" t="s">
        <v>1102</v>
      </c>
      <c r="Q27" s="203"/>
      <c r="R27" s="204" t="s">
        <v>243</v>
      </c>
      <c r="S27" s="136" t="s">
        <v>244</v>
      </c>
      <c r="T27" s="136" t="s">
        <v>245</v>
      </c>
      <c r="U27" s="136" t="s">
        <v>1255</v>
      </c>
      <c r="V27" s="136" t="s">
        <v>1786</v>
      </c>
      <c r="W27" s="136" t="s">
        <v>1091</v>
      </c>
      <c r="X27" s="65" t="s">
        <v>1861</v>
      </c>
      <c r="Y27" s="49"/>
      <c r="Z27" s="52" t="s">
        <v>1191</v>
      </c>
      <c r="AA27" s="64"/>
      <c r="AB27" s="108" t="s">
        <v>243</v>
      </c>
      <c r="AC27" s="65" t="s">
        <v>244</v>
      </c>
      <c r="AD27" s="65" t="s">
        <v>245</v>
      </c>
      <c r="AE27" s="65" t="s">
        <v>250</v>
      </c>
      <c r="AF27" s="65" t="s">
        <v>1091</v>
      </c>
      <c r="AG27" s="65" t="s">
        <v>1870</v>
      </c>
      <c r="AH27" s="149"/>
      <c r="AI27" s="49"/>
      <c r="AJ27" s="164" t="s">
        <v>1926</v>
      </c>
      <c r="AK27" s="49"/>
      <c r="AL27" s="49" t="s">
        <v>174</v>
      </c>
      <c r="AM27" s="56"/>
      <c r="AN27" s="303">
        <v>5</v>
      </c>
      <c r="AO27" s="62">
        <v>1200</v>
      </c>
      <c r="AP27" s="62">
        <v>50</v>
      </c>
      <c r="AQ27" s="150">
        <v>150000</v>
      </c>
      <c r="AR27" s="83">
        <v>40</v>
      </c>
      <c r="AS27" s="49"/>
      <c r="AT27" s="49"/>
      <c r="AU27" s="56"/>
      <c r="AV27" s="313">
        <v>5</v>
      </c>
      <c r="AW27" s="62">
        <v>1750</v>
      </c>
      <c r="AX27" s="62">
        <v>7</v>
      </c>
      <c r="AY27" s="150">
        <v>400000</v>
      </c>
      <c r="AZ27" s="83">
        <v>50</v>
      </c>
      <c r="BA27" s="150"/>
      <c r="BB27" s="49"/>
      <c r="BC27" s="56"/>
      <c r="BD27" s="303">
        <v>5</v>
      </c>
      <c r="BE27" s="62">
        <v>2000</v>
      </c>
      <c r="BF27" s="150">
        <v>400000</v>
      </c>
      <c r="BG27" s="83">
        <v>45</v>
      </c>
      <c r="BH27" s="49"/>
      <c r="BI27" s="62"/>
      <c r="BJ27" s="62"/>
      <c r="BK27" s="62"/>
      <c r="BL27" s="62"/>
    </row>
    <row r="28" spans="1:72">
      <c r="A28" s="118"/>
      <c r="B28" s="118"/>
      <c r="C28" s="118"/>
      <c r="D28" s="311"/>
      <c r="E28" s="49"/>
      <c r="F28" s="49" t="s">
        <v>1299</v>
      </c>
      <c r="G28" s="56"/>
      <c r="H28" s="308">
        <v>1</v>
      </c>
      <c r="I28" s="62">
        <v>1700</v>
      </c>
      <c r="J28" s="62">
        <v>45</v>
      </c>
      <c r="K28" s="62">
        <v>80</v>
      </c>
      <c r="L28" s="316">
        <v>5000</v>
      </c>
      <c r="M28" s="83">
        <v>150</v>
      </c>
      <c r="N28" s="124"/>
      <c r="O28" s="49"/>
      <c r="P28" s="137" t="s">
        <v>1927</v>
      </c>
      <c r="Q28" s="318"/>
      <c r="R28" s="299">
        <v>1</v>
      </c>
      <c r="S28" s="120">
        <v>1800</v>
      </c>
      <c r="T28" s="120">
        <v>60</v>
      </c>
      <c r="U28" s="120">
        <f>T28*2</f>
        <v>120</v>
      </c>
      <c r="V28" s="120">
        <f>U28*0.4</f>
        <v>48</v>
      </c>
      <c r="W28" s="120">
        <v>6500</v>
      </c>
      <c r="X28" s="83">
        <v>150</v>
      </c>
      <c r="Y28" s="49"/>
      <c r="Z28" s="49" t="s">
        <v>1928</v>
      </c>
      <c r="AA28" s="56"/>
      <c r="AB28" s="299">
        <v>1</v>
      </c>
      <c r="AC28" s="62">
        <v>2300</v>
      </c>
      <c r="AD28" s="62">
        <v>225</v>
      </c>
      <c r="AE28" s="62">
        <f>AD28*3</f>
        <v>675</v>
      </c>
      <c r="AF28" s="316">
        <v>6000</v>
      </c>
      <c r="AG28" s="83">
        <v>180</v>
      </c>
      <c r="AH28" s="149"/>
      <c r="AI28" s="49"/>
      <c r="AJ28" s="164" t="s">
        <v>1929</v>
      </c>
      <c r="AK28" s="49"/>
      <c r="AL28" s="49"/>
      <c r="AM28" s="49"/>
      <c r="AN28" s="279"/>
      <c r="AO28" s="62"/>
      <c r="AP28" s="150"/>
      <c r="AQ28" s="124"/>
      <c r="AR28" s="49"/>
      <c r="AS28" s="49"/>
      <c r="AT28" s="49"/>
      <c r="AU28" s="49"/>
      <c r="AV28" s="49"/>
      <c r="AW28" s="49"/>
      <c r="AX28" s="279"/>
      <c r="AY28" s="62"/>
      <c r="AZ28" s="62"/>
      <c r="BA28" s="150"/>
      <c r="BB28" s="124"/>
      <c r="BC28" s="49"/>
      <c r="BD28" s="49"/>
      <c r="BE28" s="49"/>
      <c r="BF28" s="49"/>
      <c r="BG28" s="118"/>
      <c r="BH28" s="279"/>
      <c r="BI28" s="62"/>
      <c r="BJ28" s="62"/>
      <c r="BK28" s="62"/>
      <c r="BL28" s="62"/>
    </row>
    <row r="29" spans="1:72">
      <c r="A29" s="118"/>
      <c r="B29" s="118"/>
      <c r="C29" s="118"/>
      <c r="D29" s="54"/>
      <c r="E29" s="49"/>
      <c r="F29" s="49" t="s">
        <v>1662</v>
      </c>
      <c r="G29" s="56"/>
      <c r="H29" s="299">
        <v>2</v>
      </c>
      <c r="I29" s="62">
        <v>1900</v>
      </c>
      <c r="J29" s="62">
        <v>53</v>
      </c>
      <c r="K29" s="62">
        <v>95</v>
      </c>
      <c r="L29" s="316">
        <v>10000</v>
      </c>
      <c r="M29" s="83">
        <v>160</v>
      </c>
      <c r="N29" s="124"/>
      <c r="O29" s="49"/>
      <c r="P29" s="140" t="s">
        <v>273</v>
      </c>
      <c r="Q29" s="319"/>
      <c r="R29" s="309">
        <v>2</v>
      </c>
      <c r="S29" s="120">
        <v>2100</v>
      </c>
      <c r="T29" s="120">
        <v>70</v>
      </c>
      <c r="U29" s="120">
        <f t="shared" ref="U29:U32" si="5">T29*2</f>
        <v>140</v>
      </c>
      <c r="V29" s="120">
        <f t="shared" ref="V29:V32" si="6">U29*0.4</f>
        <v>56</v>
      </c>
      <c r="W29" s="150">
        <v>13000</v>
      </c>
      <c r="X29" s="83">
        <v>160</v>
      </c>
      <c r="Y29" s="49"/>
      <c r="Z29" s="60" t="s">
        <v>356</v>
      </c>
      <c r="AA29" s="61"/>
      <c r="AB29" s="309">
        <v>2</v>
      </c>
      <c r="AC29" s="62">
        <v>2550</v>
      </c>
      <c r="AD29" s="62">
        <v>250</v>
      </c>
      <c r="AE29" s="62">
        <f t="shared" ref="AE29:AE32" si="7">AD29*3</f>
        <v>750</v>
      </c>
      <c r="AF29" s="316">
        <v>12000</v>
      </c>
      <c r="AG29" s="83">
        <v>190</v>
      </c>
      <c r="AH29" s="149"/>
      <c r="AI29" s="49"/>
      <c r="AJ29" s="164" t="s">
        <v>1930</v>
      </c>
      <c r="AK29" s="49"/>
      <c r="AL29" s="49"/>
      <c r="AM29" s="49"/>
      <c r="AN29" s="280"/>
      <c r="AO29" s="62"/>
      <c r="AP29" s="150"/>
      <c r="AQ29" s="124"/>
      <c r="AR29" s="49"/>
      <c r="AS29" s="49"/>
      <c r="AT29" s="49"/>
      <c r="AU29" s="49"/>
      <c r="AV29" s="49"/>
      <c r="AW29" s="49"/>
      <c r="AX29" s="280"/>
      <c r="AY29" s="62"/>
      <c r="AZ29" s="62"/>
      <c r="BA29" s="150"/>
      <c r="BB29" s="124"/>
      <c r="BC29" s="49"/>
      <c r="BD29" s="49"/>
      <c r="BE29" s="49"/>
      <c r="BF29" s="49"/>
      <c r="BG29" s="49"/>
      <c r="BH29" s="280"/>
      <c r="BI29" s="62"/>
      <c r="BJ29" s="62"/>
      <c r="BK29" s="62"/>
      <c r="BL29" s="62"/>
    </row>
    <row r="30" spans="1:72">
      <c r="A30" s="118"/>
      <c r="B30" s="118"/>
      <c r="C30" s="118"/>
      <c r="D30" s="118"/>
      <c r="E30" s="49"/>
      <c r="F30" s="60" t="s">
        <v>1667</v>
      </c>
      <c r="G30" s="61"/>
      <c r="H30" s="301">
        <v>3</v>
      </c>
      <c r="I30" s="62">
        <v>2100</v>
      </c>
      <c r="J30" s="62">
        <v>62</v>
      </c>
      <c r="K30" s="62">
        <v>110</v>
      </c>
      <c r="L30" s="316">
        <v>20000</v>
      </c>
      <c r="M30" s="83">
        <v>170</v>
      </c>
      <c r="N30" s="49"/>
      <c r="O30" s="49"/>
      <c r="P30" s="317" t="s">
        <v>1931</v>
      </c>
      <c r="Q30" s="320"/>
      <c r="R30" s="310">
        <v>3</v>
      </c>
      <c r="S30" s="120">
        <v>2400</v>
      </c>
      <c r="T30" s="120">
        <v>80</v>
      </c>
      <c r="U30" s="120">
        <f t="shared" si="5"/>
        <v>160</v>
      </c>
      <c r="V30" s="120">
        <f t="shared" si="6"/>
        <v>64</v>
      </c>
      <c r="W30" s="150">
        <v>26000</v>
      </c>
      <c r="X30" s="83">
        <v>170</v>
      </c>
      <c r="Y30" s="49"/>
      <c r="Z30" s="54" t="s">
        <v>366</v>
      </c>
      <c r="AA30" s="64"/>
      <c r="AB30" s="310">
        <v>3</v>
      </c>
      <c r="AC30" s="62">
        <v>2700</v>
      </c>
      <c r="AD30" s="62">
        <v>270</v>
      </c>
      <c r="AE30" s="62">
        <f t="shared" si="7"/>
        <v>810</v>
      </c>
      <c r="AF30" s="316">
        <v>24000</v>
      </c>
      <c r="AG30" s="83">
        <v>200</v>
      </c>
      <c r="AH30" s="149"/>
      <c r="AI30" s="49"/>
      <c r="AJ30" s="164" t="s">
        <v>1932</v>
      </c>
      <c r="AK30" s="49"/>
      <c r="AL30" s="49" t="s">
        <v>199</v>
      </c>
      <c r="AM30" s="49"/>
      <c r="AN30" s="49"/>
      <c r="AO30" s="49"/>
      <c r="AP30" s="49"/>
      <c r="AQ30" s="49"/>
      <c r="AR30" s="49"/>
      <c r="AS30" s="49"/>
      <c r="AT30" s="49" t="s">
        <v>205</v>
      </c>
      <c r="AU30" s="49"/>
      <c r="AV30" s="49"/>
      <c r="AW30" s="49"/>
      <c r="AX30" s="49"/>
      <c r="AY30" s="49"/>
      <c r="AZ30" s="49"/>
      <c r="BA30" s="49"/>
      <c r="BB30" s="49" t="s">
        <v>210</v>
      </c>
      <c r="BC30" s="49"/>
      <c r="BD30" s="49"/>
      <c r="BE30" s="49"/>
      <c r="BF30" s="49"/>
      <c r="BG30" s="49"/>
      <c r="BH30" s="49"/>
      <c r="BI30" s="49"/>
      <c r="BJ30" s="62"/>
      <c r="BK30" s="62"/>
      <c r="BL30" s="62"/>
    </row>
    <row r="31" spans="1:72">
      <c r="A31" s="118"/>
      <c r="B31" s="118"/>
      <c r="C31" s="118"/>
      <c r="D31" s="118"/>
      <c r="E31" s="49"/>
      <c r="F31" s="49" t="s">
        <v>1933</v>
      </c>
      <c r="G31" s="56"/>
      <c r="H31" s="302">
        <v>4</v>
      </c>
      <c r="I31" s="62">
        <v>2300</v>
      </c>
      <c r="J31" s="62">
        <v>70</v>
      </c>
      <c r="K31" s="62">
        <v>125</v>
      </c>
      <c r="L31" s="316">
        <v>33000</v>
      </c>
      <c r="M31" s="83">
        <v>180</v>
      </c>
      <c r="N31" s="49"/>
      <c r="O31" s="49"/>
      <c r="P31" s="137" t="s">
        <v>1223</v>
      </c>
      <c r="Q31" s="318"/>
      <c r="R31" s="312">
        <v>4</v>
      </c>
      <c r="S31" s="120">
        <v>2700</v>
      </c>
      <c r="T31" s="120">
        <v>90</v>
      </c>
      <c r="U31" s="120">
        <f t="shared" si="5"/>
        <v>180</v>
      </c>
      <c r="V31" s="120">
        <f t="shared" si="6"/>
        <v>72</v>
      </c>
      <c r="W31" s="150">
        <v>42000</v>
      </c>
      <c r="X31" s="83">
        <v>180</v>
      </c>
      <c r="Y31" s="49"/>
      <c r="Z31" s="49" t="s">
        <v>1223</v>
      </c>
      <c r="AA31" s="56"/>
      <c r="AB31" s="312">
        <v>4</v>
      </c>
      <c r="AC31" s="62">
        <v>2950</v>
      </c>
      <c r="AD31" s="62">
        <v>300</v>
      </c>
      <c r="AE31" s="62">
        <f t="shared" si="7"/>
        <v>900</v>
      </c>
      <c r="AF31" s="316">
        <v>39000</v>
      </c>
      <c r="AG31" s="83">
        <v>210</v>
      </c>
      <c r="AH31" s="49"/>
      <c r="AI31" s="49"/>
      <c r="AJ31" s="164" t="s">
        <v>1934</v>
      </c>
      <c r="AK31" s="49"/>
      <c r="AL31" s="52" t="s">
        <v>1107</v>
      </c>
      <c r="AM31" s="64"/>
      <c r="AN31" s="65" t="s">
        <v>243</v>
      </c>
      <c r="AO31" s="65" t="s">
        <v>244</v>
      </c>
      <c r="AP31" s="65" t="s">
        <v>1091</v>
      </c>
      <c r="AQ31" s="65" t="s">
        <v>1870</v>
      </c>
      <c r="AR31" s="49"/>
      <c r="AS31" s="49"/>
      <c r="AT31" s="52" t="s">
        <v>1107</v>
      </c>
      <c r="AU31" s="64"/>
      <c r="AV31" s="65" t="s">
        <v>243</v>
      </c>
      <c r="AW31" s="65" t="s">
        <v>244</v>
      </c>
      <c r="AX31" s="65" t="s">
        <v>1091</v>
      </c>
      <c r="AY31" s="65" t="s">
        <v>1870</v>
      </c>
      <c r="AZ31" s="49"/>
      <c r="BA31" s="49"/>
      <c r="BB31" s="52" t="s">
        <v>1107</v>
      </c>
      <c r="BC31" s="64"/>
      <c r="BD31" s="65" t="s">
        <v>243</v>
      </c>
      <c r="BE31" s="65" t="s">
        <v>244</v>
      </c>
      <c r="BF31" s="65" t="s">
        <v>1091</v>
      </c>
      <c r="BG31" s="65" t="s">
        <v>1870</v>
      </c>
      <c r="BH31" s="49"/>
      <c r="BI31" s="49"/>
      <c r="BJ31" s="62"/>
      <c r="BK31" s="62"/>
      <c r="BL31" s="62"/>
    </row>
    <row r="32" spans="1:72">
      <c r="A32" s="118"/>
      <c r="B32" s="118"/>
      <c r="C32" s="118"/>
      <c r="D32" s="118"/>
      <c r="E32" s="49"/>
      <c r="F32" s="49" t="s">
        <v>1223</v>
      </c>
      <c r="G32" s="56"/>
      <c r="H32" s="303">
        <v>5</v>
      </c>
      <c r="I32" s="62">
        <v>2500</v>
      </c>
      <c r="J32" s="62">
        <v>79</v>
      </c>
      <c r="K32" s="62">
        <v>140</v>
      </c>
      <c r="L32" s="316">
        <v>55000</v>
      </c>
      <c r="M32" s="83">
        <v>190</v>
      </c>
      <c r="N32" s="49"/>
      <c r="O32" s="49"/>
      <c r="P32" s="49" t="s">
        <v>1120</v>
      </c>
      <c r="Q32" s="318"/>
      <c r="R32" s="313">
        <v>5</v>
      </c>
      <c r="S32" s="120">
        <v>3000</v>
      </c>
      <c r="T32" s="120">
        <v>100</v>
      </c>
      <c r="U32" s="120">
        <f t="shared" si="5"/>
        <v>200</v>
      </c>
      <c r="V32" s="120">
        <f t="shared" si="6"/>
        <v>80</v>
      </c>
      <c r="W32" s="150">
        <v>70000</v>
      </c>
      <c r="X32" s="83">
        <v>190</v>
      </c>
      <c r="Y32" s="49"/>
      <c r="Z32" s="49" t="s">
        <v>1120</v>
      </c>
      <c r="AA32" s="56"/>
      <c r="AB32" s="313">
        <v>5</v>
      </c>
      <c r="AC32" s="62">
        <v>3200</v>
      </c>
      <c r="AD32" s="62">
        <v>325</v>
      </c>
      <c r="AE32" s="62">
        <f t="shared" si="7"/>
        <v>975</v>
      </c>
      <c r="AF32" s="316">
        <v>65000</v>
      </c>
      <c r="AG32" s="83">
        <v>220</v>
      </c>
      <c r="AH32" s="49"/>
      <c r="AI32" s="49"/>
      <c r="AJ32" s="164" t="s">
        <v>1935</v>
      </c>
      <c r="AK32" s="49"/>
      <c r="AL32" s="322" t="s">
        <v>1117</v>
      </c>
      <c r="AM32" s="61"/>
      <c r="AN32" s="323">
        <v>1</v>
      </c>
      <c r="AO32" s="62">
        <v>1200</v>
      </c>
      <c r="AP32" s="150"/>
      <c r="AQ32" s="83">
        <v>25</v>
      </c>
      <c r="AR32" s="49"/>
      <c r="AS32" s="49"/>
      <c r="AT32" s="322" t="s">
        <v>1117</v>
      </c>
      <c r="AU32" s="61"/>
      <c r="AV32" s="323">
        <v>1</v>
      </c>
      <c r="AW32" s="62">
        <v>1200</v>
      </c>
      <c r="AX32" s="62">
        <v>7500</v>
      </c>
      <c r="AY32" s="83">
        <v>25</v>
      </c>
      <c r="AZ32" s="49"/>
      <c r="BA32" s="49"/>
      <c r="BB32" s="322" t="s">
        <v>1117</v>
      </c>
      <c r="BC32" s="61"/>
      <c r="BD32" s="323">
        <v>1</v>
      </c>
      <c r="BE32" s="62">
        <v>1200</v>
      </c>
      <c r="BF32" s="62">
        <v>7500</v>
      </c>
      <c r="BG32" s="83">
        <v>25</v>
      </c>
      <c r="BH32" s="49"/>
      <c r="BI32" s="49"/>
      <c r="BJ32" s="62"/>
      <c r="BK32" s="62"/>
      <c r="BL32" s="62"/>
    </row>
    <row r="33" spans="1:64">
      <c r="A33" s="118"/>
      <c r="B33" s="118"/>
      <c r="C33" s="118"/>
      <c r="D33" s="118"/>
      <c r="E33" s="49"/>
      <c r="F33" s="49" t="s">
        <v>1120</v>
      </c>
      <c r="G33" s="56"/>
      <c r="H33" s="90"/>
      <c r="I33" s="62"/>
      <c r="J33" s="62"/>
      <c r="K33" s="62"/>
      <c r="L33" s="150"/>
      <c r="M33" s="124"/>
      <c r="N33" s="49"/>
      <c r="O33" s="49"/>
      <c r="P33" s="49"/>
      <c r="Q33" s="49"/>
      <c r="R33" s="280"/>
      <c r="S33" s="62"/>
      <c r="T33" s="62"/>
      <c r="U33" s="62"/>
      <c r="V33" s="150"/>
      <c r="W33" s="124"/>
      <c r="X33" s="49"/>
      <c r="Y33" s="49"/>
      <c r="Z33" s="315"/>
      <c r="AA33" s="56"/>
      <c r="AB33" s="90"/>
      <c r="AC33" s="62"/>
      <c r="AD33" s="62"/>
      <c r="AE33" s="62"/>
      <c r="AF33" s="150"/>
      <c r="AG33" s="124"/>
      <c r="AH33" s="49"/>
      <c r="AI33" s="49"/>
      <c r="AJ33" s="164" t="s">
        <v>1936</v>
      </c>
      <c r="AK33" s="49"/>
      <c r="AL33" s="49" t="s">
        <v>1920</v>
      </c>
      <c r="AM33" s="56"/>
      <c r="AN33" s="299">
        <v>2</v>
      </c>
      <c r="AO33" s="62">
        <v>1400</v>
      </c>
      <c r="AP33" s="62">
        <v>12500</v>
      </c>
      <c r="AQ33" s="83">
        <v>30</v>
      </c>
      <c r="AR33" s="49"/>
      <c r="AS33" s="49"/>
      <c r="AT33" s="49" t="s">
        <v>1920</v>
      </c>
      <c r="AU33" s="56"/>
      <c r="AV33" s="299">
        <v>2</v>
      </c>
      <c r="AW33" s="62">
        <v>1400</v>
      </c>
      <c r="AX33" s="150">
        <v>20000</v>
      </c>
      <c r="AY33" s="83">
        <v>30</v>
      </c>
      <c r="AZ33" s="49"/>
      <c r="BA33" s="49"/>
      <c r="BB33" s="49" t="s">
        <v>1920</v>
      </c>
      <c r="BC33" s="56"/>
      <c r="BD33" s="299">
        <v>2</v>
      </c>
      <c r="BE33" s="62">
        <v>1400</v>
      </c>
      <c r="BF33" s="150">
        <v>20000</v>
      </c>
      <c r="BG33" s="83">
        <v>30</v>
      </c>
      <c r="BH33" s="49"/>
      <c r="BI33" s="49"/>
      <c r="BJ33" s="62"/>
      <c r="BK33" s="62"/>
      <c r="BL33" s="62"/>
    </row>
    <row r="34" spans="1:64">
      <c r="A34" s="118"/>
      <c r="B34" s="118"/>
      <c r="C34" s="118"/>
      <c r="D34" s="54"/>
      <c r="E34" s="49"/>
      <c r="F34" s="49"/>
      <c r="G34" s="49"/>
      <c r="H34" s="278"/>
      <c r="I34" s="62"/>
      <c r="J34" s="62"/>
      <c r="K34" s="62"/>
      <c r="L34" s="150"/>
      <c r="M34" s="124"/>
      <c r="N34" s="49"/>
      <c r="O34" s="49"/>
      <c r="P34" s="49"/>
      <c r="Q34" s="49"/>
      <c r="R34" s="280"/>
      <c r="S34" s="62"/>
      <c r="T34" s="62"/>
      <c r="U34" s="62"/>
      <c r="V34" s="150"/>
      <c r="W34" s="124"/>
      <c r="X34" s="49"/>
      <c r="Y34" s="49"/>
      <c r="Z34" s="49"/>
      <c r="AA34" s="49"/>
      <c r="AB34" s="49"/>
      <c r="AC34" s="62"/>
      <c r="AD34" s="62"/>
      <c r="AE34" s="62"/>
      <c r="AF34" s="150"/>
      <c r="AG34" s="124"/>
      <c r="AH34" s="49"/>
      <c r="AI34" s="49"/>
      <c r="AJ34" s="54"/>
      <c r="AK34" s="49"/>
      <c r="AL34" s="49" t="s">
        <v>170</v>
      </c>
      <c r="AM34" s="56"/>
      <c r="AN34" s="301">
        <v>3</v>
      </c>
      <c r="AO34" s="62">
        <v>1600</v>
      </c>
      <c r="AP34" s="150">
        <v>50000</v>
      </c>
      <c r="AQ34" s="83">
        <v>35</v>
      </c>
      <c r="AR34" s="62"/>
      <c r="AS34" s="49"/>
      <c r="AT34" s="49" t="s">
        <v>170</v>
      </c>
      <c r="AU34" s="56"/>
      <c r="AV34" s="301">
        <v>3</v>
      </c>
      <c r="AW34" s="62">
        <v>1600</v>
      </c>
      <c r="AX34" s="150">
        <v>75000</v>
      </c>
      <c r="AY34" s="83">
        <v>35</v>
      </c>
      <c r="AZ34" s="62"/>
      <c r="BA34" s="62"/>
      <c r="BB34" s="49" t="s">
        <v>170</v>
      </c>
      <c r="BC34" s="56"/>
      <c r="BD34" s="301">
        <v>3</v>
      </c>
      <c r="BE34" s="62">
        <v>1600</v>
      </c>
      <c r="BF34" s="150">
        <v>75000</v>
      </c>
      <c r="BG34" s="83">
        <v>35</v>
      </c>
      <c r="BH34" s="62"/>
      <c r="BI34" s="62"/>
      <c r="BJ34" s="62"/>
      <c r="BK34" s="62"/>
      <c r="BL34" s="62"/>
    </row>
    <row r="35" spans="1:64">
      <c r="A35" s="118"/>
      <c r="B35" s="118"/>
      <c r="C35" s="118"/>
      <c r="D35" s="49"/>
      <c r="E35" s="49"/>
      <c r="F35" s="49"/>
      <c r="G35" s="49"/>
      <c r="H35" s="278"/>
      <c r="I35" s="62"/>
      <c r="J35" s="62"/>
      <c r="K35" s="62"/>
      <c r="L35" s="150"/>
      <c r="M35" s="124"/>
      <c r="N35" s="49"/>
      <c r="O35" s="49"/>
      <c r="P35" s="49"/>
      <c r="Q35" s="49"/>
      <c r="R35" s="280"/>
      <c r="S35" s="62"/>
      <c r="T35" s="62"/>
      <c r="U35" s="62"/>
      <c r="V35" s="150"/>
      <c r="W35" s="124"/>
      <c r="X35" s="49"/>
      <c r="Y35" s="49"/>
      <c r="Z35" s="49"/>
      <c r="AA35" s="49"/>
      <c r="AB35" s="49"/>
      <c r="AC35" s="62"/>
      <c r="AD35" s="62"/>
      <c r="AE35" s="62"/>
      <c r="AF35" s="150"/>
      <c r="AG35" s="124"/>
      <c r="AH35" s="49"/>
      <c r="AI35" s="49"/>
      <c r="AJ35" s="49"/>
      <c r="AK35" s="49"/>
      <c r="AL35" s="49"/>
      <c r="AM35" s="56"/>
      <c r="AN35" s="302">
        <v>4</v>
      </c>
      <c r="AO35" s="62">
        <v>1800</v>
      </c>
      <c r="AP35" s="150">
        <v>125000</v>
      </c>
      <c r="AQ35" s="83">
        <v>40</v>
      </c>
      <c r="AR35" s="124"/>
      <c r="AS35" s="49"/>
      <c r="AT35" s="49"/>
      <c r="AU35" s="56"/>
      <c r="AV35" s="302">
        <v>4</v>
      </c>
      <c r="AW35" s="62">
        <v>1800</v>
      </c>
      <c r="AX35" s="150">
        <v>200000</v>
      </c>
      <c r="AY35" s="83">
        <v>40</v>
      </c>
      <c r="AZ35" s="327"/>
      <c r="BA35" s="62"/>
      <c r="BB35" s="49"/>
      <c r="BC35" s="56"/>
      <c r="BD35" s="302">
        <v>4</v>
      </c>
      <c r="BE35" s="62">
        <v>1800</v>
      </c>
      <c r="BF35" s="150">
        <v>200000</v>
      </c>
      <c r="BG35" s="83">
        <v>40</v>
      </c>
      <c r="BH35" s="87"/>
      <c r="BI35" s="62"/>
      <c r="BJ35" s="62"/>
      <c r="BK35" s="62"/>
      <c r="BL35" s="62"/>
    </row>
    <row r="36" spans="1:64" ht="14.6">
      <c r="A36" s="118"/>
      <c r="B36" s="118"/>
      <c r="C36" s="118"/>
      <c r="D36" s="49"/>
      <c r="E36" s="49"/>
      <c r="F36" s="49"/>
      <c r="G36" s="49"/>
      <c r="H36" s="278"/>
      <c r="I36" s="62"/>
      <c r="J36" s="62"/>
      <c r="K36" s="62"/>
      <c r="L36" s="150"/>
      <c r="M36" s="124"/>
      <c r="N36" s="49"/>
      <c r="O36" s="49"/>
      <c r="P36" s="49"/>
      <c r="Q36" s="49"/>
      <c r="R36" s="280"/>
      <c r="S36" s="62"/>
      <c r="T36" s="62"/>
      <c r="U36" s="62"/>
      <c r="V36" s="150"/>
      <c r="W36" s="124"/>
      <c r="X36" s="49"/>
      <c r="Y36" s="49"/>
      <c r="Z36" s="49"/>
      <c r="AA36" s="49"/>
      <c r="AB36" s="49"/>
      <c r="AC36" s="62"/>
      <c r="AD36" s="62"/>
      <c r="AE36" s="62"/>
      <c r="AF36" s="150"/>
      <c r="AG36" s="124"/>
      <c r="AH36" s="49"/>
      <c r="AI36" s="49"/>
      <c r="AJ36" s="201" t="s">
        <v>1173</v>
      </c>
      <c r="AK36" s="49"/>
      <c r="AL36" s="49"/>
      <c r="AM36" s="56"/>
      <c r="AN36" s="303">
        <v>5</v>
      </c>
      <c r="AO36" s="62">
        <v>2000</v>
      </c>
      <c r="AP36" s="150">
        <v>250000</v>
      </c>
      <c r="AQ36" s="83">
        <v>45</v>
      </c>
      <c r="AR36" s="124"/>
      <c r="AS36" s="49"/>
      <c r="AT36" s="49"/>
      <c r="AU36" s="56"/>
      <c r="AV36" s="303">
        <v>5</v>
      </c>
      <c r="AW36" s="62">
        <v>2000</v>
      </c>
      <c r="AX36" s="150">
        <v>400000</v>
      </c>
      <c r="AY36" s="83">
        <v>45</v>
      </c>
      <c r="AZ36" s="327"/>
      <c r="BA36" s="62"/>
      <c r="BB36" s="49"/>
      <c r="BC36" s="56"/>
      <c r="BD36" s="303">
        <v>5</v>
      </c>
      <c r="BE36" s="62">
        <v>2000</v>
      </c>
      <c r="BF36" s="150">
        <v>400000</v>
      </c>
      <c r="BG36" s="83">
        <v>45</v>
      </c>
      <c r="BH36" s="87"/>
      <c r="BI36" s="62"/>
      <c r="BJ36" s="62"/>
      <c r="BK36" s="62"/>
      <c r="BL36" s="62"/>
    </row>
    <row r="37" spans="1:64" ht="14.6">
      <c r="A37" s="118"/>
      <c r="B37" s="118"/>
      <c r="C37" s="118"/>
      <c r="D37" s="49"/>
      <c r="E37" s="49"/>
      <c r="F37" s="49" t="s">
        <v>1937</v>
      </c>
      <c r="G37" s="49"/>
      <c r="H37" s="137" t="s">
        <v>1893</v>
      </c>
      <c r="I37" s="49"/>
      <c r="J37" s="49"/>
      <c r="K37" s="49"/>
      <c r="L37" s="49"/>
      <c r="M37" s="49"/>
      <c r="N37" s="49"/>
      <c r="O37" s="49"/>
      <c r="P37" s="49" t="s">
        <v>1630</v>
      </c>
      <c r="Q37" s="49"/>
      <c r="R37" s="49"/>
      <c r="S37" s="49"/>
      <c r="T37" s="49"/>
      <c r="U37" s="49"/>
      <c r="V37" s="49"/>
      <c r="W37" s="49"/>
      <c r="X37" s="49"/>
      <c r="Y37" s="49"/>
      <c r="Z37" s="49" t="s">
        <v>1938</v>
      </c>
      <c r="AA37" s="49"/>
      <c r="AB37" s="137" t="s">
        <v>1289</v>
      </c>
      <c r="AC37" s="49"/>
      <c r="AD37" s="49"/>
      <c r="AE37" s="49"/>
      <c r="AF37" s="49"/>
      <c r="AG37" s="49"/>
      <c r="AH37" s="49"/>
      <c r="AI37" s="49"/>
      <c r="AJ37" s="201" t="s">
        <v>307</v>
      </c>
      <c r="AK37" s="49"/>
      <c r="AL37" s="49"/>
      <c r="AM37" s="49"/>
      <c r="AN37" s="87"/>
      <c r="AO37" s="62"/>
      <c r="AP37" s="62"/>
      <c r="AQ37" s="150"/>
      <c r="AR37" s="124"/>
      <c r="AS37" s="49"/>
      <c r="AT37" s="49"/>
      <c r="AU37" s="49"/>
      <c r="AV37" s="49"/>
      <c r="AW37" s="118"/>
      <c r="AX37" s="87"/>
      <c r="AY37" s="62"/>
      <c r="AZ37" s="327"/>
      <c r="BA37" s="62"/>
      <c r="BB37" s="62"/>
      <c r="BC37" s="150"/>
      <c r="BD37" s="124"/>
      <c r="BE37" s="124"/>
      <c r="BF37" s="49"/>
      <c r="BG37" s="118"/>
      <c r="BH37" s="87"/>
      <c r="BI37" s="62"/>
      <c r="BJ37" s="62"/>
      <c r="BK37" s="62"/>
      <c r="BL37" s="62"/>
    </row>
    <row r="38" spans="1:64">
      <c r="A38" s="118"/>
      <c r="B38" s="118"/>
      <c r="C38" s="118"/>
      <c r="D38" s="49"/>
      <c r="E38" s="49"/>
      <c r="F38" s="52" t="s">
        <v>1191</v>
      </c>
      <c r="G38" s="64"/>
      <c r="H38" s="108" t="s">
        <v>243</v>
      </c>
      <c r="I38" s="65" t="s">
        <v>244</v>
      </c>
      <c r="J38" s="65" t="s">
        <v>245</v>
      </c>
      <c r="K38" s="65" t="s">
        <v>250</v>
      </c>
      <c r="L38" s="65" t="s">
        <v>1091</v>
      </c>
      <c r="M38" s="65" t="s">
        <v>1861</v>
      </c>
      <c r="N38" s="49"/>
      <c r="O38" s="49"/>
      <c r="P38" s="52" t="s">
        <v>1099</v>
      </c>
      <c r="Q38" s="64"/>
      <c r="R38" s="108" t="s">
        <v>243</v>
      </c>
      <c r="S38" s="65" t="s">
        <v>244</v>
      </c>
      <c r="T38" s="65" t="s">
        <v>245</v>
      </c>
      <c r="U38" s="65" t="s">
        <v>250</v>
      </c>
      <c r="V38" s="65" t="s">
        <v>1091</v>
      </c>
      <c r="W38" s="65" t="s">
        <v>1870</v>
      </c>
      <c r="X38" s="49"/>
      <c r="Y38" s="49"/>
      <c r="Z38" s="52" t="s">
        <v>1102</v>
      </c>
      <c r="AA38" s="64"/>
      <c r="AB38" s="108" t="s">
        <v>243</v>
      </c>
      <c r="AC38" s="65" t="s">
        <v>244</v>
      </c>
      <c r="AD38" s="65" t="s">
        <v>245</v>
      </c>
      <c r="AE38" s="65" t="s">
        <v>1939</v>
      </c>
      <c r="AF38" s="65" t="s">
        <v>1940</v>
      </c>
      <c r="AG38" s="65" t="s">
        <v>1091</v>
      </c>
      <c r="AH38" s="65" t="s">
        <v>1870</v>
      </c>
      <c r="AI38" s="49"/>
      <c r="AJ38" s="49"/>
      <c r="AK38" s="49"/>
      <c r="AL38" s="49"/>
      <c r="AM38" s="49"/>
      <c r="AN38" s="87"/>
      <c r="AO38" s="62"/>
      <c r="AP38" s="62"/>
      <c r="AQ38" s="150"/>
      <c r="AR38" s="124"/>
      <c r="AS38" s="49"/>
      <c r="AT38" s="49"/>
      <c r="AU38" s="300"/>
      <c r="AV38" s="300"/>
      <c r="AW38" s="118"/>
      <c r="AX38" s="87"/>
      <c r="AY38" s="62"/>
      <c r="AZ38" s="327"/>
      <c r="BA38" s="62"/>
      <c r="BB38" s="62"/>
      <c r="BC38" s="150"/>
      <c r="BD38" s="124"/>
      <c r="BE38" s="124"/>
      <c r="BF38" s="300"/>
      <c r="BG38" s="118"/>
      <c r="BH38" s="87"/>
      <c r="BI38" s="62"/>
      <c r="BJ38" s="62"/>
      <c r="BK38" s="62"/>
      <c r="BL38" s="62"/>
    </row>
    <row r="39" spans="1:64">
      <c r="A39" s="118"/>
      <c r="B39" s="118"/>
      <c r="C39" s="118"/>
      <c r="D39" s="49"/>
      <c r="E39" s="49"/>
      <c r="F39" s="49" t="s">
        <v>1164</v>
      </c>
      <c r="G39" s="56"/>
      <c r="H39" s="309">
        <v>1</v>
      </c>
      <c r="I39" s="62">
        <v>1400</v>
      </c>
      <c r="J39" s="62">
        <v>328</v>
      </c>
      <c r="K39" s="62">
        <v>143</v>
      </c>
      <c r="L39" s="62">
        <v>5500</v>
      </c>
      <c r="M39" s="83">
        <v>130</v>
      </c>
      <c r="N39" s="49"/>
      <c r="O39" s="49"/>
      <c r="P39" s="49" t="s">
        <v>1941</v>
      </c>
      <c r="Q39" s="56"/>
      <c r="R39" s="309">
        <v>1</v>
      </c>
      <c r="S39" s="62">
        <v>2300</v>
      </c>
      <c r="T39" s="62">
        <v>150</v>
      </c>
      <c r="U39" s="62">
        <v>525</v>
      </c>
      <c r="V39" s="316">
        <v>4000</v>
      </c>
      <c r="W39" s="83">
        <v>130</v>
      </c>
      <c r="X39" s="49"/>
      <c r="Y39" s="49"/>
      <c r="Z39" s="49" t="s">
        <v>1216</v>
      </c>
      <c r="AA39" s="56"/>
      <c r="AB39" s="309">
        <v>1</v>
      </c>
      <c r="AC39" s="62">
        <v>1800</v>
      </c>
      <c r="AD39" s="62">
        <v>150</v>
      </c>
      <c r="AE39" s="62">
        <f>AD39*4</f>
        <v>600</v>
      </c>
      <c r="AF39" s="62">
        <f>AE39*0.8</f>
        <v>480</v>
      </c>
      <c r="AG39" s="316">
        <v>7000</v>
      </c>
      <c r="AH39" s="83">
        <v>160</v>
      </c>
      <c r="AI39" s="49"/>
      <c r="AJ39" s="49"/>
      <c r="AK39" s="49"/>
      <c r="AL39" s="49"/>
      <c r="AM39" s="49"/>
      <c r="AN39" s="99"/>
      <c r="AO39" s="62"/>
      <c r="AP39" s="62"/>
      <c r="AQ39" s="150"/>
      <c r="AR39" s="124"/>
      <c r="AS39" s="49"/>
      <c r="AT39" s="49"/>
      <c r="AU39" s="49"/>
      <c r="AV39" s="49"/>
      <c r="AW39" s="118"/>
      <c r="AX39" s="99"/>
      <c r="AY39" s="62"/>
      <c r="AZ39" s="327"/>
      <c r="BA39" s="62"/>
      <c r="BB39" s="62"/>
      <c r="BC39" s="150"/>
      <c r="BD39" s="124"/>
      <c r="BE39" s="124"/>
      <c r="BF39" s="49"/>
      <c r="BG39" s="118"/>
      <c r="BH39" s="99"/>
      <c r="BI39" s="62"/>
      <c r="BJ39" s="62"/>
      <c r="BK39" s="62"/>
      <c r="BL39" s="62"/>
    </row>
    <row r="40" spans="1:64">
      <c r="A40" s="118"/>
      <c r="B40" s="118"/>
      <c r="C40" s="118"/>
      <c r="D40" s="49"/>
      <c r="E40" s="49"/>
      <c r="F40" s="54" t="s">
        <v>1942</v>
      </c>
      <c r="G40" s="56"/>
      <c r="H40" s="301">
        <v>2</v>
      </c>
      <c r="I40" s="62">
        <v>1500</v>
      </c>
      <c r="J40" s="62">
        <v>379</v>
      </c>
      <c r="K40" s="62">
        <v>165</v>
      </c>
      <c r="L40" s="150">
        <v>11000</v>
      </c>
      <c r="M40" s="83">
        <v>140</v>
      </c>
      <c r="N40" s="49"/>
      <c r="O40" s="49"/>
      <c r="P40" s="60" t="s">
        <v>1943</v>
      </c>
      <c r="Q40" s="61"/>
      <c r="R40" s="301">
        <v>2</v>
      </c>
      <c r="S40" s="62">
        <v>2550</v>
      </c>
      <c r="T40" s="62">
        <v>175</v>
      </c>
      <c r="U40" s="62">
        <v>612.5</v>
      </c>
      <c r="V40" s="316">
        <v>8000</v>
      </c>
      <c r="W40" s="83">
        <v>140</v>
      </c>
      <c r="X40" s="49"/>
      <c r="Y40" s="49"/>
      <c r="Z40" s="60" t="s">
        <v>1695</v>
      </c>
      <c r="AA40" s="61"/>
      <c r="AB40" s="301">
        <v>2</v>
      </c>
      <c r="AC40" s="62">
        <v>2000</v>
      </c>
      <c r="AD40" s="62">
        <v>175</v>
      </c>
      <c r="AE40" s="62">
        <f t="shared" ref="AE40:AE43" si="8">AD40*4</f>
        <v>700</v>
      </c>
      <c r="AF40" s="62">
        <f t="shared" ref="AF40:AF43" si="9">AE40*0.8</f>
        <v>560</v>
      </c>
      <c r="AG40" s="316">
        <v>14000</v>
      </c>
      <c r="AH40" s="83">
        <v>170</v>
      </c>
      <c r="AI40" s="49"/>
      <c r="AJ40" s="49"/>
      <c r="AK40" s="49"/>
      <c r="AL40" s="49" t="s">
        <v>212</v>
      </c>
      <c r="AM40" s="49"/>
      <c r="AN40" s="49"/>
      <c r="AO40" s="49"/>
      <c r="AP40" s="49"/>
      <c r="AQ40" s="49"/>
      <c r="AR40" s="124"/>
      <c r="AS40" s="49"/>
      <c r="AT40" s="49" t="s">
        <v>200</v>
      </c>
      <c r="AU40" s="49"/>
      <c r="AV40" s="49"/>
      <c r="AW40" s="49"/>
      <c r="AX40" s="49"/>
      <c r="AY40" s="49"/>
      <c r="AZ40" s="327"/>
      <c r="BA40" s="62"/>
      <c r="BB40" s="49" t="s">
        <v>190</v>
      </c>
      <c r="BC40" s="49"/>
      <c r="BD40" s="49"/>
      <c r="BE40" s="49"/>
      <c r="BF40" s="49"/>
      <c r="BG40" s="49"/>
      <c r="BH40" s="90"/>
      <c r="BI40" s="62"/>
      <c r="BJ40" s="62"/>
      <c r="BK40" s="62"/>
      <c r="BL40" s="62"/>
    </row>
    <row r="41" spans="1:64">
      <c r="A41" s="118"/>
      <c r="B41" s="118"/>
      <c r="C41" s="118"/>
      <c r="D41" s="49"/>
      <c r="E41" s="49"/>
      <c r="F41" s="60" t="s">
        <v>1944</v>
      </c>
      <c r="G41" s="61"/>
      <c r="H41" s="310">
        <v>3</v>
      </c>
      <c r="I41" s="62">
        <v>1600</v>
      </c>
      <c r="J41" s="62">
        <v>429</v>
      </c>
      <c r="K41" s="62">
        <v>187</v>
      </c>
      <c r="L41" s="150">
        <v>22000</v>
      </c>
      <c r="M41" s="83">
        <v>150</v>
      </c>
      <c r="N41" s="49"/>
      <c r="O41" s="49"/>
      <c r="P41" s="54" t="s">
        <v>1945</v>
      </c>
      <c r="Q41" s="64"/>
      <c r="R41" s="310">
        <v>3</v>
      </c>
      <c r="S41" s="62">
        <v>2700</v>
      </c>
      <c r="T41" s="62">
        <v>200</v>
      </c>
      <c r="U41" s="62">
        <v>700</v>
      </c>
      <c r="V41" s="316">
        <v>16000</v>
      </c>
      <c r="W41" s="83">
        <v>150</v>
      </c>
      <c r="X41" s="49"/>
      <c r="Y41" s="49"/>
      <c r="Z41" s="49" t="s">
        <v>1946</v>
      </c>
      <c r="AA41" s="64"/>
      <c r="AB41" s="310">
        <v>3</v>
      </c>
      <c r="AC41" s="62">
        <v>2200</v>
      </c>
      <c r="AD41" s="62">
        <v>200</v>
      </c>
      <c r="AE41" s="62">
        <f t="shared" si="8"/>
        <v>800</v>
      </c>
      <c r="AF41" s="62">
        <f t="shared" si="9"/>
        <v>640</v>
      </c>
      <c r="AG41" s="316">
        <v>28000</v>
      </c>
      <c r="AH41" s="83">
        <v>180</v>
      </c>
      <c r="AI41" s="49"/>
      <c r="AJ41" s="49"/>
      <c r="AK41" s="49"/>
      <c r="AL41" s="52" t="s">
        <v>1107</v>
      </c>
      <c r="AM41" s="64"/>
      <c r="AN41" s="65" t="s">
        <v>243</v>
      </c>
      <c r="AO41" s="65" t="s">
        <v>244</v>
      </c>
      <c r="AP41" s="65" t="s">
        <v>1091</v>
      </c>
      <c r="AQ41" s="65" t="s">
        <v>1870</v>
      </c>
      <c r="AR41" s="124"/>
      <c r="AS41" s="49"/>
      <c r="AT41" s="52" t="s">
        <v>1107</v>
      </c>
      <c r="AU41" s="64"/>
      <c r="AV41" s="65" t="s">
        <v>243</v>
      </c>
      <c r="AW41" s="65" t="s">
        <v>244</v>
      </c>
      <c r="AX41" s="65" t="s">
        <v>1091</v>
      </c>
      <c r="AY41" s="65" t="s">
        <v>1870</v>
      </c>
      <c r="AZ41" s="327"/>
      <c r="BA41" s="62"/>
      <c r="BB41" s="52" t="s">
        <v>1107</v>
      </c>
      <c r="BC41" s="64"/>
      <c r="BD41" s="65" t="s">
        <v>243</v>
      </c>
      <c r="BE41" s="65" t="s">
        <v>244</v>
      </c>
      <c r="BF41" s="65" t="s">
        <v>1091</v>
      </c>
      <c r="BG41" s="65" t="s">
        <v>1870</v>
      </c>
      <c r="BH41" s="278"/>
      <c r="BI41" s="62"/>
      <c r="BJ41" s="62"/>
      <c r="BK41" s="62"/>
      <c r="BL41" s="62"/>
    </row>
    <row r="42" spans="1:64">
      <c r="A42" s="118"/>
      <c r="B42" s="118"/>
      <c r="C42" s="118"/>
      <c r="D42" s="49"/>
      <c r="E42" s="49"/>
      <c r="F42" s="49" t="s">
        <v>1126</v>
      </c>
      <c r="G42" s="64"/>
      <c r="H42" s="312">
        <v>4</v>
      </c>
      <c r="I42" s="62">
        <v>1700</v>
      </c>
      <c r="J42" s="62">
        <v>480</v>
      </c>
      <c r="K42" s="62">
        <v>209</v>
      </c>
      <c r="L42" s="150">
        <v>36000</v>
      </c>
      <c r="M42" s="83">
        <v>160</v>
      </c>
      <c r="N42" s="49"/>
      <c r="O42" s="49"/>
      <c r="P42" s="49" t="s">
        <v>1223</v>
      </c>
      <c r="Q42" s="56"/>
      <c r="R42" s="312">
        <v>4</v>
      </c>
      <c r="S42" s="62">
        <v>2950</v>
      </c>
      <c r="T42" s="62">
        <v>225</v>
      </c>
      <c r="U42" s="62">
        <v>787.5</v>
      </c>
      <c r="V42" s="316">
        <v>27000</v>
      </c>
      <c r="W42" s="83">
        <v>160</v>
      </c>
      <c r="X42" s="49"/>
      <c r="Y42" s="49"/>
      <c r="Z42" s="49" t="s">
        <v>1223</v>
      </c>
      <c r="AA42" s="56"/>
      <c r="AB42" s="312">
        <v>4</v>
      </c>
      <c r="AC42" s="62">
        <v>2400</v>
      </c>
      <c r="AD42" s="62">
        <v>225</v>
      </c>
      <c r="AE42" s="62">
        <f t="shared" si="8"/>
        <v>900</v>
      </c>
      <c r="AF42" s="62">
        <f t="shared" si="9"/>
        <v>720</v>
      </c>
      <c r="AG42" s="316">
        <v>45000</v>
      </c>
      <c r="AH42" s="83">
        <v>190</v>
      </c>
      <c r="AI42" s="49"/>
      <c r="AJ42" s="49"/>
      <c r="AK42" s="49"/>
      <c r="AL42" s="322" t="s">
        <v>1117</v>
      </c>
      <c r="AM42" s="61"/>
      <c r="AN42" s="299">
        <v>1</v>
      </c>
      <c r="AO42" s="62">
        <v>1200</v>
      </c>
      <c r="AP42" s="62">
        <v>5000</v>
      </c>
      <c r="AQ42" s="83">
        <v>25</v>
      </c>
      <c r="AR42" s="124"/>
      <c r="AS42" s="49"/>
      <c r="AT42" s="322" t="s">
        <v>1117</v>
      </c>
      <c r="AU42" s="61"/>
      <c r="AV42" s="299">
        <v>1</v>
      </c>
      <c r="AW42" s="62">
        <v>1200</v>
      </c>
      <c r="AX42" s="150">
        <v>10000</v>
      </c>
      <c r="AY42" s="83">
        <v>25</v>
      </c>
      <c r="AZ42" s="327"/>
      <c r="BA42" s="62"/>
      <c r="BB42" s="322" t="s">
        <v>1117</v>
      </c>
      <c r="BC42" s="61"/>
      <c r="BD42" s="309">
        <v>1</v>
      </c>
      <c r="BE42" s="62">
        <v>1200</v>
      </c>
      <c r="BF42" s="150"/>
      <c r="BG42" s="83">
        <v>25</v>
      </c>
      <c r="BH42" s="279"/>
      <c r="BI42" s="62"/>
      <c r="BJ42" s="62"/>
      <c r="BK42" s="62"/>
      <c r="BL42" s="62"/>
    </row>
    <row r="43" spans="1:64">
      <c r="A43" s="118"/>
      <c r="B43" s="118"/>
      <c r="C43" s="118"/>
      <c r="D43" s="49"/>
      <c r="E43" s="49"/>
      <c r="F43" s="49" t="s">
        <v>1223</v>
      </c>
      <c r="G43" s="56"/>
      <c r="H43" s="313">
        <v>5</v>
      </c>
      <c r="I43" s="62">
        <v>1800</v>
      </c>
      <c r="J43" s="62">
        <v>530</v>
      </c>
      <c r="K43" s="62">
        <v>231</v>
      </c>
      <c r="L43" s="150">
        <v>60000</v>
      </c>
      <c r="M43" s="83">
        <v>170</v>
      </c>
      <c r="N43" s="49"/>
      <c r="O43" s="49"/>
      <c r="P43" s="49" t="s">
        <v>1120</v>
      </c>
      <c r="Q43" s="56"/>
      <c r="R43" s="313">
        <v>5</v>
      </c>
      <c r="S43" s="62">
        <v>3200</v>
      </c>
      <c r="T43" s="62">
        <v>250</v>
      </c>
      <c r="U43" s="62">
        <v>875</v>
      </c>
      <c r="V43" s="316">
        <v>45000</v>
      </c>
      <c r="W43" s="83">
        <v>170</v>
      </c>
      <c r="X43" s="49"/>
      <c r="Y43" s="49"/>
      <c r="Z43" s="49" t="s">
        <v>1120</v>
      </c>
      <c r="AA43" s="56"/>
      <c r="AB43" s="313">
        <v>5</v>
      </c>
      <c r="AC43" s="62">
        <v>2600</v>
      </c>
      <c r="AD43" s="62">
        <v>250</v>
      </c>
      <c r="AE43" s="62">
        <f t="shared" si="8"/>
        <v>1000</v>
      </c>
      <c r="AF43" s="62">
        <f t="shared" si="9"/>
        <v>800</v>
      </c>
      <c r="AG43" s="316">
        <v>75000</v>
      </c>
      <c r="AH43" s="83">
        <v>200</v>
      </c>
      <c r="AI43" s="49"/>
      <c r="AJ43" s="49"/>
      <c r="AK43" s="49"/>
      <c r="AL43" s="49" t="s">
        <v>1920</v>
      </c>
      <c r="AM43" s="56"/>
      <c r="AN43" s="299">
        <v>2</v>
      </c>
      <c r="AO43" s="62">
        <v>1400</v>
      </c>
      <c r="AP43" s="62">
        <v>12500</v>
      </c>
      <c r="AQ43" s="83">
        <v>30</v>
      </c>
      <c r="AR43" s="124"/>
      <c r="AS43" s="49"/>
      <c r="AT43" s="49" t="s">
        <v>1920</v>
      </c>
      <c r="AU43" s="56"/>
      <c r="AV43" s="309">
        <v>2</v>
      </c>
      <c r="AW43" s="62">
        <v>1400</v>
      </c>
      <c r="AX43" s="150">
        <v>25000</v>
      </c>
      <c r="AY43" s="83">
        <v>30</v>
      </c>
      <c r="AZ43" s="327"/>
      <c r="BA43" s="62"/>
      <c r="BB43" s="49" t="s">
        <v>1920</v>
      </c>
      <c r="BC43" s="56"/>
      <c r="BD43" s="301">
        <v>2</v>
      </c>
      <c r="BE43" s="62">
        <v>1400</v>
      </c>
      <c r="BF43" s="150">
        <v>25000</v>
      </c>
      <c r="BG43" s="83">
        <v>30</v>
      </c>
      <c r="BH43" s="280"/>
      <c r="BI43" s="62"/>
      <c r="BJ43" s="62"/>
      <c r="BK43" s="62"/>
      <c r="BL43" s="62"/>
    </row>
    <row r="44" spans="1:64">
      <c r="A44" s="118"/>
      <c r="B44" s="118"/>
      <c r="C44" s="118"/>
      <c r="D44" s="49"/>
      <c r="E44" s="49"/>
      <c r="F44" s="49" t="s">
        <v>1120</v>
      </c>
      <c r="G44" s="56"/>
      <c r="H44" s="90"/>
      <c r="I44" s="62"/>
      <c r="J44" s="62"/>
      <c r="K44" s="62"/>
      <c r="L44" s="150"/>
      <c r="M44" s="124"/>
      <c r="N44" s="49"/>
      <c r="O44" s="49"/>
      <c r="P44" s="54" t="s">
        <v>1646</v>
      </c>
      <c r="Q44" s="56"/>
      <c r="R44" s="90"/>
      <c r="S44" s="62"/>
      <c r="T44" s="62"/>
      <c r="U44" s="62"/>
      <c r="V44" s="150"/>
      <c r="W44" s="124"/>
      <c r="X44" s="49"/>
      <c r="Y44" s="49"/>
      <c r="Z44" s="314" t="s">
        <v>1947</v>
      </c>
      <c r="AA44" s="64"/>
      <c r="AB44" s="279"/>
      <c r="AC44" s="62"/>
      <c r="AD44" s="62"/>
      <c r="AE44" s="62"/>
      <c r="AF44" s="150"/>
      <c r="AG44" s="124"/>
      <c r="AH44" s="49"/>
      <c r="AI44" s="49"/>
      <c r="AJ44" s="49"/>
      <c r="AK44" s="49"/>
      <c r="AL44" s="49" t="s">
        <v>170</v>
      </c>
      <c r="AM44" s="56"/>
      <c r="AN44" s="301">
        <v>3</v>
      </c>
      <c r="AO44" s="62">
        <v>1600</v>
      </c>
      <c r="AP44" s="150">
        <v>50000</v>
      </c>
      <c r="AQ44" s="83">
        <v>35</v>
      </c>
      <c r="AR44" s="49"/>
      <c r="AS44" s="49"/>
      <c r="AT44" s="49" t="s">
        <v>171</v>
      </c>
      <c r="AU44" s="56"/>
      <c r="AV44" s="310">
        <v>3</v>
      </c>
      <c r="AW44" s="62">
        <v>1600</v>
      </c>
      <c r="AX44" s="150">
        <v>100000</v>
      </c>
      <c r="AY44" s="83">
        <v>35</v>
      </c>
      <c r="AZ44" s="49"/>
      <c r="BA44" s="49"/>
      <c r="BB44" s="49" t="s">
        <v>172</v>
      </c>
      <c r="BC44" s="56"/>
      <c r="BD44" s="302">
        <v>3</v>
      </c>
      <c r="BE44" s="62">
        <v>1600</v>
      </c>
      <c r="BF44" s="150">
        <v>100000</v>
      </c>
      <c r="BG44" s="83">
        <v>35</v>
      </c>
      <c r="BH44" s="49"/>
      <c r="BI44" s="49"/>
      <c r="BJ44" s="62"/>
      <c r="BK44" s="62"/>
      <c r="BL44" s="62"/>
    </row>
    <row r="45" spans="1:64">
      <c r="A45" s="118"/>
      <c r="B45" s="118"/>
      <c r="C45" s="118"/>
      <c r="D45" s="49"/>
      <c r="E45" s="49"/>
      <c r="F45" s="49"/>
      <c r="G45" s="49"/>
      <c r="H45" s="49"/>
      <c r="I45" s="49"/>
      <c r="J45" s="49"/>
      <c r="K45" s="49"/>
      <c r="L45" s="49"/>
      <c r="M45" s="49"/>
      <c r="N45" s="49"/>
      <c r="O45" s="49"/>
      <c r="P45" s="49"/>
      <c r="Q45" s="49"/>
      <c r="R45" s="49"/>
      <c r="S45" s="49"/>
      <c r="T45" s="49"/>
      <c r="U45" s="49"/>
      <c r="V45" s="49"/>
      <c r="W45" s="49"/>
      <c r="X45" s="49"/>
      <c r="Y45" s="49"/>
      <c r="Z45" s="54" t="s">
        <v>1708</v>
      </c>
      <c r="AA45" s="56"/>
      <c r="AB45" s="279"/>
      <c r="AC45" s="62"/>
      <c r="AD45" s="62"/>
      <c r="AE45" s="62"/>
      <c r="AF45" s="150"/>
      <c r="AG45" s="124"/>
      <c r="AH45" s="49"/>
      <c r="AI45" s="49"/>
      <c r="AJ45" s="49"/>
      <c r="AK45" s="49"/>
      <c r="AL45" s="49"/>
      <c r="AM45" s="56"/>
      <c r="AN45" s="302">
        <v>4</v>
      </c>
      <c r="AO45" s="62">
        <v>1800</v>
      </c>
      <c r="AP45" s="150">
        <v>125000</v>
      </c>
      <c r="AQ45" s="83">
        <v>40</v>
      </c>
      <c r="AR45" s="49"/>
      <c r="AS45" s="49"/>
      <c r="AT45" s="49"/>
      <c r="AU45" s="56"/>
      <c r="AV45" s="312">
        <v>4</v>
      </c>
      <c r="AW45" s="62">
        <v>1800</v>
      </c>
      <c r="AX45" s="150">
        <v>250000</v>
      </c>
      <c r="AY45" s="83">
        <v>40</v>
      </c>
      <c r="AZ45" s="49"/>
      <c r="BA45" s="49"/>
      <c r="BB45" s="49"/>
      <c r="BC45" s="56"/>
      <c r="BD45" s="312">
        <v>4</v>
      </c>
      <c r="BE45" s="62">
        <v>1800</v>
      </c>
      <c r="BF45" s="150">
        <v>250000</v>
      </c>
      <c r="BG45" s="83">
        <v>40</v>
      </c>
      <c r="BH45" s="49"/>
      <c r="BI45" s="49"/>
      <c r="BJ45" s="62"/>
      <c r="BK45" s="62"/>
      <c r="BL45" s="62"/>
    </row>
    <row r="46" spans="1:64">
      <c r="A46" s="49"/>
      <c r="B46" s="49"/>
      <c r="C46" s="49"/>
      <c r="D46" s="49"/>
      <c r="E46" s="49"/>
      <c r="F46" s="49"/>
      <c r="G46" s="49"/>
      <c r="H46" s="49"/>
      <c r="I46" s="49"/>
      <c r="J46" s="62"/>
      <c r="K46" s="62"/>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56"/>
      <c r="AN46" s="303">
        <v>5</v>
      </c>
      <c r="AO46" s="62">
        <v>2000</v>
      </c>
      <c r="AP46" s="150">
        <v>250000</v>
      </c>
      <c r="AQ46" s="83">
        <v>45</v>
      </c>
      <c r="AR46" s="49"/>
      <c r="AS46" s="49"/>
      <c r="AT46" s="49"/>
      <c r="AU46" s="56"/>
      <c r="AV46" s="313">
        <v>5</v>
      </c>
      <c r="AW46" s="62">
        <v>2000</v>
      </c>
      <c r="AX46" s="150">
        <v>500000</v>
      </c>
      <c r="AY46" s="83">
        <v>45</v>
      </c>
      <c r="AZ46" s="49"/>
      <c r="BA46" s="49"/>
      <c r="BB46" s="49"/>
      <c r="BC46" s="56"/>
      <c r="BD46" s="313">
        <v>5</v>
      </c>
      <c r="BE46" s="62">
        <v>2000</v>
      </c>
      <c r="BF46" s="150">
        <v>500000</v>
      </c>
      <c r="BG46" s="83">
        <v>45</v>
      </c>
      <c r="BH46" s="49"/>
      <c r="BI46" s="49"/>
      <c r="BJ46" s="62"/>
      <c r="BK46" s="62"/>
      <c r="BL46" s="62"/>
    </row>
    <row r="47" spans="1:64">
      <c r="A47" s="49"/>
      <c r="B47" s="49"/>
      <c r="C47" s="49"/>
      <c r="D47" s="49"/>
      <c r="E47" s="49"/>
      <c r="F47" s="49"/>
      <c r="G47" s="49"/>
      <c r="H47" s="49"/>
      <c r="I47" s="49"/>
      <c r="J47" s="62"/>
      <c r="K47" s="62"/>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62"/>
      <c r="AO47" s="62"/>
      <c r="AP47" s="62"/>
      <c r="AQ47" s="62"/>
      <c r="AR47" s="62"/>
      <c r="AS47" s="49"/>
      <c r="AT47" s="49"/>
      <c r="AU47" s="49"/>
      <c r="AV47" s="49"/>
      <c r="AW47" s="49"/>
      <c r="AX47" s="62"/>
      <c r="AY47" s="62"/>
      <c r="AZ47" s="62"/>
      <c r="BA47" s="62"/>
      <c r="BB47" s="49"/>
      <c r="BC47" s="49"/>
      <c r="BD47" s="49"/>
      <c r="BE47" s="49"/>
      <c r="BF47" s="49"/>
      <c r="BG47" s="49"/>
      <c r="BH47" s="62"/>
      <c r="BI47" s="62"/>
      <c r="BJ47" s="62"/>
      <c r="BK47" s="62"/>
      <c r="BL47" s="62"/>
    </row>
    <row r="48" spans="1:64">
      <c r="A48" s="49"/>
      <c r="B48" s="49"/>
      <c r="C48" s="49"/>
      <c r="D48" s="49"/>
      <c r="E48" s="49"/>
      <c r="F48" s="49"/>
      <c r="G48" s="49"/>
      <c r="H48" s="49"/>
      <c r="I48" s="49"/>
      <c r="J48" s="62"/>
      <c r="K48" s="62"/>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87"/>
      <c r="AO48" s="62"/>
      <c r="AP48" s="286"/>
      <c r="AQ48" s="150"/>
      <c r="AR48" s="124"/>
      <c r="AS48" s="49"/>
      <c r="AT48" s="49"/>
      <c r="AU48" s="49"/>
      <c r="AV48" s="49"/>
      <c r="AW48" s="49"/>
      <c r="AX48" s="87"/>
      <c r="AY48" s="62"/>
      <c r="AZ48" s="62"/>
      <c r="BA48" s="124"/>
      <c r="BB48" s="49"/>
      <c r="BC48" s="49"/>
      <c r="BD48" s="49"/>
      <c r="BE48" s="49"/>
      <c r="BF48" s="49"/>
      <c r="BG48" s="49"/>
      <c r="BH48" s="87"/>
      <c r="BI48" s="62"/>
      <c r="BJ48" s="62"/>
      <c r="BK48" s="62"/>
      <c r="BL48" s="62"/>
    </row>
    <row r="49" spans="1:64">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87"/>
      <c r="AO49" s="62"/>
      <c r="AP49" s="286"/>
      <c r="AQ49" s="150"/>
      <c r="AR49" s="124"/>
      <c r="AS49" s="49"/>
      <c r="AT49" s="49"/>
      <c r="AU49" s="49"/>
      <c r="AV49" s="49"/>
      <c r="AW49" s="49"/>
      <c r="AX49" s="87"/>
      <c r="AY49" s="62"/>
      <c r="AZ49" s="62"/>
      <c r="BA49" s="124"/>
      <c r="BB49" s="49"/>
      <c r="BC49" s="49"/>
      <c r="BD49" s="49"/>
      <c r="BE49" s="49"/>
      <c r="BF49" s="49"/>
      <c r="BG49" s="49"/>
      <c r="BH49" s="87"/>
      <c r="BI49" s="62"/>
      <c r="BJ49" s="62"/>
      <c r="BK49" s="62"/>
      <c r="BL49" s="62"/>
    </row>
    <row r="50" spans="1:64">
      <c r="A50" s="49"/>
      <c r="B50" s="49"/>
      <c r="C50" s="49"/>
      <c r="D50" s="49"/>
      <c r="E50" s="49"/>
      <c r="F50" s="49" t="s">
        <v>1650</v>
      </c>
      <c r="G50" s="49"/>
      <c r="H50" s="137" t="s">
        <v>1651</v>
      </c>
      <c r="I50" s="49"/>
      <c r="J50" s="49"/>
      <c r="K50" s="49"/>
      <c r="L50" s="49"/>
      <c r="M50" s="49"/>
      <c r="N50" s="49"/>
      <c r="O50" s="49"/>
      <c r="P50" s="49" t="s">
        <v>1948</v>
      </c>
      <c r="Q50" s="49"/>
      <c r="R50" s="321"/>
      <c r="S50" s="49"/>
      <c r="T50" s="49"/>
      <c r="U50" s="49"/>
      <c r="V50" s="49"/>
      <c r="W50" s="49"/>
      <c r="X50" s="49"/>
      <c r="Y50" s="49"/>
      <c r="Z50" s="137" t="s">
        <v>1949</v>
      </c>
      <c r="AA50" s="137"/>
      <c r="AB50" s="137" t="s">
        <v>1249</v>
      </c>
      <c r="AC50" s="137"/>
      <c r="AD50" s="137"/>
      <c r="AE50" s="137"/>
      <c r="AF50" s="137"/>
      <c r="AG50" s="137"/>
      <c r="AH50" s="49"/>
      <c r="AI50" s="49"/>
      <c r="AJ50" s="49"/>
      <c r="AK50" s="49"/>
      <c r="AL50" s="49" t="s">
        <v>196</v>
      </c>
      <c r="AM50" s="49"/>
      <c r="AN50" s="49"/>
      <c r="AO50" s="49"/>
      <c r="AP50" s="49"/>
      <c r="AQ50" s="49"/>
      <c r="AR50" s="124"/>
      <c r="AS50" s="49"/>
      <c r="AT50" s="49" t="s">
        <v>201</v>
      </c>
      <c r="AU50" s="49"/>
      <c r="AV50" s="49"/>
      <c r="AW50" s="49"/>
      <c r="AX50" s="49"/>
      <c r="AY50" s="49"/>
      <c r="AZ50" s="150"/>
      <c r="BA50" s="124"/>
      <c r="BB50" s="49" t="s">
        <v>191</v>
      </c>
      <c r="BC50" s="49"/>
      <c r="BD50" s="49"/>
      <c r="BE50" s="49"/>
      <c r="BF50" s="49"/>
      <c r="BG50" s="49"/>
      <c r="BH50" s="90"/>
      <c r="BI50" s="62"/>
      <c r="BJ50" s="62"/>
      <c r="BK50" s="62"/>
      <c r="BL50" s="62"/>
    </row>
    <row r="51" spans="1:64">
      <c r="A51" s="49"/>
      <c r="B51" s="49"/>
      <c r="C51" s="49"/>
      <c r="D51" s="49"/>
      <c r="E51" s="49"/>
      <c r="F51" s="52" t="s">
        <v>1099</v>
      </c>
      <c r="G51" s="64"/>
      <c r="H51" s="108" t="s">
        <v>243</v>
      </c>
      <c r="I51" s="65" t="s">
        <v>244</v>
      </c>
      <c r="J51" s="65" t="s">
        <v>245</v>
      </c>
      <c r="K51" s="65" t="s">
        <v>250</v>
      </c>
      <c r="L51" s="65" t="s">
        <v>1091</v>
      </c>
      <c r="M51" s="65" t="s">
        <v>1870</v>
      </c>
      <c r="N51" s="49"/>
      <c r="O51" s="49"/>
      <c r="P51" s="52" t="s">
        <v>1099</v>
      </c>
      <c r="Q51" s="64"/>
      <c r="R51" s="108" t="s">
        <v>243</v>
      </c>
      <c r="S51" s="65" t="s">
        <v>244</v>
      </c>
      <c r="T51" s="65" t="s">
        <v>245</v>
      </c>
      <c r="U51" s="65" t="s">
        <v>250</v>
      </c>
      <c r="V51" s="65" t="s">
        <v>1091</v>
      </c>
      <c r="W51" s="65" t="s">
        <v>1870</v>
      </c>
      <c r="X51" s="49"/>
      <c r="Y51" s="49"/>
      <c r="Z51" s="134" t="s">
        <v>1102</v>
      </c>
      <c r="AA51" s="203"/>
      <c r="AB51" s="204" t="s">
        <v>243</v>
      </c>
      <c r="AC51" s="136" t="s">
        <v>244</v>
      </c>
      <c r="AD51" s="136" t="s">
        <v>1950</v>
      </c>
      <c r="AE51" s="136" t="s">
        <v>1951</v>
      </c>
      <c r="AF51" s="136" t="s">
        <v>1091</v>
      </c>
      <c r="AG51" s="65" t="s">
        <v>1870</v>
      </c>
      <c r="AH51" s="49"/>
      <c r="AI51" s="49"/>
      <c r="AJ51" s="49"/>
      <c r="AK51" s="49"/>
      <c r="AL51" s="52" t="s">
        <v>1107</v>
      </c>
      <c r="AM51" s="64"/>
      <c r="AN51" s="65" t="s">
        <v>243</v>
      </c>
      <c r="AO51" s="65" t="s">
        <v>244</v>
      </c>
      <c r="AP51" s="65" t="s">
        <v>1091</v>
      </c>
      <c r="AQ51" s="65" t="s">
        <v>1870</v>
      </c>
      <c r="AR51" s="124"/>
      <c r="AS51" s="49"/>
      <c r="AT51" s="52" t="s">
        <v>1107</v>
      </c>
      <c r="AU51" s="64"/>
      <c r="AV51" s="65" t="s">
        <v>243</v>
      </c>
      <c r="AW51" s="65" t="s">
        <v>244</v>
      </c>
      <c r="AX51" s="65" t="s">
        <v>1091</v>
      </c>
      <c r="AY51" s="65" t="s">
        <v>1870</v>
      </c>
      <c r="AZ51" s="150"/>
      <c r="BA51" s="124"/>
      <c r="BB51" s="52" t="s">
        <v>1107</v>
      </c>
      <c r="BC51" s="64"/>
      <c r="BD51" s="65" t="s">
        <v>243</v>
      </c>
      <c r="BE51" s="65" t="s">
        <v>244</v>
      </c>
      <c r="BF51" s="65" t="s">
        <v>1091</v>
      </c>
      <c r="BG51" s="65" t="s">
        <v>1870</v>
      </c>
      <c r="BH51" s="279"/>
      <c r="BI51" s="62"/>
      <c r="BJ51" s="62"/>
      <c r="BK51" s="62"/>
      <c r="BL51" s="62"/>
    </row>
    <row r="52" spans="1:64">
      <c r="A52" s="49"/>
      <c r="B52" s="49"/>
      <c r="C52" s="49"/>
      <c r="D52" s="49"/>
      <c r="E52" s="49"/>
      <c r="F52" s="49" t="s">
        <v>1113</v>
      </c>
      <c r="G52" s="56"/>
      <c r="H52" s="301">
        <v>1</v>
      </c>
      <c r="I52" s="62">
        <v>3700</v>
      </c>
      <c r="J52" s="62">
        <v>80</v>
      </c>
      <c r="K52" s="62">
        <v>400</v>
      </c>
      <c r="L52" s="150">
        <v>10000</v>
      </c>
      <c r="M52" s="83">
        <v>370</v>
      </c>
      <c r="N52" s="49"/>
      <c r="O52" s="49"/>
      <c r="P52" s="49" t="s">
        <v>1952</v>
      </c>
      <c r="Q52" s="56"/>
      <c r="R52" s="301">
        <v>1</v>
      </c>
      <c r="S52" s="62">
        <v>2400</v>
      </c>
      <c r="T52" s="62">
        <v>140</v>
      </c>
      <c r="U52" s="62">
        <f>T52*4</f>
        <v>560</v>
      </c>
      <c r="V52" s="120">
        <v>12500</v>
      </c>
      <c r="W52" s="83">
        <v>360</v>
      </c>
      <c r="X52" s="49"/>
      <c r="Y52" s="49"/>
      <c r="Z52" s="137" t="s">
        <v>1953</v>
      </c>
      <c r="AA52" s="205"/>
      <c r="AB52" s="310">
        <v>1</v>
      </c>
      <c r="AC52" s="120">
        <v>3600</v>
      </c>
      <c r="AD52" s="120">
        <v>200</v>
      </c>
      <c r="AE52" s="120">
        <v>2000</v>
      </c>
      <c r="AF52" s="150">
        <v>15000</v>
      </c>
      <c r="AG52" s="83">
        <v>380</v>
      </c>
      <c r="AH52" s="49"/>
      <c r="AI52" s="49"/>
      <c r="AJ52" s="49"/>
      <c r="AK52" s="49"/>
      <c r="AL52" s="322" t="s">
        <v>1117</v>
      </c>
      <c r="AM52" s="61"/>
      <c r="AN52" s="309">
        <v>1</v>
      </c>
      <c r="AO52" s="62">
        <v>1200</v>
      </c>
      <c r="AP52" s="150">
        <v>10000</v>
      </c>
      <c r="AQ52" s="83">
        <v>25</v>
      </c>
      <c r="AR52" s="124"/>
      <c r="AS52" s="49"/>
      <c r="AT52" s="322" t="s">
        <v>1117</v>
      </c>
      <c r="AU52" s="61"/>
      <c r="AV52" s="309">
        <v>1</v>
      </c>
      <c r="AW52" s="62">
        <v>1200</v>
      </c>
      <c r="AX52" s="150">
        <v>25000</v>
      </c>
      <c r="AY52" s="83">
        <v>25</v>
      </c>
      <c r="AZ52" s="150"/>
      <c r="BA52" s="124"/>
      <c r="BB52" s="322" t="s">
        <v>1117</v>
      </c>
      <c r="BC52" s="61"/>
      <c r="BD52" s="301">
        <v>1</v>
      </c>
      <c r="BE52" s="62">
        <v>1200</v>
      </c>
      <c r="BF52" s="150"/>
      <c r="BG52" s="83">
        <v>25</v>
      </c>
      <c r="BH52" s="49"/>
      <c r="BI52" s="49"/>
      <c r="BJ52" s="62"/>
      <c r="BK52" s="62"/>
      <c r="BL52" s="62"/>
    </row>
    <row r="53" spans="1:64">
      <c r="A53" s="49"/>
      <c r="B53" s="49"/>
      <c r="C53" s="49"/>
      <c r="D53" s="49"/>
      <c r="E53" s="49"/>
      <c r="F53" s="60" t="s">
        <v>1195</v>
      </c>
      <c r="G53" s="61"/>
      <c r="H53" s="310">
        <v>2</v>
      </c>
      <c r="I53" s="62">
        <v>3900</v>
      </c>
      <c r="J53" s="62">
        <v>90</v>
      </c>
      <c r="K53" s="62">
        <v>450</v>
      </c>
      <c r="L53" s="150">
        <v>20000</v>
      </c>
      <c r="M53" s="83">
        <v>380</v>
      </c>
      <c r="N53" s="49"/>
      <c r="O53" s="49"/>
      <c r="P53" s="49"/>
      <c r="Q53" s="56"/>
      <c r="R53" s="310">
        <v>2</v>
      </c>
      <c r="S53" s="62">
        <v>2800</v>
      </c>
      <c r="T53" s="62">
        <v>165</v>
      </c>
      <c r="U53" s="62">
        <f t="shared" ref="U53:U56" si="10">T53*4</f>
        <v>660</v>
      </c>
      <c r="V53" s="150">
        <v>25000</v>
      </c>
      <c r="W53" s="83">
        <v>380</v>
      </c>
      <c r="X53" s="49"/>
      <c r="Y53" s="49"/>
      <c r="Z53" s="140" t="s">
        <v>1126</v>
      </c>
      <c r="AA53" s="207"/>
      <c r="AB53" s="302">
        <v>2</v>
      </c>
      <c r="AC53" s="120">
        <v>4000</v>
      </c>
      <c r="AD53" s="120">
        <v>230</v>
      </c>
      <c r="AE53" s="120">
        <v>2300</v>
      </c>
      <c r="AF53" s="150">
        <v>30000</v>
      </c>
      <c r="AG53" s="83">
        <v>400</v>
      </c>
      <c r="AH53" s="49"/>
      <c r="AI53" s="49"/>
      <c r="AJ53" s="49"/>
      <c r="AK53" s="49"/>
      <c r="AL53" s="49" t="s">
        <v>1920</v>
      </c>
      <c r="AM53" s="56"/>
      <c r="AN53" s="301">
        <v>2</v>
      </c>
      <c r="AO53" s="62">
        <v>1400</v>
      </c>
      <c r="AP53" s="150">
        <v>25000</v>
      </c>
      <c r="AQ53" s="83">
        <v>30</v>
      </c>
      <c r="AR53" s="124"/>
      <c r="AS53" s="49"/>
      <c r="AT53" s="49" t="s">
        <v>1920</v>
      </c>
      <c r="AU53" s="56"/>
      <c r="AV53" s="301">
        <v>2</v>
      </c>
      <c r="AW53" s="62">
        <v>1400</v>
      </c>
      <c r="AX53" s="150">
        <v>50000</v>
      </c>
      <c r="AY53" s="83">
        <v>30</v>
      </c>
      <c r="AZ53" s="150"/>
      <c r="BA53" s="124"/>
      <c r="BB53" s="49" t="s">
        <v>1920</v>
      </c>
      <c r="BC53" s="56"/>
      <c r="BD53" s="310">
        <v>2</v>
      </c>
      <c r="BE53" s="62">
        <v>1400</v>
      </c>
      <c r="BF53" s="150">
        <v>25000</v>
      </c>
      <c r="BG53" s="83">
        <v>30</v>
      </c>
      <c r="BH53" s="49"/>
      <c r="BI53" s="49"/>
      <c r="BJ53" s="62"/>
      <c r="BK53" s="62"/>
      <c r="BL53" s="62"/>
    </row>
    <row r="54" spans="1:64">
      <c r="A54" s="49"/>
      <c r="B54" s="49"/>
      <c r="C54" s="49"/>
      <c r="D54" s="49"/>
      <c r="E54" s="49"/>
      <c r="F54" s="54" t="s">
        <v>1669</v>
      </c>
      <c r="G54" s="64"/>
      <c r="H54" s="302">
        <v>3</v>
      </c>
      <c r="I54" s="62">
        <v>4100</v>
      </c>
      <c r="J54" s="62">
        <v>100</v>
      </c>
      <c r="K54" s="62">
        <v>500</v>
      </c>
      <c r="L54" s="150">
        <v>40000</v>
      </c>
      <c r="M54" s="83">
        <v>390</v>
      </c>
      <c r="N54" s="49"/>
      <c r="O54" s="49"/>
      <c r="P54" s="60" t="s">
        <v>1695</v>
      </c>
      <c r="Q54" s="61"/>
      <c r="R54" s="302">
        <v>3</v>
      </c>
      <c r="S54" s="62">
        <v>3200</v>
      </c>
      <c r="T54" s="62">
        <v>190</v>
      </c>
      <c r="U54" s="62">
        <f t="shared" si="10"/>
        <v>760</v>
      </c>
      <c r="V54" s="150">
        <v>50000</v>
      </c>
      <c r="W54" s="83">
        <v>400</v>
      </c>
      <c r="X54" s="49"/>
      <c r="Y54" s="49"/>
      <c r="Z54" s="134" t="s">
        <v>1107</v>
      </c>
      <c r="AA54" s="203"/>
      <c r="AB54" s="312">
        <v>3</v>
      </c>
      <c r="AC54" s="120">
        <v>4400</v>
      </c>
      <c r="AD54" s="120">
        <v>260</v>
      </c>
      <c r="AE54" s="120">
        <v>2600</v>
      </c>
      <c r="AF54" s="150">
        <v>60000</v>
      </c>
      <c r="AG54" s="83">
        <v>420</v>
      </c>
      <c r="AH54" s="49"/>
      <c r="AI54" s="49"/>
      <c r="AJ54" s="49"/>
      <c r="AK54" s="49"/>
      <c r="AL54" s="49" t="s">
        <v>172</v>
      </c>
      <c r="AM54" s="56"/>
      <c r="AN54" s="302">
        <v>3</v>
      </c>
      <c r="AO54" s="62">
        <v>1600</v>
      </c>
      <c r="AP54" s="150">
        <v>100000</v>
      </c>
      <c r="AQ54" s="83">
        <v>35</v>
      </c>
      <c r="AR54" s="124"/>
      <c r="AS54" s="49"/>
      <c r="AT54" s="49" t="s">
        <v>172</v>
      </c>
      <c r="AU54" s="56"/>
      <c r="AV54" s="302">
        <v>3</v>
      </c>
      <c r="AW54" s="62">
        <v>1600</v>
      </c>
      <c r="AX54" s="150">
        <v>150000</v>
      </c>
      <c r="AY54" s="83">
        <v>35</v>
      </c>
      <c r="AZ54" s="150"/>
      <c r="BA54" s="124"/>
      <c r="BB54" s="49" t="s">
        <v>173</v>
      </c>
      <c r="BC54" s="56"/>
      <c r="BD54" s="302">
        <v>3</v>
      </c>
      <c r="BE54" s="62">
        <v>1600</v>
      </c>
      <c r="BF54" s="150">
        <v>100000</v>
      </c>
      <c r="BG54" s="83">
        <v>35</v>
      </c>
      <c r="BH54" s="49"/>
      <c r="BI54" s="49"/>
      <c r="BJ54" s="62"/>
      <c r="BK54" s="62"/>
      <c r="BL54" s="62"/>
    </row>
    <row r="55" spans="1:64">
      <c r="A55" s="49"/>
      <c r="B55" s="49"/>
      <c r="C55" s="49"/>
      <c r="D55" s="49"/>
      <c r="E55" s="49"/>
      <c r="F55" s="49" t="s">
        <v>1107</v>
      </c>
      <c r="G55" s="56"/>
      <c r="H55" s="312">
        <v>4</v>
      </c>
      <c r="I55" s="62">
        <v>4300</v>
      </c>
      <c r="J55" s="62">
        <v>110</v>
      </c>
      <c r="K55" s="62">
        <v>550</v>
      </c>
      <c r="L55" s="150">
        <v>63000</v>
      </c>
      <c r="M55" s="83">
        <v>400</v>
      </c>
      <c r="N55" s="49"/>
      <c r="O55" s="49"/>
      <c r="P55" s="49" t="s">
        <v>781</v>
      </c>
      <c r="Q55" s="56"/>
      <c r="R55" s="312">
        <v>4</v>
      </c>
      <c r="S55" s="62">
        <v>3600</v>
      </c>
      <c r="T55" s="62">
        <v>215</v>
      </c>
      <c r="U55" s="62">
        <f t="shared" si="10"/>
        <v>860</v>
      </c>
      <c r="V55" s="150">
        <v>78000</v>
      </c>
      <c r="W55" s="83">
        <v>420</v>
      </c>
      <c r="X55" s="49"/>
      <c r="Y55" s="49"/>
      <c r="Z55" s="142" t="s">
        <v>1117</v>
      </c>
      <c r="AA55" s="205"/>
      <c r="AB55" s="303">
        <v>4</v>
      </c>
      <c r="AC55" s="120">
        <v>4800</v>
      </c>
      <c r="AD55" s="120">
        <v>310</v>
      </c>
      <c r="AE55" s="120">
        <v>2900</v>
      </c>
      <c r="AF55" s="150">
        <v>93000</v>
      </c>
      <c r="AG55" s="83">
        <v>440</v>
      </c>
      <c r="AH55" s="49"/>
      <c r="AI55" s="49"/>
      <c r="AJ55" s="49"/>
      <c r="AK55" s="49"/>
      <c r="AL55" s="49"/>
      <c r="AM55" s="56"/>
      <c r="AN55" s="312">
        <v>4</v>
      </c>
      <c r="AO55" s="62">
        <v>1800</v>
      </c>
      <c r="AP55" s="150">
        <v>250000</v>
      </c>
      <c r="AQ55" s="83">
        <v>40</v>
      </c>
      <c r="AR55" s="124"/>
      <c r="AS55" s="49"/>
      <c r="AT55" s="49"/>
      <c r="AU55" s="56"/>
      <c r="AV55" s="312">
        <v>4</v>
      </c>
      <c r="AW55" s="62">
        <v>1800</v>
      </c>
      <c r="AX55" s="150">
        <v>300000</v>
      </c>
      <c r="AY55" s="83">
        <v>40</v>
      </c>
      <c r="AZ55" s="150"/>
      <c r="BA55" s="124"/>
      <c r="BB55" s="49"/>
      <c r="BC55" s="56"/>
      <c r="BD55" s="303">
        <v>4</v>
      </c>
      <c r="BE55" s="62">
        <v>1800</v>
      </c>
      <c r="BF55" s="150">
        <v>250000</v>
      </c>
      <c r="BG55" s="83">
        <v>40</v>
      </c>
      <c r="BH55" s="49"/>
      <c r="BI55" s="49"/>
      <c r="BJ55" s="62"/>
      <c r="BK55" s="62"/>
      <c r="BL55" s="62"/>
    </row>
    <row r="56" spans="1:64">
      <c r="A56" s="49"/>
      <c r="B56" s="49"/>
      <c r="C56" s="49"/>
      <c r="D56" s="49"/>
      <c r="E56" s="49"/>
      <c r="F56" s="54" t="s">
        <v>1117</v>
      </c>
      <c r="G56" s="56"/>
      <c r="H56" s="313">
        <v>5</v>
      </c>
      <c r="I56" s="62">
        <v>4500</v>
      </c>
      <c r="J56" s="62">
        <v>120</v>
      </c>
      <c r="K56" s="62">
        <v>600</v>
      </c>
      <c r="L56" s="150">
        <v>105000</v>
      </c>
      <c r="M56" s="83">
        <v>410</v>
      </c>
      <c r="N56" s="49"/>
      <c r="O56" s="49"/>
      <c r="P56" s="49" t="s">
        <v>1107</v>
      </c>
      <c r="Q56" s="56"/>
      <c r="R56" s="313">
        <v>5</v>
      </c>
      <c r="S56" s="62">
        <v>4000</v>
      </c>
      <c r="T56" s="62">
        <v>240</v>
      </c>
      <c r="U56" s="62">
        <f t="shared" si="10"/>
        <v>960</v>
      </c>
      <c r="V56" s="150">
        <v>130000</v>
      </c>
      <c r="W56" s="83">
        <v>440</v>
      </c>
      <c r="X56" s="49"/>
      <c r="Y56" s="49"/>
      <c r="Z56" s="137"/>
      <c r="AA56" s="205"/>
      <c r="AB56" s="313">
        <v>5</v>
      </c>
      <c r="AC56" s="120">
        <v>5200</v>
      </c>
      <c r="AD56" s="120">
        <v>350</v>
      </c>
      <c r="AE56" s="120">
        <v>3200</v>
      </c>
      <c r="AF56" s="150">
        <v>155000</v>
      </c>
      <c r="AG56" s="83">
        <v>460</v>
      </c>
      <c r="AH56" s="49"/>
      <c r="AI56" s="49"/>
      <c r="AJ56" s="49"/>
      <c r="AK56" s="49"/>
      <c r="AL56" s="49"/>
      <c r="AM56" s="56"/>
      <c r="AN56" s="313">
        <v>5</v>
      </c>
      <c r="AO56" s="62">
        <v>2000</v>
      </c>
      <c r="AP56" s="150">
        <v>500000</v>
      </c>
      <c r="AQ56" s="83">
        <v>45</v>
      </c>
      <c r="AR56" s="124"/>
      <c r="AS56" s="49"/>
      <c r="AT56" s="49"/>
      <c r="AU56" s="56"/>
      <c r="AV56" s="313">
        <v>5</v>
      </c>
      <c r="AW56" s="62">
        <v>2000</v>
      </c>
      <c r="AX56" s="150">
        <v>600000</v>
      </c>
      <c r="AY56" s="83">
        <v>45</v>
      </c>
      <c r="AZ56" s="150"/>
      <c r="BA56" s="124"/>
      <c r="BB56" s="49"/>
      <c r="BC56" s="56"/>
      <c r="BD56" s="313">
        <v>5</v>
      </c>
      <c r="BE56" s="62">
        <v>2000</v>
      </c>
      <c r="BF56" s="150">
        <v>500000</v>
      </c>
      <c r="BG56" s="83">
        <v>45</v>
      </c>
      <c r="BH56" s="49"/>
      <c r="BI56" s="49"/>
      <c r="BJ56" s="62"/>
      <c r="BK56" s="62"/>
      <c r="BL56" s="62"/>
    </row>
    <row r="57" spans="1:64">
      <c r="A57" s="49"/>
      <c r="B57" s="49"/>
      <c r="C57" s="49"/>
      <c r="D57" s="49"/>
      <c r="E57" s="49"/>
      <c r="F57" s="314" t="s">
        <v>1954</v>
      </c>
      <c r="G57" s="64"/>
      <c r="H57" s="278"/>
      <c r="I57" s="62"/>
      <c r="J57" s="62"/>
      <c r="K57" s="62"/>
      <c r="L57" s="150"/>
      <c r="M57" s="124"/>
      <c r="N57" s="49"/>
      <c r="O57" s="49"/>
      <c r="P57" s="54" t="s">
        <v>1117</v>
      </c>
      <c r="Q57" s="56"/>
      <c r="R57" s="90"/>
      <c r="S57" s="62"/>
      <c r="T57" s="62"/>
      <c r="U57" s="62"/>
      <c r="V57" s="150"/>
      <c r="W57" s="124"/>
      <c r="X57" s="49"/>
      <c r="Y57" s="49"/>
      <c r="Z57" s="137"/>
      <c r="AA57" s="202"/>
      <c r="AB57" s="94"/>
      <c r="AC57" s="120"/>
      <c r="AD57" s="120"/>
      <c r="AE57" s="120"/>
      <c r="AF57" s="120"/>
      <c r="AG57" s="120"/>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62"/>
      <c r="BK57" s="62"/>
      <c r="BL57" s="62"/>
    </row>
    <row r="58" spans="1:64">
      <c r="A58" s="49"/>
      <c r="B58" s="49"/>
      <c r="C58" s="49"/>
      <c r="D58" s="49"/>
      <c r="E58" s="49"/>
      <c r="F58" s="315" t="s">
        <v>1269</v>
      </c>
      <c r="G58" s="56"/>
      <c r="H58" s="315" t="s">
        <v>1678</v>
      </c>
      <c r="I58" s="62"/>
      <c r="J58" s="62"/>
      <c r="K58" s="62"/>
      <c r="L58" s="150"/>
      <c r="M58" s="124"/>
      <c r="N58" s="49"/>
      <c r="O58" s="49"/>
      <c r="P58" s="49"/>
      <c r="Q58" s="49"/>
      <c r="R58" s="49"/>
      <c r="S58" s="62"/>
      <c r="T58" s="62"/>
      <c r="U58" s="62"/>
      <c r="V58" s="150"/>
      <c r="W58" s="124"/>
      <c r="X58" s="49"/>
      <c r="Y58" s="49"/>
      <c r="Z58" s="137"/>
      <c r="AA58" s="137"/>
      <c r="AB58" s="100"/>
      <c r="AC58" s="120"/>
      <c r="AD58" s="120"/>
      <c r="AE58" s="120"/>
      <c r="AF58" s="120"/>
      <c r="AG58" s="120"/>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62"/>
      <c r="BK58" s="62"/>
      <c r="BL58" s="62"/>
    </row>
    <row r="59" spans="1:64">
      <c r="A59" s="49"/>
      <c r="B59" s="49"/>
      <c r="C59" s="49"/>
      <c r="D59" s="49"/>
      <c r="E59" s="49"/>
      <c r="F59" s="49"/>
      <c r="G59" s="49"/>
      <c r="H59" s="49"/>
      <c r="I59" s="62"/>
      <c r="J59" s="62"/>
      <c r="K59" s="62"/>
      <c r="L59" s="150"/>
      <c r="M59" s="124"/>
      <c r="N59" s="49"/>
      <c r="O59" s="49"/>
      <c r="P59" s="49"/>
      <c r="Q59" s="49"/>
      <c r="R59" s="49"/>
      <c r="S59" s="62"/>
      <c r="T59" s="62"/>
      <c r="U59" s="62"/>
      <c r="V59" s="150"/>
      <c r="W59" s="124"/>
      <c r="X59" s="49"/>
      <c r="Y59" s="49"/>
      <c r="Z59" s="137"/>
      <c r="AA59" s="137"/>
      <c r="AB59" s="121"/>
      <c r="AC59" s="120"/>
      <c r="AD59" s="120"/>
      <c r="AE59" s="120"/>
      <c r="AF59" s="120"/>
      <c r="AG59" s="120"/>
      <c r="AH59" s="137"/>
      <c r="AI59" s="137"/>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62"/>
      <c r="BK59" s="62"/>
      <c r="BL59" s="62"/>
    </row>
    <row r="60" spans="1:64">
      <c r="A60" s="49"/>
      <c r="B60" s="49"/>
      <c r="C60" s="49"/>
      <c r="D60" s="49"/>
      <c r="E60" s="49"/>
      <c r="F60" s="49"/>
      <c r="G60" s="49"/>
      <c r="H60" s="49"/>
      <c r="I60" s="62"/>
      <c r="J60" s="62"/>
      <c r="K60" s="62"/>
      <c r="L60" s="150"/>
      <c r="M60" s="124"/>
      <c r="N60" s="49"/>
      <c r="O60" s="49"/>
      <c r="P60" s="49"/>
      <c r="Q60" s="49"/>
      <c r="R60" s="49"/>
      <c r="S60" s="62"/>
      <c r="T60" s="62"/>
      <c r="U60" s="62"/>
      <c r="V60" s="150"/>
      <c r="W60" s="124"/>
      <c r="X60" s="49"/>
      <c r="Y60" s="49"/>
      <c r="Z60" s="137"/>
      <c r="AA60" s="137"/>
      <c r="AB60" s="122"/>
      <c r="AC60" s="120"/>
      <c r="AD60" s="120"/>
      <c r="AE60" s="120"/>
      <c r="AF60" s="120"/>
      <c r="AG60" s="120"/>
      <c r="AH60" s="137"/>
      <c r="AI60" s="137"/>
      <c r="AJ60" s="49"/>
      <c r="AK60" s="49"/>
      <c r="AL60" s="49" t="s">
        <v>197</v>
      </c>
      <c r="AM60" s="49"/>
      <c r="AN60" s="49"/>
      <c r="AO60" s="49"/>
      <c r="AP60" s="49"/>
      <c r="AQ60" s="49"/>
      <c r="AR60" s="49"/>
      <c r="AS60" s="49"/>
      <c r="AT60" s="49" t="s">
        <v>1955</v>
      </c>
      <c r="AU60" s="49"/>
      <c r="AV60" s="49"/>
      <c r="AW60" s="49"/>
      <c r="AX60" s="49"/>
      <c r="AY60" s="49"/>
      <c r="AZ60" s="62"/>
      <c r="BA60" s="62"/>
      <c r="BB60" s="49" t="s">
        <v>203</v>
      </c>
      <c r="BC60" s="49"/>
      <c r="BD60" s="49"/>
      <c r="BE60" s="49"/>
      <c r="BF60" s="49"/>
      <c r="BG60" s="49"/>
      <c r="BH60" s="49"/>
      <c r="BI60" s="49"/>
      <c r="BJ60" s="62"/>
      <c r="BK60" s="62"/>
      <c r="BL60" s="62"/>
    </row>
    <row r="61" spans="1:64">
      <c r="A61" s="49"/>
      <c r="B61" s="49"/>
      <c r="C61" s="49"/>
      <c r="D61" s="49"/>
      <c r="E61" s="49"/>
      <c r="F61" s="49"/>
      <c r="G61" s="49"/>
      <c r="H61" s="49"/>
      <c r="I61" s="49"/>
      <c r="J61" s="49"/>
      <c r="K61" s="49"/>
      <c r="L61" s="49"/>
      <c r="M61" s="49"/>
      <c r="N61" s="49"/>
      <c r="O61" s="49"/>
      <c r="P61" s="49"/>
      <c r="Q61" s="49"/>
      <c r="R61" s="49"/>
      <c r="S61" s="49"/>
      <c r="T61" s="49"/>
      <c r="U61" s="49"/>
      <c r="V61" s="49"/>
      <c r="W61" s="124"/>
      <c r="X61" s="49"/>
      <c r="Y61" s="49"/>
      <c r="Z61" s="49"/>
      <c r="AA61" s="49"/>
      <c r="AB61" s="49"/>
      <c r="AC61" s="49"/>
      <c r="AD61" s="49"/>
      <c r="AE61" s="49"/>
      <c r="AF61" s="49"/>
      <c r="AG61" s="49"/>
      <c r="AH61" s="137"/>
      <c r="AI61" s="137"/>
      <c r="AJ61" s="49"/>
      <c r="AK61" s="49"/>
      <c r="AL61" s="52" t="s">
        <v>1107</v>
      </c>
      <c r="AM61" s="64"/>
      <c r="AN61" s="65" t="s">
        <v>243</v>
      </c>
      <c r="AO61" s="65" t="s">
        <v>244</v>
      </c>
      <c r="AP61" s="65" t="s">
        <v>1091</v>
      </c>
      <c r="AQ61" s="65" t="s">
        <v>1870</v>
      </c>
      <c r="AR61" s="49"/>
      <c r="AS61" s="49"/>
      <c r="AT61" s="52" t="s">
        <v>1107</v>
      </c>
      <c r="AU61" s="64"/>
      <c r="AV61" s="65" t="s">
        <v>243</v>
      </c>
      <c r="AW61" s="65" t="s">
        <v>244</v>
      </c>
      <c r="AX61" s="65" t="s">
        <v>1091</v>
      </c>
      <c r="AY61" s="65" t="s">
        <v>1870</v>
      </c>
      <c r="AZ61" s="150"/>
      <c r="BA61" s="124"/>
      <c r="BB61" s="52" t="s">
        <v>1107</v>
      </c>
      <c r="BC61" s="64"/>
      <c r="BD61" s="65" t="s">
        <v>243</v>
      </c>
      <c r="BE61" s="65" t="s">
        <v>244</v>
      </c>
      <c r="BF61" s="65" t="s">
        <v>1091</v>
      </c>
      <c r="BG61" s="65" t="s">
        <v>1870</v>
      </c>
      <c r="BH61" s="49"/>
      <c r="BI61" s="49"/>
      <c r="BJ61" s="62"/>
      <c r="BK61" s="62"/>
      <c r="BL61" s="62"/>
    </row>
    <row r="62" spans="1:64">
      <c r="A62" s="49"/>
      <c r="B62" s="49"/>
      <c r="C62" s="49"/>
      <c r="D62" s="49"/>
      <c r="E62" s="49"/>
      <c r="F62" s="49" t="s">
        <v>1956</v>
      </c>
      <c r="G62" s="49"/>
      <c r="H62" s="137" t="s">
        <v>1190</v>
      </c>
      <c r="I62" s="49"/>
      <c r="J62" s="49"/>
      <c r="K62" s="49"/>
      <c r="L62" s="49"/>
      <c r="M62" s="49"/>
      <c r="N62" s="49"/>
      <c r="O62" s="49"/>
      <c r="P62" s="49" t="s">
        <v>1957</v>
      </c>
      <c r="Q62" s="49"/>
      <c r="R62" s="49"/>
      <c r="S62" s="49"/>
      <c r="T62" s="49"/>
      <c r="U62" s="49"/>
      <c r="V62" s="49"/>
      <c r="W62" s="124"/>
      <c r="X62" s="49"/>
      <c r="Y62" s="49"/>
      <c r="Z62" s="49" t="s">
        <v>1958</v>
      </c>
      <c r="AA62" s="49"/>
      <c r="AB62" s="49"/>
      <c r="AC62" s="49"/>
      <c r="AD62" s="49"/>
      <c r="AE62" s="49"/>
      <c r="AF62" s="49"/>
      <c r="AG62" s="49"/>
      <c r="AH62" s="137"/>
      <c r="AI62" s="137"/>
      <c r="AJ62" s="49"/>
      <c r="AK62" s="49"/>
      <c r="AL62" s="322" t="s">
        <v>1117</v>
      </c>
      <c r="AM62" s="61"/>
      <c r="AN62" s="310">
        <v>1</v>
      </c>
      <c r="AO62" s="62">
        <v>1200</v>
      </c>
      <c r="AP62" s="150">
        <v>10000</v>
      </c>
      <c r="AQ62" s="83">
        <v>25</v>
      </c>
      <c r="AR62" s="49"/>
      <c r="AS62" s="49"/>
      <c r="AT62" s="322" t="s">
        <v>1117</v>
      </c>
      <c r="AU62" s="61"/>
      <c r="AV62" s="310">
        <v>1</v>
      </c>
      <c r="AW62" s="62">
        <v>1200</v>
      </c>
      <c r="AX62" s="150"/>
      <c r="AY62" s="83">
        <v>25</v>
      </c>
      <c r="AZ62" s="150"/>
      <c r="BA62" s="124"/>
      <c r="BB62" s="322" t="s">
        <v>1117</v>
      </c>
      <c r="BC62" s="61"/>
      <c r="BD62" s="302">
        <v>1</v>
      </c>
      <c r="BE62" s="62">
        <v>1200</v>
      </c>
      <c r="BF62" s="150">
        <v>10000</v>
      </c>
      <c r="BG62" s="83">
        <v>25</v>
      </c>
      <c r="BH62" s="49"/>
      <c r="BI62" s="49"/>
      <c r="BJ62" s="62"/>
      <c r="BK62" s="62"/>
      <c r="BL62" s="62"/>
    </row>
    <row r="63" spans="1:64">
      <c r="A63" s="49"/>
      <c r="B63" s="49"/>
      <c r="C63" s="49"/>
      <c r="D63" s="49"/>
      <c r="E63" s="49"/>
      <c r="F63" s="52" t="s">
        <v>1099</v>
      </c>
      <c r="G63" s="64"/>
      <c r="H63" s="108" t="s">
        <v>243</v>
      </c>
      <c r="I63" s="65" t="s">
        <v>244</v>
      </c>
      <c r="J63" s="65" t="s">
        <v>245</v>
      </c>
      <c r="K63" s="65" t="s">
        <v>250</v>
      </c>
      <c r="L63" s="65" t="s">
        <v>1091</v>
      </c>
      <c r="M63" s="65" t="s">
        <v>1870</v>
      </c>
      <c r="N63" s="49"/>
      <c r="O63" s="49"/>
      <c r="P63" s="52" t="s">
        <v>1959</v>
      </c>
      <c r="Q63" s="64"/>
      <c r="R63" s="108" t="s">
        <v>243</v>
      </c>
      <c r="S63" s="65" t="s">
        <v>244</v>
      </c>
      <c r="T63" s="65" t="s">
        <v>1638</v>
      </c>
      <c r="U63" s="65" t="s">
        <v>1091</v>
      </c>
      <c r="V63" s="65" t="s">
        <v>1870</v>
      </c>
      <c r="W63" s="124"/>
      <c r="X63" s="49"/>
      <c r="Y63" s="49"/>
      <c r="Z63" s="52" t="s">
        <v>1960</v>
      </c>
      <c r="AA63" s="64"/>
      <c r="AB63" s="108" t="s">
        <v>243</v>
      </c>
      <c r="AC63" s="65" t="s">
        <v>244</v>
      </c>
      <c r="AD63" s="65" t="s">
        <v>1638</v>
      </c>
      <c r="AE63" s="65" t="s">
        <v>1091</v>
      </c>
      <c r="AF63" s="65" t="s">
        <v>1870</v>
      </c>
      <c r="AG63" s="49"/>
      <c r="AH63" s="137"/>
      <c r="AI63" s="137"/>
      <c r="AJ63" s="49"/>
      <c r="AK63" s="49"/>
      <c r="AL63" s="49" t="s">
        <v>1920</v>
      </c>
      <c r="AM63" s="56"/>
      <c r="AN63" s="310">
        <v>2</v>
      </c>
      <c r="AO63" s="62">
        <v>1400</v>
      </c>
      <c r="AP63" s="150">
        <v>25000</v>
      </c>
      <c r="AQ63" s="83">
        <v>30</v>
      </c>
      <c r="AR63" s="49"/>
      <c r="AS63" s="49"/>
      <c r="AT63" s="49" t="s">
        <v>1920</v>
      </c>
      <c r="AU63" s="56"/>
      <c r="AV63" s="302">
        <v>2</v>
      </c>
      <c r="AW63" s="62">
        <v>1400</v>
      </c>
      <c r="AX63" s="150">
        <v>25000</v>
      </c>
      <c r="AY63" s="83">
        <v>30</v>
      </c>
      <c r="AZ63" s="150"/>
      <c r="BA63" s="124"/>
      <c r="BB63" s="49" t="s">
        <v>1920</v>
      </c>
      <c r="BC63" s="56"/>
      <c r="BD63" s="302">
        <v>2</v>
      </c>
      <c r="BE63" s="62">
        <v>1400</v>
      </c>
      <c r="BF63" s="150">
        <v>25000</v>
      </c>
      <c r="BG63" s="83">
        <v>30</v>
      </c>
      <c r="BH63" s="49"/>
      <c r="BI63" s="49"/>
      <c r="BJ63" s="62"/>
      <c r="BK63" s="62"/>
      <c r="BL63" s="62"/>
    </row>
    <row r="64" spans="1:64">
      <c r="A64" s="49"/>
      <c r="B64" s="49"/>
      <c r="C64" s="49"/>
      <c r="D64" s="49"/>
      <c r="E64" s="49"/>
      <c r="F64" s="49" t="s">
        <v>1961</v>
      </c>
      <c r="G64" s="56"/>
      <c r="H64" s="310">
        <v>1</v>
      </c>
      <c r="I64" s="62">
        <v>4800</v>
      </c>
      <c r="J64" s="62">
        <v>170</v>
      </c>
      <c r="K64" s="62">
        <f>J64*4</f>
        <v>680</v>
      </c>
      <c r="L64" s="150">
        <v>20000</v>
      </c>
      <c r="M64" s="83">
        <v>400</v>
      </c>
      <c r="N64" s="49"/>
      <c r="O64" s="49"/>
      <c r="P64" s="49" t="s">
        <v>1962</v>
      </c>
      <c r="Q64" s="56"/>
      <c r="R64" s="310">
        <v>1</v>
      </c>
      <c r="S64" s="62">
        <v>800</v>
      </c>
      <c r="T64" s="62">
        <v>1</v>
      </c>
      <c r="U64" s="120">
        <v>7500</v>
      </c>
      <c r="V64" s="83">
        <v>110</v>
      </c>
      <c r="W64" s="49"/>
      <c r="X64" s="49"/>
      <c r="Y64" s="49"/>
      <c r="Z64" s="49" t="s">
        <v>1962</v>
      </c>
      <c r="AA64" s="56"/>
      <c r="AB64" s="310">
        <v>1</v>
      </c>
      <c r="AC64" s="62">
        <v>800</v>
      </c>
      <c r="AD64" s="62">
        <v>1</v>
      </c>
      <c r="AE64" s="316">
        <v>9000</v>
      </c>
      <c r="AF64" s="83">
        <v>160</v>
      </c>
      <c r="AG64" s="49"/>
      <c r="AH64" s="137"/>
      <c r="AI64" s="137"/>
      <c r="AJ64" s="49"/>
      <c r="AK64" s="49"/>
      <c r="AL64" s="49" t="s">
        <v>173</v>
      </c>
      <c r="AM64" s="56"/>
      <c r="AN64" s="302">
        <v>3</v>
      </c>
      <c r="AO64" s="62">
        <v>1600</v>
      </c>
      <c r="AP64" s="150">
        <v>100000</v>
      </c>
      <c r="AQ64" s="83">
        <v>35</v>
      </c>
      <c r="AR64" s="49"/>
      <c r="AS64" s="49"/>
      <c r="AT64" s="49" t="s">
        <v>174</v>
      </c>
      <c r="AU64" s="56"/>
      <c r="AV64" s="312">
        <v>3</v>
      </c>
      <c r="AW64" s="62">
        <v>1600</v>
      </c>
      <c r="AX64" s="150">
        <v>100000</v>
      </c>
      <c r="AY64" s="83">
        <v>35</v>
      </c>
      <c r="AZ64" s="150"/>
      <c r="BA64" s="124"/>
      <c r="BB64" s="49" t="s">
        <v>174</v>
      </c>
      <c r="BC64" s="56"/>
      <c r="BD64" s="312">
        <v>3</v>
      </c>
      <c r="BE64" s="62">
        <v>1600</v>
      </c>
      <c r="BF64" s="150">
        <v>100000</v>
      </c>
      <c r="BG64" s="83">
        <v>35</v>
      </c>
      <c r="BH64" s="49"/>
      <c r="BI64" s="49"/>
      <c r="BJ64" s="62"/>
      <c r="BK64" s="62"/>
      <c r="BL64" s="62"/>
    </row>
    <row r="65" spans="1:64">
      <c r="A65" s="49"/>
      <c r="B65" s="49"/>
      <c r="C65" s="49"/>
      <c r="D65" s="49"/>
      <c r="E65" s="49"/>
      <c r="F65" s="49"/>
      <c r="G65" s="56"/>
      <c r="H65" s="302">
        <v>2</v>
      </c>
      <c r="I65" s="62">
        <v>5400</v>
      </c>
      <c r="J65" s="62">
        <v>190</v>
      </c>
      <c r="K65" s="62">
        <f t="shared" ref="K65:K68" si="11">J65*4</f>
        <v>760</v>
      </c>
      <c r="L65" s="150">
        <v>40000</v>
      </c>
      <c r="M65" s="83">
        <v>425</v>
      </c>
      <c r="N65" s="49"/>
      <c r="O65" s="49"/>
      <c r="P65" s="331" t="s">
        <v>1643</v>
      </c>
      <c r="Q65" s="61"/>
      <c r="R65" s="302">
        <v>2</v>
      </c>
      <c r="S65" s="62">
        <v>920</v>
      </c>
      <c r="T65" s="62">
        <v>2</v>
      </c>
      <c r="U65" s="150">
        <v>15000</v>
      </c>
      <c r="V65" s="83">
        <v>120</v>
      </c>
      <c r="W65" s="49"/>
      <c r="X65" s="49"/>
      <c r="Y65" s="49"/>
      <c r="Z65" s="331" t="s">
        <v>1643</v>
      </c>
      <c r="AA65" s="61"/>
      <c r="AB65" s="302">
        <v>2</v>
      </c>
      <c r="AC65" s="62">
        <v>920</v>
      </c>
      <c r="AD65" s="62">
        <v>2</v>
      </c>
      <c r="AE65" s="316">
        <v>18000</v>
      </c>
      <c r="AF65" s="83">
        <v>180</v>
      </c>
      <c r="AG65" s="49"/>
      <c r="AH65" s="137"/>
      <c r="AI65" s="137"/>
      <c r="AJ65" s="49"/>
      <c r="AK65" s="49"/>
      <c r="AL65" s="49"/>
      <c r="AM65" s="56"/>
      <c r="AN65" s="303">
        <v>4</v>
      </c>
      <c r="AO65" s="62">
        <v>1800</v>
      </c>
      <c r="AP65" s="150">
        <v>250000</v>
      </c>
      <c r="AQ65" s="83">
        <v>40</v>
      </c>
      <c r="AR65" s="49"/>
      <c r="AS65" s="49"/>
      <c r="AT65" s="49"/>
      <c r="AU65" s="56"/>
      <c r="AV65" s="303">
        <v>4</v>
      </c>
      <c r="AW65" s="62">
        <v>1800</v>
      </c>
      <c r="AX65" s="150">
        <v>250000</v>
      </c>
      <c r="AY65" s="83">
        <v>40</v>
      </c>
      <c r="AZ65" s="150"/>
      <c r="BA65" s="124"/>
      <c r="BB65" s="49"/>
      <c r="BC65" s="56"/>
      <c r="BD65" s="303">
        <v>4</v>
      </c>
      <c r="BE65" s="62">
        <v>1800</v>
      </c>
      <c r="BF65" s="150">
        <v>250000</v>
      </c>
      <c r="BG65" s="83">
        <v>40</v>
      </c>
      <c r="BH65" s="49"/>
      <c r="BI65" s="49"/>
      <c r="BJ65" s="62"/>
      <c r="BK65" s="62"/>
      <c r="BL65" s="62"/>
    </row>
    <row r="66" spans="1:64">
      <c r="A66" s="49"/>
      <c r="B66" s="49"/>
      <c r="C66" s="49"/>
      <c r="D66" s="49"/>
      <c r="E66" s="49"/>
      <c r="F66" s="60" t="s">
        <v>1695</v>
      </c>
      <c r="G66" s="61"/>
      <c r="H66" s="312">
        <v>3</v>
      </c>
      <c r="I66" s="62">
        <v>6000</v>
      </c>
      <c r="J66" s="62">
        <v>210</v>
      </c>
      <c r="K66" s="62">
        <f t="shared" si="11"/>
        <v>840</v>
      </c>
      <c r="L66" s="150">
        <v>80000</v>
      </c>
      <c r="M66" s="83">
        <v>450</v>
      </c>
      <c r="N66" s="49"/>
      <c r="O66" s="49"/>
      <c r="P66" s="49" t="s">
        <v>1107</v>
      </c>
      <c r="Q66" s="64"/>
      <c r="R66" s="312">
        <v>3</v>
      </c>
      <c r="S66" s="62">
        <v>1065</v>
      </c>
      <c r="T66" s="62">
        <v>3</v>
      </c>
      <c r="U66" s="150">
        <v>30000</v>
      </c>
      <c r="V66" s="83">
        <v>130</v>
      </c>
      <c r="W66" s="49"/>
      <c r="X66" s="49"/>
      <c r="Y66" s="49"/>
      <c r="Z66" s="49" t="s">
        <v>1107</v>
      </c>
      <c r="AA66" s="64"/>
      <c r="AB66" s="312">
        <v>3</v>
      </c>
      <c r="AC66" s="62">
        <v>1065</v>
      </c>
      <c r="AD66" s="62">
        <v>3</v>
      </c>
      <c r="AE66" s="316">
        <v>36000</v>
      </c>
      <c r="AF66" s="83">
        <v>200</v>
      </c>
      <c r="AG66" s="49"/>
      <c r="AH66" s="150"/>
      <c r="AI66" s="149"/>
      <c r="AJ66" s="49"/>
      <c r="AK66" s="49"/>
      <c r="AL66" s="49"/>
      <c r="AM66" s="56"/>
      <c r="AN66" s="313">
        <v>5</v>
      </c>
      <c r="AO66" s="62">
        <v>2000</v>
      </c>
      <c r="AP66" s="150">
        <v>500000</v>
      </c>
      <c r="AQ66" s="83">
        <v>45</v>
      </c>
      <c r="AR66" s="49"/>
      <c r="AS66" s="49"/>
      <c r="AT66" s="49"/>
      <c r="AU66" s="56"/>
      <c r="AV66" s="313">
        <v>5</v>
      </c>
      <c r="AW66" s="62">
        <v>2000</v>
      </c>
      <c r="AX66" s="150">
        <v>500000</v>
      </c>
      <c r="AY66" s="83">
        <v>45</v>
      </c>
      <c r="AZ66" s="150"/>
      <c r="BA66" s="124"/>
      <c r="BB66" s="49"/>
      <c r="BC66" s="56"/>
      <c r="BD66" s="313">
        <v>5</v>
      </c>
      <c r="BE66" s="62">
        <v>2000</v>
      </c>
      <c r="BF66" s="150">
        <v>500000</v>
      </c>
      <c r="BG66" s="83">
        <v>45</v>
      </c>
      <c r="BH66" s="49"/>
      <c r="BI66" s="49"/>
      <c r="BJ66" s="62"/>
      <c r="BK66" s="62"/>
      <c r="BL66" s="62"/>
    </row>
    <row r="67" spans="1:64">
      <c r="A67" s="49"/>
      <c r="B67" s="49"/>
      <c r="C67" s="49"/>
      <c r="D67" s="49"/>
      <c r="E67" s="49"/>
      <c r="F67" s="54" t="s">
        <v>1963</v>
      </c>
      <c r="G67" s="56"/>
      <c r="H67" s="303">
        <v>4</v>
      </c>
      <c r="I67" s="62">
        <v>6600</v>
      </c>
      <c r="J67" s="62">
        <v>230</v>
      </c>
      <c r="K67" s="62">
        <f t="shared" si="11"/>
        <v>920</v>
      </c>
      <c r="L67" s="150">
        <v>133000</v>
      </c>
      <c r="M67" s="83">
        <v>475</v>
      </c>
      <c r="N67" s="49"/>
      <c r="O67" s="49"/>
      <c r="P67" s="54" t="s">
        <v>1117</v>
      </c>
      <c r="Q67" s="56"/>
      <c r="R67" s="303">
        <v>4</v>
      </c>
      <c r="S67" s="62">
        <v>1225</v>
      </c>
      <c r="T67" s="62">
        <v>4</v>
      </c>
      <c r="U67" s="150">
        <v>48000</v>
      </c>
      <c r="V67" s="83">
        <v>140</v>
      </c>
      <c r="W67" s="49"/>
      <c r="X67" s="49"/>
      <c r="Y67" s="49"/>
      <c r="Z67" s="54" t="s">
        <v>1117</v>
      </c>
      <c r="AA67" s="56"/>
      <c r="AB67" s="303">
        <v>4</v>
      </c>
      <c r="AC67" s="62">
        <v>1225</v>
      </c>
      <c r="AD67" s="62">
        <v>4</v>
      </c>
      <c r="AE67" s="316">
        <v>57000</v>
      </c>
      <c r="AF67" s="83">
        <v>220</v>
      </c>
      <c r="AG67" s="49"/>
      <c r="AH67" s="150"/>
      <c r="AI67" s="149"/>
      <c r="AJ67" s="49"/>
      <c r="AK67" s="49"/>
      <c r="AL67" s="49"/>
      <c r="AM67" s="49"/>
      <c r="AN67" s="278"/>
      <c r="AO67" s="62"/>
      <c r="AP67" s="150"/>
      <c r="AQ67" s="124"/>
      <c r="AR67" s="49"/>
      <c r="AS67" s="49"/>
      <c r="AT67" s="49"/>
      <c r="AU67" s="49"/>
      <c r="AV67" s="49"/>
      <c r="AW67" s="49"/>
      <c r="AX67" s="278"/>
      <c r="AY67" s="62"/>
      <c r="AZ67" s="150"/>
      <c r="BA67" s="124"/>
      <c r="BB67" s="49"/>
      <c r="BC67" s="49"/>
      <c r="BD67" s="49"/>
      <c r="BE67" s="49"/>
      <c r="BF67" s="49"/>
      <c r="BG67" s="49"/>
      <c r="BH67" s="49"/>
      <c r="BI67" s="49"/>
      <c r="BJ67" s="62"/>
      <c r="BK67" s="62"/>
      <c r="BL67" s="62"/>
    </row>
    <row r="68" spans="1:64">
      <c r="A68" s="49"/>
      <c r="B68" s="49"/>
      <c r="C68" s="49"/>
      <c r="D68" s="49"/>
      <c r="E68" s="49"/>
      <c r="F68" s="49" t="s">
        <v>1088</v>
      </c>
      <c r="G68" s="56"/>
      <c r="H68" s="313">
        <v>5</v>
      </c>
      <c r="I68" s="62">
        <v>7200</v>
      </c>
      <c r="J68" s="62">
        <v>250</v>
      </c>
      <c r="K68" s="62">
        <f t="shared" si="11"/>
        <v>1000</v>
      </c>
      <c r="L68" s="150">
        <v>205000</v>
      </c>
      <c r="M68" s="83">
        <v>500</v>
      </c>
      <c r="N68" s="49"/>
      <c r="O68" s="49"/>
      <c r="P68" s="49"/>
      <c r="Q68" s="56"/>
      <c r="R68" s="313">
        <v>5</v>
      </c>
      <c r="S68" s="62">
        <v>1400</v>
      </c>
      <c r="T68" s="62">
        <v>5</v>
      </c>
      <c r="U68" s="150">
        <v>80000</v>
      </c>
      <c r="V68" s="83">
        <v>150</v>
      </c>
      <c r="W68" s="49"/>
      <c r="X68" s="49"/>
      <c r="Y68" s="49"/>
      <c r="Z68" s="49"/>
      <c r="AA68" s="56"/>
      <c r="AB68" s="313">
        <v>5</v>
      </c>
      <c r="AC68" s="62">
        <v>1400</v>
      </c>
      <c r="AD68" s="62">
        <v>5</v>
      </c>
      <c r="AE68" s="316">
        <v>95000</v>
      </c>
      <c r="AF68" s="83">
        <v>240</v>
      </c>
      <c r="AG68" s="49"/>
      <c r="AH68" s="150"/>
      <c r="AI68" s="149"/>
      <c r="AJ68" s="49"/>
      <c r="AK68" s="49"/>
      <c r="AL68" s="49"/>
      <c r="AM68" s="49"/>
      <c r="AN68" s="279"/>
      <c r="AO68" s="62"/>
      <c r="AP68" s="150"/>
      <c r="AQ68" s="124"/>
      <c r="AR68" s="49"/>
      <c r="AS68" s="49"/>
      <c r="AT68" s="49"/>
      <c r="AU68" s="49"/>
      <c r="AV68" s="49"/>
      <c r="AW68" s="49"/>
      <c r="AX68" s="279"/>
      <c r="AY68" s="62"/>
      <c r="AZ68" s="150"/>
      <c r="BA68" s="124"/>
      <c r="BB68" s="49"/>
      <c r="BC68" s="49"/>
      <c r="BD68" s="49"/>
      <c r="BE68" s="49"/>
      <c r="BF68" s="49"/>
      <c r="BG68" s="49"/>
      <c r="BH68" s="49"/>
      <c r="BI68" s="49"/>
      <c r="BJ68" s="62"/>
      <c r="BK68" s="62"/>
      <c r="BL68" s="62"/>
    </row>
    <row r="69" spans="1:64">
      <c r="A69" s="49"/>
      <c r="B69" s="49"/>
      <c r="C69" s="49"/>
      <c r="D69" s="49"/>
      <c r="E69" s="49"/>
      <c r="F69" s="54" t="s">
        <v>1106</v>
      </c>
      <c r="G69" s="56"/>
      <c r="H69" s="90"/>
      <c r="I69" s="62"/>
      <c r="J69" s="62"/>
      <c r="K69" s="62"/>
      <c r="L69" s="150"/>
      <c r="M69" s="49"/>
      <c r="N69" s="49"/>
      <c r="O69" s="49"/>
      <c r="P69" s="49"/>
      <c r="Q69" s="49"/>
      <c r="R69" s="279"/>
      <c r="S69" s="62"/>
      <c r="T69" s="62"/>
      <c r="U69" s="62"/>
      <c r="V69" s="150"/>
      <c r="W69" s="124"/>
      <c r="X69" s="49"/>
      <c r="Y69" s="49"/>
      <c r="Z69" s="49"/>
      <c r="AA69" s="49"/>
      <c r="AB69" s="280"/>
      <c r="AC69" s="62"/>
      <c r="AD69" s="62"/>
      <c r="AE69" s="62"/>
      <c r="AF69" s="150"/>
      <c r="AG69" s="49"/>
      <c r="AH69" s="150"/>
      <c r="AI69" s="149"/>
      <c r="AJ69" s="49"/>
      <c r="AK69" s="49"/>
      <c r="AL69" s="49"/>
      <c r="AM69" s="49"/>
      <c r="AN69" s="280"/>
      <c r="AO69" s="62"/>
      <c r="AP69" s="150"/>
      <c r="AQ69" s="124"/>
      <c r="AR69" s="49"/>
      <c r="AS69" s="49"/>
      <c r="AT69" s="49"/>
      <c r="AU69" s="49"/>
      <c r="AV69" s="49"/>
      <c r="AW69" s="49"/>
      <c r="AX69" s="280"/>
      <c r="AY69" s="62"/>
      <c r="AZ69" s="150"/>
      <c r="BA69" s="124"/>
      <c r="BB69" s="49"/>
      <c r="BC69" s="49"/>
      <c r="BD69" s="49"/>
      <c r="BE69" s="49"/>
      <c r="BF69" s="49"/>
      <c r="BG69" s="49"/>
      <c r="BH69" s="49"/>
      <c r="BI69" s="49"/>
      <c r="BJ69" s="62"/>
      <c r="BK69" s="62"/>
      <c r="BL69" s="62"/>
    </row>
    <row r="70" spans="1:64">
      <c r="A70" s="49"/>
      <c r="B70" s="49"/>
      <c r="C70" s="49"/>
      <c r="D70" s="49"/>
      <c r="E70" s="49"/>
      <c r="F70" s="49"/>
      <c r="G70" s="118"/>
      <c r="H70" s="278"/>
      <c r="I70" s="62"/>
      <c r="J70" s="62"/>
      <c r="K70" s="150"/>
      <c r="L70" s="49"/>
      <c r="M70" s="49"/>
      <c r="N70" s="49"/>
      <c r="O70" s="49"/>
      <c r="P70" s="49"/>
      <c r="Q70" s="49"/>
      <c r="R70" s="279"/>
      <c r="S70" s="62"/>
      <c r="T70" s="62"/>
      <c r="U70" s="62"/>
      <c r="V70" s="150"/>
      <c r="W70" s="124"/>
      <c r="X70" s="49"/>
      <c r="Y70" s="49"/>
      <c r="Z70" s="49"/>
      <c r="AA70" s="49"/>
      <c r="AB70" s="280"/>
      <c r="AC70" s="62"/>
      <c r="AD70" s="62"/>
      <c r="AE70" s="62"/>
      <c r="AF70" s="150"/>
      <c r="AG70" s="49"/>
      <c r="AH70" s="49"/>
      <c r="AI70" s="49"/>
      <c r="AJ70" s="49"/>
      <c r="AK70" s="49"/>
      <c r="AL70" s="49" t="s">
        <v>192</v>
      </c>
      <c r="AM70" s="49"/>
      <c r="AN70" s="49"/>
      <c r="AO70" s="49"/>
      <c r="AP70" s="49"/>
      <c r="AQ70" s="49"/>
      <c r="AR70" s="49"/>
      <c r="AS70" s="49"/>
      <c r="AT70" s="49" t="s">
        <v>206</v>
      </c>
      <c r="AU70" s="49"/>
      <c r="AV70" s="49"/>
      <c r="AW70" s="49"/>
      <c r="AX70" s="49"/>
      <c r="AY70" s="49"/>
      <c r="AZ70" s="49"/>
      <c r="BA70" s="49"/>
      <c r="BB70" s="49" t="s">
        <v>211</v>
      </c>
      <c r="BC70" s="49"/>
      <c r="BD70" s="49"/>
      <c r="BE70" s="49"/>
      <c r="BF70" s="49"/>
      <c r="BG70" s="49"/>
      <c r="BH70" s="49"/>
      <c r="BI70" s="49"/>
      <c r="BJ70" s="62"/>
      <c r="BK70" s="62"/>
      <c r="BL70" s="62"/>
    </row>
    <row r="71" spans="1:64">
      <c r="A71" s="49"/>
      <c r="B71" s="49"/>
      <c r="C71" s="49"/>
      <c r="D71" s="49"/>
      <c r="E71" s="49"/>
      <c r="F71" s="49"/>
      <c r="G71" s="118"/>
      <c r="H71" s="279"/>
      <c r="I71" s="62"/>
      <c r="J71" s="62"/>
      <c r="K71" s="150"/>
      <c r="L71" s="49"/>
      <c r="M71" s="49"/>
      <c r="N71" s="49"/>
      <c r="O71" s="49"/>
      <c r="P71" s="49"/>
      <c r="Q71" s="49"/>
      <c r="R71" s="279"/>
      <c r="S71" s="62"/>
      <c r="T71" s="62"/>
      <c r="U71" s="62"/>
      <c r="V71" s="150"/>
      <c r="W71" s="124"/>
      <c r="X71" s="49"/>
      <c r="Y71" s="49"/>
      <c r="Z71" s="49"/>
      <c r="AA71" s="49"/>
      <c r="AB71" s="280"/>
      <c r="AC71" s="62"/>
      <c r="AD71" s="62"/>
      <c r="AE71" s="62"/>
      <c r="AF71" s="150"/>
      <c r="AG71" s="49"/>
      <c r="AH71" s="49"/>
      <c r="AI71" s="49"/>
      <c r="AJ71" s="49"/>
      <c r="AK71" s="49"/>
      <c r="AL71" s="52" t="s">
        <v>1107</v>
      </c>
      <c r="AM71" s="64"/>
      <c r="AN71" s="65" t="s">
        <v>243</v>
      </c>
      <c r="AO71" s="65" t="s">
        <v>244</v>
      </c>
      <c r="AP71" s="65" t="s">
        <v>1091</v>
      </c>
      <c r="AQ71" s="65" t="s">
        <v>1870</v>
      </c>
      <c r="AR71" s="49"/>
      <c r="AS71" s="49"/>
      <c r="AT71" s="52" t="s">
        <v>1107</v>
      </c>
      <c r="AU71" s="64"/>
      <c r="AV71" s="65" t="s">
        <v>243</v>
      </c>
      <c r="AW71" s="65" t="s">
        <v>244</v>
      </c>
      <c r="AX71" s="65" t="s">
        <v>1091</v>
      </c>
      <c r="AY71" s="65" t="s">
        <v>1870</v>
      </c>
      <c r="AZ71" s="49"/>
      <c r="BA71" s="49"/>
      <c r="BB71" s="52" t="s">
        <v>1107</v>
      </c>
      <c r="BC71" s="64"/>
      <c r="BD71" s="65" t="s">
        <v>243</v>
      </c>
      <c r="BE71" s="65" t="s">
        <v>244</v>
      </c>
      <c r="BF71" s="65" t="s">
        <v>1091</v>
      </c>
      <c r="BG71" s="65" t="s">
        <v>1870</v>
      </c>
      <c r="BH71" s="49"/>
      <c r="BI71" s="49"/>
      <c r="BJ71" s="62"/>
      <c r="BK71" s="62"/>
      <c r="BL71" s="62"/>
    </row>
    <row r="72" spans="1:64">
      <c r="A72" s="49"/>
      <c r="B72" s="49"/>
      <c r="C72" s="49"/>
      <c r="D72" s="49"/>
      <c r="E72" s="49"/>
      <c r="F72" s="49"/>
      <c r="G72" s="49"/>
      <c r="H72" s="280"/>
      <c r="I72" s="62"/>
      <c r="J72" s="62"/>
      <c r="K72" s="150"/>
      <c r="L72" s="49"/>
      <c r="M72" s="49"/>
      <c r="N72" s="49"/>
      <c r="O72" s="49"/>
      <c r="P72" s="49"/>
      <c r="Q72" s="49"/>
      <c r="R72" s="280"/>
      <c r="S72" s="62"/>
      <c r="T72" s="62"/>
      <c r="U72" s="62"/>
      <c r="V72" s="150"/>
      <c r="W72" s="124"/>
      <c r="X72" s="49"/>
      <c r="Y72" s="49"/>
      <c r="Z72" s="49"/>
      <c r="AA72" s="49"/>
      <c r="AB72" s="280"/>
      <c r="AC72" s="62"/>
      <c r="AD72" s="62"/>
      <c r="AE72" s="62"/>
      <c r="AF72" s="150"/>
      <c r="AG72" s="49"/>
      <c r="AH72" s="49"/>
      <c r="AI72" s="49"/>
      <c r="AJ72" s="49"/>
      <c r="AK72" s="49"/>
      <c r="AL72" s="322" t="s">
        <v>1117</v>
      </c>
      <c r="AM72" s="61"/>
      <c r="AN72" s="302">
        <v>1</v>
      </c>
      <c r="AO72" s="62">
        <v>1200</v>
      </c>
      <c r="AP72" s="150"/>
      <c r="AQ72" s="83">
        <v>25</v>
      </c>
      <c r="AR72" s="49"/>
      <c r="AS72" s="49"/>
      <c r="AT72" s="322" t="s">
        <v>1117</v>
      </c>
      <c r="AU72" s="61"/>
      <c r="AV72" s="299">
        <v>1</v>
      </c>
      <c r="AW72" s="62">
        <v>1000</v>
      </c>
      <c r="AX72" s="150"/>
      <c r="AY72" s="83">
        <v>25</v>
      </c>
      <c r="AZ72" s="49"/>
      <c r="BA72" s="49"/>
      <c r="BB72" s="322" t="s">
        <v>1117</v>
      </c>
      <c r="BC72" s="61"/>
      <c r="BD72" s="309">
        <v>1</v>
      </c>
      <c r="BE72" s="62">
        <v>1000</v>
      </c>
      <c r="BF72" s="150">
        <v>10000</v>
      </c>
      <c r="BG72" s="83">
        <v>25</v>
      </c>
      <c r="BH72" s="49"/>
      <c r="BI72" s="49"/>
      <c r="BJ72" s="62"/>
      <c r="BK72" s="62"/>
      <c r="BL72" s="62"/>
    </row>
    <row r="73" spans="1:64">
      <c r="A73" s="49"/>
      <c r="B73" s="49"/>
      <c r="C73" s="49"/>
      <c r="D73" s="49"/>
      <c r="E73" s="49"/>
      <c r="F73" s="49" t="s">
        <v>1964</v>
      </c>
      <c r="G73" s="49"/>
      <c r="H73" s="49"/>
      <c r="I73" s="49"/>
      <c r="J73" s="49"/>
      <c r="K73" s="49"/>
      <c r="L73" s="49"/>
      <c r="M73" s="49"/>
      <c r="N73" s="49"/>
      <c r="O73" s="49"/>
      <c r="P73" s="49" t="s">
        <v>189</v>
      </c>
      <c r="Q73" s="49"/>
      <c r="R73" s="49"/>
      <c r="S73" s="49"/>
      <c r="T73" s="49"/>
      <c r="U73" s="49"/>
      <c r="V73" s="49"/>
      <c r="W73" s="49"/>
      <c r="X73" s="49"/>
      <c r="Y73" s="49"/>
      <c r="Z73" s="49" t="s">
        <v>193</v>
      </c>
      <c r="AA73" s="49"/>
      <c r="AB73" s="49"/>
      <c r="AC73" s="49"/>
      <c r="AD73" s="49"/>
      <c r="AE73" s="49"/>
      <c r="AF73" s="49"/>
      <c r="AG73" s="49"/>
      <c r="AH73" s="49"/>
      <c r="AI73" s="49"/>
      <c r="AJ73" s="49"/>
      <c r="AK73" s="49"/>
      <c r="AL73" s="49" t="s">
        <v>1920</v>
      </c>
      <c r="AM73" s="56"/>
      <c r="AN73" s="302">
        <v>2</v>
      </c>
      <c r="AO73" s="62">
        <v>1400</v>
      </c>
      <c r="AP73" s="150">
        <v>50000</v>
      </c>
      <c r="AQ73" s="83">
        <v>30</v>
      </c>
      <c r="AR73" s="49"/>
      <c r="AS73" s="49"/>
      <c r="AT73" s="49" t="s">
        <v>1920</v>
      </c>
      <c r="AU73" s="56"/>
      <c r="AV73" s="309">
        <v>2</v>
      </c>
      <c r="AW73" s="62">
        <v>1150</v>
      </c>
      <c r="AX73" s="150">
        <v>25000</v>
      </c>
      <c r="AY73" s="83">
        <v>30</v>
      </c>
      <c r="AZ73" s="49"/>
      <c r="BA73" s="49"/>
      <c r="BB73" s="49" t="s">
        <v>1920</v>
      </c>
      <c r="BC73" s="56"/>
      <c r="BD73" s="309">
        <v>2</v>
      </c>
      <c r="BE73" s="62">
        <v>1150</v>
      </c>
      <c r="BF73" s="150">
        <v>20000</v>
      </c>
      <c r="BG73" s="83">
        <v>30</v>
      </c>
      <c r="BH73" s="49"/>
      <c r="BI73" s="49"/>
      <c r="BJ73" s="62"/>
      <c r="BK73" s="62"/>
      <c r="BL73" s="62"/>
    </row>
    <row r="74" spans="1:64">
      <c r="A74" s="49"/>
      <c r="B74" s="49"/>
      <c r="C74" s="49"/>
      <c r="D74" s="49"/>
      <c r="E74" s="49"/>
      <c r="F74" s="52" t="s">
        <v>1965</v>
      </c>
      <c r="G74" s="64"/>
      <c r="H74" s="108" t="s">
        <v>243</v>
      </c>
      <c r="I74" s="65" t="s">
        <v>244</v>
      </c>
      <c r="J74" s="65" t="s">
        <v>1638</v>
      </c>
      <c r="K74" s="65" t="s">
        <v>1091</v>
      </c>
      <c r="L74" s="65" t="s">
        <v>1870</v>
      </c>
      <c r="M74" s="49"/>
      <c r="N74" s="49"/>
      <c r="O74" s="49"/>
      <c r="P74" s="52" t="s">
        <v>1102</v>
      </c>
      <c r="Q74" s="64"/>
      <c r="R74" s="108" t="s">
        <v>243</v>
      </c>
      <c r="S74" s="65" t="s">
        <v>244</v>
      </c>
      <c r="T74" s="65" t="s">
        <v>245</v>
      </c>
      <c r="U74" s="65" t="s">
        <v>1966</v>
      </c>
      <c r="V74" s="65" t="s">
        <v>1091</v>
      </c>
      <c r="W74" s="65" t="s">
        <v>1870</v>
      </c>
      <c r="X74" s="49"/>
      <c r="Y74" s="49"/>
      <c r="Z74" s="52" t="s">
        <v>1102</v>
      </c>
      <c r="AA74" s="64"/>
      <c r="AB74" s="108" t="s">
        <v>243</v>
      </c>
      <c r="AC74" s="65" t="s">
        <v>244</v>
      </c>
      <c r="AD74" s="65" t="s">
        <v>245</v>
      </c>
      <c r="AE74" s="337" t="s">
        <v>1967</v>
      </c>
      <c r="AF74" s="65" t="s">
        <v>1091</v>
      </c>
      <c r="AG74" s="65" t="s">
        <v>1870</v>
      </c>
      <c r="AH74" s="49"/>
      <c r="AI74" s="49"/>
      <c r="AJ74" s="49"/>
      <c r="AK74" s="49"/>
      <c r="AL74" s="49" t="s">
        <v>175</v>
      </c>
      <c r="AM74" s="56"/>
      <c r="AN74" s="312">
        <v>3</v>
      </c>
      <c r="AO74" s="62">
        <v>1600</v>
      </c>
      <c r="AP74" s="150">
        <v>150000</v>
      </c>
      <c r="AQ74" s="83">
        <v>35</v>
      </c>
      <c r="AR74" s="49"/>
      <c r="AS74" s="49"/>
      <c r="AT74" s="49" t="s">
        <v>171</v>
      </c>
      <c r="AU74" s="56"/>
      <c r="AV74" s="310">
        <v>3</v>
      </c>
      <c r="AW74" s="62">
        <v>1300</v>
      </c>
      <c r="AX74" s="150">
        <v>50000</v>
      </c>
      <c r="AY74" s="83">
        <v>35</v>
      </c>
      <c r="AZ74" s="49"/>
      <c r="BA74" s="49"/>
      <c r="BB74" s="49" t="s">
        <v>171</v>
      </c>
      <c r="BC74" s="56"/>
      <c r="BD74" s="310">
        <v>3</v>
      </c>
      <c r="BE74" s="62">
        <v>1300</v>
      </c>
      <c r="BF74" s="150">
        <v>40000</v>
      </c>
      <c r="BG74" s="83">
        <v>35</v>
      </c>
      <c r="BH74" s="49"/>
      <c r="BI74" s="49"/>
      <c r="BJ74" s="62"/>
      <c r="BK74" s="62"/>
      <c r="BL74" s="62"/>
    </row>
    <row r="75" spans="1:64">
      <c r="A75" s="49"/>
      <c r="B75" s="49"/>
      <c r="C75" s="49"/>
      <c r="D75" s="49"/>
      <c r="E75" s="49"/>
      <c r="F75" s="49" t="s">
        <v>1962</v>
      </c>
      <c r="G75" s="56"/>
      <c r="H75" s="310">
        <v>1</v>
      </c>
      <c r="I75" s="62">
        <v>800</v>
      </c>
      <c r="J75" s="62">
        <v>1</v>
      </c>
      <c r="K75" s="150">
        <v>12000</v>
      </c>
      <c r="L75" s="83">
        <v>320</v>
      </c>
      <c r="M75" s="49"/>
      <c r="N75" s="49"/>
      <c r="O75" s="49"/>
      <c r="P75" s="49" t="s">
        <v>1264</v>
      </c>
      <c r="Q75" s="56"/>
      <c r="R75" s="312">
        <v>1</v>
      </c>
      <c r="S75" s="62">
        <v>4400</v>
      </c>
      <c r="T75" s="62">
        <v>209</v>
      </c>
      <c r="U75" s="62">
        <v>75</v>
      </c>
      <c r="V75" s="83">
        <v>17500</v>
      </c>
      <c r="W75" s="83">
        <v>390</v>
      </c>
      <c r="X75" s="49"/>
      <c r="Y75" s="49"/>
      <c r="Z75" s="49" t="s">
        <v>1113</v>
      </c>
      <c r="AA75" s="56"/>
      <c r="AB75" s="312">
        <v>1</v>
      </c>
      <c r="AC75" s="62">
        <v>3300</v>
      </c>
      <c r="AD75" s="62">
        <v>260</v>
      </c>
      <c r="AE75" s="338">
        <v>149.5</v>
      </c>
      <c r="AF75" s="83">
        <v>7500</v>
      </c>
      <c r="AG75" s="83">
        <v>160</v>
      </c>
      <c r="AH75" s="49"/>
      <c r="AI75" s="49"/>
      <c r="AJ75" s="49"/>
      <c r="AK75" s="49"/>
      <c r="AL75" s="49"/>
      <c r="AM75" s="56"/>
      <c r="AN75" s="303">
        <v>4</v>
      </c>
      <c r="AO75" s="62">
        <v>1800</v>
      </c>
      <c r="AP75" s="150">
        <v>300000</v>
      </c>
      <c r="AQ75" s="83">
        <v>40</v>
      </c>
      <c r="AR75" s="49"/>
      <c r="AS75" s="49"/>
      <c r="AT75" s="49"/>
      <c r="AU75" s="56"/>
      <c r="AV75" s="312">
        <v>4</v>
      </c>
      <c r="AW75" s="62">
        <v>1450</v>
      </c>
      <c r="AX75" s="150">
        <v>100000</v>
      </c>
      <c r="AY75" s="83">
        <v>40</v>
      </c>
      <c r="AZ75" s="49"/>
      <c r="BA75" s="49"/>
      <c r="BB75" s="49"/>
      <c r="BC75" s="56"/>
      <c r="BD75" s="312">
        <v>4</v>
      </c>
      <c r="BE75" s="62">
        <v>1450</v>
      </c>
      <c r="BF75" s="150">
        <v>80000</v>
      </c>
      <c r="BG75" s="83">
        <v>40</v>
      </c>
      <c r="BH75" s="49"/>
      <c r="BI75" s="49"/>
      <c r="BJ75" s="62"/>
      <c r="BK75" s="62"/>
      <c r="BL75" s="62"/>
    </row>
    <row r="76" spans="1:64">
      <c r="A76" s="49"/>
      <c r="B76" s="49"/>
      <c r="C76" s="49"/>
      <c r="D76" s="49"/>
      <c r="E76" s="49"/>
      <c r="F76" s="331" t="s">
        <v>1643</v>
      </c>
      <c r="G76" s="61"/>
      <c r="H76" s="302">
        <v>2</v>
      </c>
      <c r="I76" s="62">
        <v>920</v>
      </c>
      <c r="J76" s="62">
        <v>2</v>
      </c>
      <c r="K76" s="150">
        <v>24000</v>
      </c>
      <c r="L76" s="83">
        <v>340</v>
      </c>
      <c r="M76" s="49"/>
      <c r="N76" s="49"/>
      <c r="O76" s="49"/>
      <c r="P76" s="60" t="s">
        <v>1968</v>
      </c>
      <c r="Q76" s="61"/>
      <c r="R76" s="312">
        <v>2</v>
      </c>
      <c r="S76" s="62">
        <v>4800</v>
      </c>
      <c r="T76" s="62">
        <v>251</v>
      </c>
      <c r="U76" s="62">
        <v>90</v>
      </c>
      <c r="V76" s="316">
        <v>35000</v>
      </c>
      <c r="W76" s="83">
        <v>410</v>
      </c>
      <c r="X76" s="49"/>
      <c r="Y76" s="49"/>
      <c r="Z76" s="60" t="s">
        <v>1969</v>
      </c>
      <c r="AA76" s="61"/>
      <c r="AB76" s="312">
        <v>2</v>
      </c>
      <c r="AC76" s="62">
        <v>3600</v>
      </c>
      <c r="AD76" s="62">
        <v>290</v>
      </c>
      <c r="AE76" s="338">
        <v>166.75</v>
      </c>
      <c r="AF76" s="316">
        <v>15000</v>
      </c>
      <c r="AG76" s="83">
        <v>170</v>
      </c>
      <c r="AH76" s="49"/>
      <c r="AI76" s="49"/>
      <c r="AJ76" s="49"/>
      <c r="AK76" s="49"/>
      <c r="AL76" s="49"/>
      <c r="AM76" s="56"/>
      <c r="AN76" s="313">
        <v>5</v>
      </c>
      <c r="AO76" s="62">
        <v>2000</v>
      </c>
      <c r="AP76" s="150">
        <v>600000</v>
      </c>
      <c r="AQ76" s="83">
        <v>45</v>
      </c>
      <c r="AR76" s="49"/>
      <c r="AS76" s="49"/>
      <c r="AT76" s="49"/>
      <c r="AU76" s="56"/>
      <c r="AV76" s="313">
        <v>5</v>
      </c>
      <c r="AW76" s="62">
        <v>1600</v>
      </c>
      <c r="AX76" s="150">
        <v>200000</v>
      </c>
      <c r="AY76" s="83">
        <v>45</v>
      </c>
      <c r="AZ76" s="49"/>
      <c r="BA76" s="49"/>
      <c r="BB76" s="49"/>
      <c r="BC76" s="56"/>
      <c r="BD76" s="313">
        <v>5</v>
      </c>
      <c r="BE76" s="62">
        <v>1600</v>
      </c>
      <c r="BF76" s="150">
        <v>160000</v>
      </c>
      <c r="BG76" s="83">
        <v>45</v>
      </c>
      <c r="BH76" s="49"/>
      <c r="BI76" s="49"/>
      <c r="BJ76" s="62"/>
      <c r="BK76" s="62"/>
      <c r="BL76" s="62"/>
    </row>
    <row r="77" spans="1:64">
      <c r="A77" s="49"/>
      <c r="B77" s="49"/>
      <c r="C77" s="49"/>
      <c r="D77" s="49"/>
      <c r="E77" s="49"/>
      <c r="F77" s="49" t="s">
        <v>1107</v>
      </c>
      <c r="G77" s="64"/>
      <c r="H77" s="312">
        <v>3</v>
      </c>
      <c r="I77" s="62">
        <v>1065</v>
      </c>
      <c r="J77" s="62">
        <v>3</v>
      </c>
      <c r="K77" s="150">
        <v>48000</v>
      </c>
      <c r="L77" s="83">
        <v>360</v>
      </c>
      <c r="M77" s="49"/>
      <c r="N77" s="62"/>
      <c r="O77" s="49"/>
      <c r="P77" s="54" t="s">
        <v>1126</v>
      </c>
      <c r="Q77" s="64"/>
      <c r="R77" s="303">
        <v>3</v>
      </c>
      <c r="S77" s="62">
        <v>5200</v>
      </c>
      <c r="T77" s="62">
        <v>293</v>
      </c>
      <c r="U77" s="62">
        <v>105</v>
      </c>
      <c r="V77" s="316">
        <v>70000</v>
      </c>
      <c r="W77" s="83">
        <v>430</v>
      </c>
      <c r="X77" s="49"/>
      <c r="Y77" s="49"/>
      <c r="Z77" s="54" t="s">
        <v>1126</v>
      </c>
      <c r="AA77" s="64"/>
      <c r="AB77" s="303">
        <v>3</v>
      </c>
      <c r="AC77" s="62">
        <v>3900</v>
      </c>
      <c r="AD77" s="62">
        <v>320</v>
      </c>
      <c r="AE77" s="338">
        <v>184</v>
      </c>
      <c r="AF77" s="316">
        <v>30000</v>
      </c>
      <c r="AG77" s="83">
        <v>180</v>
      </c>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62"/>
      <c r="BK77" s="62"/>
      <c r="BL77" s="62"/>
    </row>
    <row r="78" spans="1:64">
      <c r="A78" s="49"/>
      <c r="B78" s="49"/>
      <c r="C78" s="49"/>
      <c r="D78" s="49"/>
      <c r="E78" s="49"/>
      <c r="F78" s="54" t="s">
        <v>1117</v>
      </c>
      <c r="G78" s="56"/>
      <c r="H78" s="303">
        <v>4</v>
      </c>
      <c r="I78" s="62">
        <v>1225</v>
      </c>
      <c r="J78" s="62">
        <v>4</v>
      </c>
      <c r="K78" s="150">
        <v>75000</v>
      </c>
      <c r="L78" s="83">
        <v>380</v>
      </c>
      <c r="M78" s="49"/>
      <c r="N78" s="124"/>
      <c r="O78" s="49"/>
      <c r="P78" s="49" t="s">
        <v>1107</v>
      </c>
      <c r="Q78" s="56"/>
      <c r="R78" s="313">
        <v>4</v>
      </c>
      <c r="S78" s="62">
        <v>5600</v>
      </c>
      <c r="T78" s="62">
        <v>335</v>
      </c>
      <c r="U78" s="62">
        <v>120</v>
      </c>
      <c r="V78" s="316">
        <v>113000</v>
      </c>
      <c r="W78" s="83">
        <v>450</v>
      </c>
      <c r="X78" s="49"/>
      <c r="Y78" s="49"/>
      <c r="Z78" s="49" t="s">
        <v>1223</v>
      </c>
      <c r="AA78" s="56"/>
      <c r="AB78" s="313">
        <v>4</v>
      </c>
      <c r="AC78" s="62">
        <v>4200</v>
      </c>
      <c r="AD78" s="62">
        <v>350</v>
      </c>
      <c r="AE78" s="338">
        <v>201.25</v>
      </c>
      <c r="AF78" s="316">
        <v>48000</v>
      </c>
      <c r="AG78" s="83">
        <v>190</v>
      </c>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62"/>
      <c r="BK78" s="62"/>
      <c r="BL78" s="62"/>
    </row>
    <row r="79" spans="1:64">
      <c r="A79" s="49"/>
      <c r="B79" s="49"/>
      <c r="C79" s="49"/>
      <c r="D79" s="49"/>
      <c r="E79" s="49"/>
      <c r="F79" s="49"/>
      <c r="G79" s="56"/>
      <c r="H79" s="313">
        <v>5</v>
      </c>
      <c r="I79" s="62">
        <v>1400</v>
      </c>
      <c r="J79" s="62">
        <v>5</v>
      </c>
      <c r="K79" s="150">
        <v>125000</v>
      </c>
      <c r="L79" s="83">
        <v>400</v>
      </c>
      <c r="M79" s="49"/>
      <c r="N79" s="124"/>
      <c r="O79" s="49"/>
      <c r="P79" s="49" t="s">
        <v>1117</v>
      </c>
      <c r="Q79" s="56"/>
      <c r="R79" s="313"/>
      <c r="S79" s="62"/>
      <c r="T79" s="62"/>
      <c r="U79" s="62"/>
      <c r="V79" s="316"/>
      <c r="W79" s="83"/>
      <c r="X79" s="49"/>
      <c r="Y79" s="49"/>
      <c r="Z79" s="49" t="s">
        <v>1120</v>
      </c>
      <c r="AA79" s="56"/>
      <c r="AB79" s="313"/>
      <c r="AC79" s="62"/>
      <c r="AD79" s="62"/>
      <c r="AE79" s="62"/>
      <c r="AF79" s="316"/>
      <c r="AG79" s="83"/>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62"/>
      <c r="BK79" s="62"/>
      <c r="BL79" s="62"/>
    </row>
    <row r="80" spans="1:64">
      <c r="A80" s="49"/>
      <c r="B80" s="49"/>
      <c r="C80" s="49"/>
      <c r="D80" s="49"/>
      <c r="E80" s="49"/>
      <c r="F80" s="49"/>
      <c r="G80" s="49"/>
      <c r="H80" s="49"/>
      <c r="I80" s="62"/>
      <c r="J80" s="62"/>
      <c r="K80" s="62"/>
      <c r="L80" s="62"/>
      <c r="M80" s="49"/>
      <c r="N80" s="124"/>
      <c r="O80" s="49"/>
      <c r="P80" s="54" t="s">
        <v>1970</v>
      </c>
      <c r="Q80" s="56"/>
      <c r="R80" s="90"/>
      <c r="S80" s="62"/>
      <c r="T80" s="62"/>
      <c r="U80" s="62"/>
      <c r="V80" s="150"/>
      <c r="W80" s="124"/>
      <c r="X80" s="49"/>
      <c r="Y80" s="49"/>
      <c r="Z80" s="54"/>
      <c r="AA80" s="56"/>
      <c r="AB80" s="90"/>
      <c r="AC80" s="62"/>
      <c r="AD80" s="62"/>
      <c r="AE80" s="62"/>
      <c r="AF80" s="150"/>
      <c r="AG80" s="124"/>
      <c r="AH80" s="49"/>
      <c r="AI80" s="49"/>
      <c r="AJ80" s="49"/>
      <c r="AK80" s="49"/>
      <c r="AL80" s="49" t="s">
        <v>207</v>
      </c>
      <c r="AM80" s="49"/>
      <c r="AN80" s="49"/>
      <c r="AO80" s="49"/>
      <c r="AP80" s="49"/>
      <c r="AQ80" s="49"/>
      <c r="AR80" s="49"/>
      <c r="AS80" s="49"/>
      <c r="AT80" s="49" t="s">
        <v>202</v>
      </c>
      <c r="AU80" s="49"/>
      <c r="AV80" s="49"/>
      <c r="AW80" s="49"/>
      <c r="AX80" s="49"/>
      <c r="AY80" s="49"/>
      <c r="AZ80" s="49"/>
      <c r="BA80" s="49"/>
      <c r="BB80" s="49" t="s">
        <v>208</v>
      </c>
      <c r="BC80" s="49"/>
      <c r="BD80" s="49"/>
      <c r="BE80" s="49"/>
      <c r="BF80" s="49"/>
      <c r="BG80" s="49"/>
      <c r="BH80" s="49"/>
      <c r="BI80" s="49"/>
      <c r="BJ80" s="62"/>
      <c r="BK80" s="62"/>
      <c r="BL80" s="62"/>
    </row>
    <row r="81" spans="1:64">
      <c r="A81" s="49"/>
      <c r="B81" s="49"/>
      <c r="C81" s="49"/>
      <c r="D81" s="49"/>
      <c r="E81" s="49"/>
      <c r="F81" s="49"/>
      <c r="G81" s="49"/>
      <c r="H81" s="49"/>
      <c r="I81" s="62"/>
      <c r="J81" s="62"/>
      <c r="K81" s="62"/>
      <c r="L81" s="62"/>
      <c r="M81" s="49"/>
      <c r="N81" s="124"/>
      <c r="O81" s="49"/>
      <c r="P81" s="49"/>
      <c r="Q81" s="49"/>
      <c r="R81" s="87"/>
      <c r="S81" s="62"/>
      <c r="T81" s="62"/>
      <c r="U81" s="62"/>
      <c r="V81" s="150"/>
      <c r="W81" s="124"/>
      <c r="X81" s="49"/>
      <c r="Y81" s="49"/>
      <c r="Z81" s="49"/>
      <c r="AA81" s="49"/>
      <c r="AB81" s="87"/>
      <c r="AC81" s="62"/>
      <c r="AD81" s="62"/>
      <c r="AE81" s="62"/>
      <c r="AF81" s="150"/>
      <c r="AG81" s="62"/>
      <c r="AH81" s="49"/>
      <c r="AI81" s="49"/>
      <c r="AJ81" s="49"/>
      <c r="AK81" s="49"/>
      <c r="AL81" s="52" t="s">
        <v>1107</v>
      </c>
      <c r="AM81" s="64"/>
      <c r="AN81" s="65" t="s">
        <v>243</v>
      </c>
      <c r="AO81" s="65" t="s">
        <v>244</v>
      </c>
      <c r="AP81" s="65" t="s">
        <v>1091</v>
      </c>
      <c r="AQ81" s="65" t="s">
        <v>1870</v>
      </c>
      <c r="AR81" s="49"/>
      <c r="AS81" s="49"/>
      <c r="AT81" s="52" t="s">
        <v>1107</v>
      </c>
      <c r="AU81" s="64"/>
      <c r="AV81" s="65" t="s">
        <v>243</v>
      </c>
      <c r="AW81" s="65" t="s">
        <v>244</v>
      </c>
      <c r="AX81" s="65" t="s">
        <v>1091</v>
      </c>
      <c r="AY81" s="65" t="s">
        <v>1870</v>
      </c>
      <c r="AZ81" s="49"/>
      <c r="BA81" s="49"/>
      <c r="BB81" s="52" t="s">
        <v>1107</v>
      </c>
      <c r="BC81" s="64"/>
      <c r="BD81" s="65" t="s">
        <v>243</v>
      </c>
      <c r="BE81" s="65" t="s">
        <v>244</v>
      </c>
      <c r="BF81" s="65" t="s">
        <v>1091</v>
      </c>
      <c r="BG81" s="65" t="s">
        <v>1870</v>
      </c>
      <c r="BH81" s="49"/>
      <c r="BI81" s="49"/>
      <c r="BJ81" s="62"/>
      <c r="BK81" s="62"/>
      <c r="BL81" s="62"/>
    </row>
    <row r="82" spans="1:64">
      <c r="A82" s="49"/>
      <c r="B82" s="49"/>
      <c r="C82" s="49"/>
      <c r="D82" s="49"/>
      <c r="E82" s="49"/>
      <c r="F82" s="49"/>
      <c r="G82" s="49"/>
      <c r="H82" s="49"/>
      <c r="I82" s="62"/>
      <c r="J82" s="62"/>
      <c r="K82" s="62"/>
      <c r="L82" s="62"/>
      <c r="M82" s="49"/>
      <c r="N82" s="124"/>
      <c r="O82" s="49"/>
      <c r="P82" s="49"/>
      <c r="Q82" s="49"/>
      <c r="R82" s="99"/>
      <c r="S82" s="62"/>
      <c r="T82" s="62"/>
      <c r="U82" s="62"/>
      <c r="V82" s="150"/>
      <c r="W82" s="124"/>
      <c r="X82" s="49"/>
      <c r="Y82" s="49"/>
      <c r="Z82" s="49"/>
      <c r="AA82" s="49"/>
      <c r="AB82" s="99"/>
      <c r="AC82" s="62"/>
      <c r="AD82" s="62"/>
      <c r="AE82" s="62"/>
      <c r="AF82" s="150"/>
      <c r="AG82" s="62"/>
      <c r="AH82" s="49"/>
      <c r="AI82" s="49"/>
      <c r="AJ82" s="49"/>
      <c r="AK82" s="49"/>
      <c r="AL82" s="322" t="s">
        <v>1117</v>
      </c>
      <c r="AM82" s="61"/>
      <c r="AN82" s="301">
        <v>1</v>
      </c>
      <c r="AO82" s="62">
        <v>1000</v>
      </c>
      <c r="AP82" s="150">
        <v>10000</v>
      </c>
      <c r="AQ82" s="83">
        <v>25</v>
      </c>
      <c r="AR82" s="49"/>
      <c r="AS82" s="49"/>
      <c r="AT82" s="322" t="s">
        <v>1117</v>
      </c>
      <c r="AU82" s="61"/>
      <c r="AV82" s="302">
        <v>1</v>
      </c>
      <c r="AW82" s="62">
        <v>1000</v>
      </c>
      <c r="AX82" s="150">
        <v>15000</v>
      </c>
      <c r="AY82" s="83">
        <v>25</v>
      </c>
      <c r="AZ82" s="49"/>
      <c r="BA82" s="49"/>
      <c r="BB82" s="322" t="s">
        <v>1117</v>
      </c>
      <c r="BC82" s="61"/>
      <c r="BD82" s="310">
        <v>1</v>
      </c>
      <c r="BE82" s="62">
        <v>1000</v>
      </c>
      <c r="BF82" s="150"/>
      <c r="BG82" s="83">
        <v>25</v>
      </c>
      <c r="BH82" s="49"/>
      <c r="BI82" s="49"/>
      <c r="BJ82" s="62"/>
      <c r="BK82" s="62"/>
      <c r="BL82" s="62"/>
    </row>
    <row r="83" spans="1:64">
      <c r="A83" s="49"/>
      <c r="B83" s="49"/>
      <c r="C83" s="49"/>
      <c r="D83" s="49"/>
      <c r="E83" s="49"/>
      <c r="F83" s="49"/>
      <c r="G83" s="49"/>
      <c r="H83" s="49"/>
      <c r="I83" s="62"/>
      <c r="J83" s="62"/>
      <c r="K83" s="62"/>
      <c r="L83" s="62"/>
      <c r="M83" s="49"/>
      <c r="N83" s="124"/>
      <c r="O83" s="49"/>
      <c r="P83" s="49"/>
      <c r="Q83" s="118"/>
      <c r="R83" s="90"/>
      <c r="S83" s="62"/>
      <c r="T83" s="62"/>
      <c r="U83" s="62"/>
      <c r="V83" s="150"/>
      <c r="W83" s="124"/>
      <c r="X83" s="49"/>
      <c r="Y83" s="49"/>
      <c r="Z83" s="315"/>
      <c r="AA83" s="49"/>
      <c r="AB83" s="90"/>
      <c r="AC83" s="62"/>
      <c r="AD83" s="62"/>
      <c r="AE83" s="62"/>
      <c r="AF83" s="150"/>
      <c r="AG83" s="62"/>
      <c r="AH83" s="49"/>
      <c r="AI83" s="49"/>
      <c r="AJ83" s="49"/>
      <c r="AK83" s="49"/>
      <c r="AL83" s="49" t="s">
        <v>1920</v>
      </c>
      <c r="AM83" s="56"/>
      <c r="AN83" s="301">
        <v>2</v>
      </c>
      <c r="AO83" s="62">
        <v>1150</v>
      </c>
      <c r="AP83" s="150">
        <v>20000</v>
      </c>
      <c r="AQ83" s="83">
        <v>30</v>
      </c>
      <c r="AR83" s="49"/>
      <c r="AS83" s="49"/>
      <c r="AT83" s="49" t="s">
        <v>1920</v>
      </c>
      <c r="AU83" s="56"/>
      <c r="AV83" s="302">
        <v>2</v>
      </c>
      <c r="AW83" s="62">
        <v>1150</v>
      </c>
      <c r="AX83" s="150">
        <v>30000</v>
      </c>
      <c r="AY83" s="83">
        <v>30</v>
      </c>
      <c r="AZ83" s="49"/>
      <c r="BA83" s="49"/>
      <c r="BB83" s="49" t="s">
        <v>1920</v>
      </c>
      <c r="BC83" s="56"/>
      <c r="BD83" s="302">
        <v>2</v>
      </c>
      <c r="BE83" s="62">
        <v>1150</v>
      </c>
      <c r="BF83" s="150">
        <v>30000</v>
      </c>
      <c r="BG83" s="83">
        <v>30</v>
      </c>
      <c r="BH83" s="49"/>
      <c r="BI83" s="49"/>
      <c r="BJ83" s="62"/>
      <c r="BK83" s="62"/>
      <c r="BL83" s="62"/>
    </row>
    <row r="84" spans="1:64">
      <c r="A84" s="49"/>
      <c r="B84" s="49"/>
      <c r="C84" s="49"/>
      <c r="D84" s="49"/>
      <c r="E84" s="49"/>
      <c r="F84" s="49"/>
      <c r="G84" s="49"/>
      <c r="H84" s="49"/>
      <c r="I84" s="62"/>
      <c r="J84" s="62"/>
      <c r="K84" s="62"/>
      <c r="L84" s="62"/>
      <c r="M84" s="49"/>
      <c r="N84" s="124"/>
      <c r="O84" s="49"/>
      <c r="P84" s="49"/>
      <c r="Q84" s="118"/>
      <c r="R84" s="278"/>
      <c r="S84" s="62"/>
      <c r="T84" s="62"/>
      <c r="U84" s="62"/>
      <c r="V84" s="150"/>
      <c r="W84" s="124"/>
      <c r="X84" s="49"/>
      <c r="Y84" s="49"/>
      <c r="Z84" s="49"/>
      <c r="AA84" s="118"/>
      <c r="AB84" s="278"/>
      <c r="AC84" s="62"/>
      <c r="AD84" s="62"/>
      <c r="AE84" s="62"/>
      <c r="AF84" s="150"/>
      <c r="AG84" s="62"/>
      <c r="AH84" s="49"/>
      <c r="AI84" s="49"/>
      <c r="AJ84" s="49"/>
      <c r="AK84" s="49"/>
      <c r="AL84" s="49" t="s">
        <v>172</v>
      </c>
      <c r="AM84" s="56"/>
      <c r="AN84" s="302">
        <v>3</v>
      </c>
      <c r="AO84" s="62">
        <v>1300</v>
      </c>
      <c r="AP84" s="150">
        <v>40000</v>
      </c>
      <c r="AQ84" s="83">
        <v>35</v>
      </c>
      <c r="AR84" s="49"/>
      <c r="AS84" s="49"/>
      <c r="AT84" s="49" t="s">
        <v>173</v>
      </c>
      <c r="AU84" s="56"/>
      <c r="AV84" s="302">
        <v>3</v>
      </c>
      <c r="AW84" s="62">
        <v>1300</v>
      </c>
      <c r="AX84" s="150">
        <v>40000</v>
      </c>
      <c r="AY84" s="83">
        <v>35</v>
      </c>
      <c r="AZ84" s="49"/>
      <c r="BA84" s="49"/>
      <c r="BB84" s="49" t="s">
        <v>174</v>
      </c>
      <c r="BC84" s="56"/>
      <c r="BD84" s="312">
        <v>3</v>
      </c>
      <c r="BE84" s="62">
        <v>1300</v>
      </c>
      <c r="BF84" s="150">
        <v>60000</v>
      </c>
      <c r="BG84" s="83">
        <v>35</v>
      </c>
      <c r="BH84" s="49"/>
      <c r="BI84" s="49"/>
      <c r="BJ84" s="62"/>
      <c r="BK84" s="62"/>
      <c r="BL84" s="62"/>
    </row>
    <row r="85" spans="1:64">
      <c r="A85" s="49"/>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62"/>
      <c r="AE85" s="62"/>
      <c r="AF85" s="150"/>
      <c r="AG85" s="62"/>
      <c r="AH85" s="49"/>
      <c r="AI85" s="49"/>
      <c r="AJ85" s="49"/>
      <c r="AK85" s="49"/>
      <c r="AL85" s="49"/>
      <c r="AM85" s="56"/>
      <c r="AN85" s="312">
        <v>4</v>
      </c>
      <c r="AO85" s="62">
        <v>1450</v>
      </c>
      <c r="AP85" s="150">
        <v>80000</v>
      </c>
      <c r="AQ85" s="83">
        <v>40</v>
      </c>
      <c r="AR85" s="49"/>
      <c r="AS85" s="49"/>
      <c r="AT85" s="49"/>
      <c r="AU85" s="56"/>
      <c r="AV85" s="303">
        <v>4</v>
      </c>
      <c r="AW85" s="62">
        <v>1450</v>
      </c>
      <c r="AX85" s="150">
        <v>80000</v>
      </c>
      <c r="AY85" s="83">
        <v>40</v>
      </c>
      <c r="AZ85" s="49"/>
      <c r="BA85" s="49"/>
      <c r="BB85" s="49"/>
      <c r="BC85" s="56"/>
      <c r="BD85" s="303">
        <v>4</v>
      </c>
      <c r="BE85" s="62">
        <v>1450</v>
      </c>
      <c r="BF85" s="150">
        <v>120000</v>
      </c>
      <c r="BG85" s="83">
        <v>40</v>
      </c>
      <c r="BH85" s="49"/>
      <c r="BI85" s="49"/>
      <c r="BJ85" s="62"/>
      <c r="BK85" s="62"/>
      <c r="BL85" s="62"/>
    </row>
    <row r="86" spans="1:64">
      <c r="A86" s="49"/>
      <c r="B86" s="49"/>
      <c r="C86" s="49"/>
      <c r="D86" s="49"/>
      <c r="E86" s="49"/>
      <c r="F86" s="49"/>
      <c r="G86" s="49"/>
      <c r="H86" s="90"/>
      <c r="I86" s="62"/>
      <c r="J86" s="62"/>
      <c r="K86" s="62"/>
      <c r="L86" s="150"/>
      <c r="M86" s="124"/>
      <c r="N86" s="49"/>
      <c r="O86" s="49"/>
      <c r="P86" s="49"/>
      <c r="Q86" s="49"/>
      <c r="R86" s="90"/>
      <c r="S86" s="62"/>
      <c r="T86" s="62"/>
      <c r="U86" s="62"/>
      <c r="V86" s="150"/>
      <c r="W86" s="124"/>
      <c r="X86" s="49"/>
      <c r="Y86" s="49"/>
      <c r="Z86" s="49"/>
      <c r="AA86" s="49"/>
      <c r="AB86" s="278"/>
      <c r="AC86" s="62"/>
      <c r="AD86" s="62"/>
      <c r="AE86" s="62"/>
      <c r="AF86" s="150"/>
      <c r="AG86" s="62"/>
      <c r="AH86" s="49"/>
      <c r="AI86" s="49"/>
      <c r="AJ86" s="49"/>
      <c r="AK86" s="49"/>
      <c r="AL86" s="49"/>
      <c r="AM86" s="56"/>
      <c r="AN86" s="313">
        <v>5</v>
      </c>
      <c r="AO86" s="62">
        <v>1600</v>
      </c>
      <c r="AP86" s="150">
        <v>160000</v>
      </c>
      <c r="AQ86" s="83">
        <v>45</v>
      </c>
      <c r="AR86" s="49"/>
      <c r="AS86" s="49"/>
      <c r="AT86" s="49"/>
      <c r="AU86" s="56"/>
      <c r="AV86" s="313">
        <v>5</v>
      </c>
      <c r="AW86" s="62">
        <v>1600</v>
      </c>
      <c r="AX86" s="150">
        <v>160000</v>
      </c>
      <c r="AY86" s="83">
        <v>45</v>
      </c>
      <c r="AZ86" s="49"/>
      <c r="BA86" s="49"/>
      <c r="BB86" s="49"/>
      <c r="BC86" s="56"/>
      <c r="BD86" s="313">
        <v>5</v>
      </c>
      <c r="BE86" s="62">
        <v>1600</v>
      </c>
      <c r="BF86" s="150">
        <v>250000</v>
      </c>
      <c r="BG86" s="83">
        <v>45</v>
      </c>
      <c r="BH86" s="49"/>
      <c r="BI86" s="49"/>
      <c r="BJ86" s="62"/>
      <c r="BK86" s="62"/>
      <c r="BL86" s="62"/>
    </row>
    <row r="87" spans="1:64">
      <c r="A87" s="49"/>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62"/>
      <c r="AE87" s="62"/>
      <c r="AF87" s="150"/>
      <c r="AG87" s="124"/>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62"/>
      <c r="BK87" s="62"/>
      <c r="BL87" s="62"/>
    </row>
    <row r="88" spans="1:64">
      <c r="A88" s="49"/>
      <c r="B88" s="49"/>
      <c r="C88" s="49"/>
      <c r="D88" s="49"/>
      <c r="E88" s="49"/>
      <c r="F88" s="49"/>
      <c r="G88" s="49"/>
      <c r="H88" s="90"/>
      <c r="I88" s="62"/>
      <c r="J88" s="62"/>
      <c r="K88" s="62"/>
      <c r="L88" s="150"/>
      <c r="M88" s="124"/>
      <c r="N88" s="49"/>
      <c r="O88" s="49"/>
      <c r="P88" s="49"/>
      <c r="Q88" s="49"/>
      <c r="R88" s="90"/>
      <c r="S88" s="62"/>
      <c r="T88" s="62"/>
      <c r="U88" s="62"/>
      <c r="V88" s="150"/>
      <c r="W88" s="124"/>
      <c r="X88" s="49"/>
      <c r="Y88" s="49"/>
      <c r="Z88" s="49"/>
      <c r="AA88" s="49"/>
      <c r="AB88" s="278"/>
      <c r="AC88" s="62"/>
      <c r="AD88" s="62"/>
      <c r="AE88" s="62"/>
      <c r="AF88" s="150"/>
      <c r="AG88" s="124"/>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62"/>
      <c r="BK88" s="62"/>
      <c r="BL88" s="62"/>
    </row>
    <row r="89" spans="1:64">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62"/>
      <c r="AE89" s="62"/>
      <c r="AF89" s="150"/>
      <c r="AG89" s="124"/>
      <c r="AH89" s="49"/>
      <c r="AI89" s="49"/>
      <c r="AJ89" s="49"/>
      <c r="AK89" s="49"/>
      <c r="AL89" s="49" t="s">
        <v>204</v>
      </c>
      <c r="AM89" s="49"/>
      <c r="AN89" s="49"/>
      <c r="AO89" s="49"/>
      <c r="AP89" s="49"/>
      <c r="AQ89" s="49"/>
      <c r="AR89" s="49"/>
      <c r="AS89" s="49"/>
      <c r="AT89" s="49" t="s">
        <v>209</v>
      </c>
      <c r="AU89" s="49"/>
      <c r="AV89" s="49"/>
      <c r="AW89" s="49"/>
      <c r="AX89" s="49"/>
      <c r="AY89" s="49"/>
      <c r="AZ89" s="49"/>
      <c r="BA89" s="49"/>
      <c r="BB89" s="49"/>
      <c r="BC89" s="49"/>
      <c r="BD89" s="49"/>
      <c r="BE89" s="49"/>
      <c r="BF89" s="49"/>
      <c r="BG89" s="49"/>
      <c r="BH89" s="49"/>
      <c r="BI89" s="49"/>
      <c r="BJ89" s="62"/>
      <c r="BK89" s="62"/>
      <c r="BL89" s="62"/>
    </row>
    <row r="90" spans="1:64">
      <c r="A90" s="49"/>
      <c r="B90" s="49"/>
      <c r="C90" s="49"/>
      <c r="D90" s="49"/>
      <c r="E90" s="49"/>
      <c r="F90" s="49"/>
      <c r="G90" s="49"/>
      <c r="H90" s="90"/>
      <c r="I90" s="62"/>
      <c r="J90" s="62"/>
      <c r="K90" s="62"/>
      <c r="L90" s="150"/>
      <c r="M90" s="124"/>
      <c r="N90" s="49"/>
      <c r="O90" s="49"/>
      <c r="P90" s="49"/>
      <c r="Q90" s="49"/>
      <c r="R90" s="90"/>
      <c r="S90" s="62"/>
      <c r="T90" s="62"/>
      <c r="U90" s="62"/>
      <c r="V90" s="150"/>
      <c r="W90" s="124"/>
      <c r="X90" s="49"/>
      <c r="Y90" s="49"/>
      <c r="Z90" s="49"/>
      <c r="AA90" s="49"/>
      <c r="AB90" s="278"/>
      <c r="AC90" s="62"/>
      <c r="AD90" s="62"/>
      <c r="AE90" s="62"/>
      <c r="AF90" s="150"/>
      <c r="AG90" s="124"/>
      <c r="AH90" s="49"/>
      <c r="AI90" s="49"/>
      <c r="AJ90" s="49"/>
      <c r="AK90" s="49"/>
      <c r="AL90" s="52" t="s">
        <v>1107</v>
      </c>
      <c r="AM90" s="64"/>
      <c r="AN90" s="65" t="s">
        <v>243</v>
      </c>
      <c r="AO90" s="65" t="s">
        <v>244</v>
      </c>
      <c r="AP90" s="65" t="s">
        <v>1091</v>
      </c>
      <c r="AQ90" s="65" t="s">
        <v>1870</v>
      </c>
      <c r="AR90" s="49"/>
      <c r="AS90" s="49"/>
      <c r="AT90" s="52" t="s">
        <v>1107</v>
      </c>
      <c r="AU90" s="64"/>
      <c r="AV90" s="65" t="s">
        <v>243</v>
      </c>
      <c r="AW90" s="65" t="s">
        <v>244</v>
      </c>
      <c r="AX90" s="65" t="s">
        <v>1091</v>
      </c>
      <c r="AY90" s="65" t="s">
        <v>1870</v>
      </c>
      <c r="AZ90" s="49"/>
      <c r="BA90" s="49"/>
      <c r="BB90" s="49"/>
      <c r="BC90" s="49"/>
      <c r="BD90" s="49"/>
      <c r="BE90" s="49"/>
      <c r="BF90" s="49"/>
      <c r="BG90" s="49"/>
      <c r="BH90" s="49"/>
      <c r="BI90" s="49"/>
      <c r="BJ90" s="62"/>
      <c r="BK90" s="62"/>
      <c r="BL90" s="62"/>
    </row>
    <row r="91" spans="1:64">
      <c r="A91" s="49"/>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322" t="s">
        <v>1117</v>
      </c>
      <c r="AM91" s="61"/>
      <c r="AN91" s="312">
        <v>1</v>
      </c>
      <c r="AO91" s="62">
        <v>1200</v>
      </c>
      <c r="AP91" s="150"/>
      <c r="AQ91" s="83">
        <v>25</v>
      </c>
      <c r="AR91" s="49"/>
      <c r="AS91" s="49"/>
      <c r="AT91" s="322" t="s">
        <v>1117</v>
      </c>
      <c r="AU91" s="61"/>
      <c r="AV91" s="312">
        <v>1</v>
      </c>
      <c r="AW91" s="62">
        <v>1000</v>
      </c>
      <c r="AX91" s="150">
        <v>20000</v>
      </c>
      <c r="AY91" s="83">
        <v>25</v>
      </c>
      <c r="AZ91" s="49"/>
      <c r="BA91" s="49"/>
      <c r="BB91" s="49"/>
      <c r="BC91" s="49"/>
      <c r="BD91" s="49"/>
      <c r="BE91" s="49"/>
      <c r="BF91" s="49"/>
      <c r="BG91" s="49"/>
      <c r="BH91" s="49"/>
      <c r="BI91" s="49"/>
      <c r="BJ91" s="62"/>
      <c r="BK91" s="62"/>
      <c r="BL91" s="62"/>
    </row>
    <row r="92" spans="1:64">
      <c r="A92" s="49"/>
      <c r="B92" s="49"/>
      <c r="C92" s="49"/>
      <c r="D92" s="49"/>
      <c r="E92" s="49"/>
      <c r="F92" s="49"/>
      <c r="G92" s="49"/>
      <c r="H92" s="90"/>
      <c r="I92" s="62"/>
      <c r="J92" s="62"/>
      <c r="K92" s="62"/>
      <c r="L92" s="150"/>
      <c r="M92" s="124"/>
      <c r="N92" s="49"/>
      <c r="O92" s="49"/>
      <c r="P92" s="49"/>
      <c r="Q92" s="49"/>
      <c r="R92" s="90"/>
      <c r="S92" s="62"/>
      <c r="T92" s="62"/>
      <c r="U92" s="62"/>
      <c r="V92" s="150"/>
      <c r="W92" s="124"/>
      <c r="X92" s="49"/>
      <c r="Y92" s="49"/>
      <c r="Z92" s="49"/>
      <c r="AA92" s="49"/>
      <c r="AB92" s="278"/>
      <c r="AC92" s="62"/>
      <c r="AD92" s="49"/>
      <c r="AE92" s="49"/>
      <c r="AF92" s="49"/>
      <c r="AG92" s="49"/>
      <c r="AH92" s="49"/>
      <c r="AI92" s="49"/>
      <c r="AJ92" s="49"/>
      <c r="AK92" s="49"/>
      <c r="AL92" s="49" t="s">
        <v>1920</v>
      </c>
      <c r="AM92" s="56"/>
      <c r="AN92" s="312">
        <v>2</v>
      </c>
      <c r="AO92" s="62">
        <v>1400</v>
      </c>
      <c r="AP92" s="150">
        <v>35000</v>
      </c>
      <c r="AQ92" s="83">
        <v>30</v>
      </c>
      <c r="AR92" s="49"/>
      <c r="AS92" s="49"/>
      <c r="AT92" s="49" t="s">
        <v>1920</v>
      </c>
      <c r="AU92" s="56"/>
      <c r="AV92" s="312">
        <v>2</v>
      </c>
      <c r="AW92" s="62">
        <v>1150</v>
      </c>
      <c r="AX92" s="150">
        <v>40000</v>
      </c>
      <c r="AY92" s="83">
        <v>30</v>
      </c>
      <c r="AZ92" s="49"/>
      <c r="BA92" s="49"/>
      <c r="BB92" s="49"/>
      <c r="BC92" s="49"/>
      <c r="BD92" s="49"/>
      <c r="BE92" s="49"/>
      <c r="BF92" s="49"/>
      <c r="BG92" s="49"/>
      <c r="BH92" s="49"/>
      <c r="BI92" s="49"/>
      <c r="BJ92" s="62"/>
      <c r="BK92" s="62"/>
      <c r="BL92" s="62"/>
    </row>
    <row r="93" spans="1:64">
      <c r="A93" s="49"/>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t="s">
        <v>176</v>
      </c>
      <c r="AM93" s="56"/>
      <c r="AN93" s="303">
        <v>3</v>
      </c>
      <c r="AO93" s="62">
        <v>1600</v>
      </c>
      <c r="AP93" s="150">
        <v>125000</v>
      </c>
      <c r="AQ93" s="83">
        <v>35</v>
      </c>
      <c r="AR93" s="49"/>
      <c r="AS93" s="49"/>
      <c r="AT93" s="49" t="s">
        <v>176</v>
      </c>
      <c r="AU93" s="56"/>
      <c r="AV93" s="303">
        <v>3</v>
      </c>
      <c r="AW93" s="62">
        <v>1300</v>
      </c>
      <c r="AX93" s="150">
        <v>75000</v>
      </c>
      <c r="AY93" s="83">
        <v>35</v>
      </c>
      <c r="AZ93" s="49"/>
      <c r="BA93" s="49"/>
      <c r="BB93" s="49"/>
      <c r="BC93" s="49"/>
      <c r="BD93" s="49"/>
      <c r="BE93" s="49"/>
      <c r="BF93" s="49"/>
      <c r="BG93" s="49"/>
      <c r="BH93" s="49"/>
      <c r="BI93" s="49"/>
      <c r="BJ93" s="62"/>
      <c r="BK93" s="62"/>
      <c r="BL93" s="62"/>
    </row>
    <row r="94" spans="1:64">
      <c r="A94" s="49"/>
      <c r="B94" s="49"/>
      <c r="C94" s="49"/>
      <c r="D94" s="49"/>
      <c r="E94" s="49"/>
      <c r="F94" s="49"/>
      <c r="G94" s="49"/>
      <c r="H94" s="90"/>
      <c r="I94" s="62"/>
      <c r="J94" s="62"/>
      <c r="K94" s="62"/>
      <c r="L94" s="150"/>
      <c r="M94" s="124"/>
      <c r="N94" s="49"/>
      <c r="O94" s="49"/>
      <c r="P94" s="49"/>
      <c r="Q94" s="49"/>
      <c r="R94" s="90"/>
      <c r="S94" s="62"/>
      <c r="T94" s="62"/>
      <c r="U94" s="62"/>
      <c r="V94" s="150"/>
      <c r="W94" s="124"/>
      <c r="X94" s="49"/>
      <c r="Y94" s="49"/>
      <c r="Z94" s="49"/>
      <c r="AA94" s="49"/>
      <c r="AB94" s="278"/>
      <c r="AC94" s="62"/>
      <c r="AD94" s="49"/>
      <c r="AE94" s="49"/>
      <c r="AF94" s="49"/>
      <c r="AG94" s="49"/>
      <c r="AH94" s="49"/>
      <c r="AI94" s="49"/>
      <c r="AJ94" s="49"/>
      <c r="AK94" s="49"/>
      <c r="AL94" s="49"/>
      <c r="AM94" s="56"/>
      <c r="AN94" s="313">
        <v>4</v>
      </c>
      <c r="AO94" s="62">
        <v>1800</v>
      </c>
      <c r="AP94" s="150">
        <v>275000</v>
      </c>
      <c r="AQ94" s="83">
        <v>40</v>
      </c>
      <c r="AR94" s="49"/>
      <c r="AS94" s="49"/>
      <c r="AT94" s="49"/>
      <c r="AU94" s="56"/>
      <c r="AV94" s="313">
        <v>4</v>
      </c>
      <c r="AW94" s="62">
        <v>1450</v>
      </c>
      <c r="AX94" s="150">
        <v>150000</v>
      </c>
      <c r="AY94" s="83">
        <v>40</v>
      </c>
      <c r="AZ94" s="49"/>
      <c r="BA94" s="49"/>
      <c r="BB94" s="49"/>
      <c r="BC94" s="49"/>
      <c r="BD94" s="49"/>
      <c r="BE94" s="49"/>
      <c r="BF94" s="49"/>
      <c r="BG94" s="49"/>
      <c r="BH94" s="49"/>
      <c r="BI94" s="49"/>
      <c r="BJ94" s="62"/>
      <c r="BK94" s="62"/>
      <c r="BL94" s="62"/>
    </row>
    <row r="95" spans="1:64">
      <c r="A95" s="49"/>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62"/>
      <c r="AE95" s="62"/>
      <c r="AF95" s="62"/>
      <c r="AG95" s="62"/>
      <c r="AH95" s="49"/>
      <c r="AI95" s="49"/>
      <c r="AJ95" s="49"/>
      <c r="AK95" s="49"/>
      <c r="AL95" s="49"/>
      <c r="AM95" s="56"/>
      <c r="AN95" s="313"/>
      <c r="AO95" s="62"/>
      <c r="AP95" s="150"/>
      <c r="AQ95" s="83"/>
      <c r="AR95" s="49"/>
      <c r="AS95" s="49"/>
      <c r="AT95" s="49"/>
      <c r="AU95" s="56"/>
      <c r="AV95" s="313"/>
      <c r="AW95" s="62"/>
      <c r="AX95" s="150"/>
      <c r="AY95" s="83"/>
      <c r="AZ95" s="49"/>
      <c r="BA95" s="49"/>
      <c r="BB95" s="49"/>
      <c r="BC95" s="49"/>
      <c r="BD95" s="49"/>
      <c r="BE95" s="49"/>
      <c r="BF95" s="49"/>
      <c r="BG95" s="49"/>
      <c r="BH95" s="49"/>
      <c r="BI95" s="49"/>
      <c r="BJ95" s="62"/>
      <c r="BK95" s="62"/>
      <c r="BL95" s="62"/>
    </row>
    <row r="96" spans="1:64">
      <c r="A96" s="49"/>
      <c r="B96" s="49"/>
      <c r="C96" s="49"/>
      <c r="D96" s="49"/>
      <c r="E96" s="49"/>
      <c r="F96" s="49"/>
      <c r="G96" s="49"/>
      <c r="H96" s="90"/>
      <c r="I96" s="62"/>
      <c r="J96" s="62"/>
      <c r="K96" s="62"/>
      <c r="L96" s="150"/>
      <c r="M96" s="124"/>
      <c r="N96" s="49"/>
      <c r="O96" s="49"/>
      <c r="P96" s="49"/>
      <c r="Q96" s="49"/>
      <c r="R96" s="90"/>
      <c r="S96" s="62"/>
      <c r="T96" s="62"/>
      <c r="U96" s="62"/>
      <c r="V96" s="150"/>
      <c r="W96" s="124"/>
      <c r="X96" s="49"/>
      <c r="Y96" s="49"/>
      <c r="Z96" s="49"/>
      <c r="AA96" s="49"/>
      <c r="AB96" s="278"/>
      <c r="AC96" s="62"/>
      <c r="AD96" s="62"/>
      <c r="AE96" s="62"/>
      <c r="AF96" s="150"/>
      <c r="AG96" s="124"/>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62"/>
      <c r="BK96" s="62"/>
      <c r="BL96" s="62"/>
    </row>
    <row r="97" spans="1:64">
      <c r="A97" s="49"/>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62"/>
      <c r="AE97" s="62"/>
      <c r="AF97" s="150"/>
      <c r="AG97" s="124"/>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62"/>
      <c r="BK97" s="62"/>
      <c r="BL97" s="62"/>
    </row>
    <row r="98" spans="1:64">
      <c r="A98" s="49"/>
      <c r="B98" s="49"/>
      <c r="C98" s="49"/>
      <c r="D98" s="49"/>
      <c r="E98" s="49"/>
      <c r="F98" s="49"/>
      <c r="G98" s="49"/>
      <c r="H98" s="90"/>
      <c r="I98" s="62"/>
      <c r="J98" s="62"/>
      <c r="K98" s="62"/>
      <c r="L98" s="150"/>
      <c r="M98" s="124"/>
      <c r="N98" s="49"/>
      <c r="O98" s="49"/>
      <c r="P98" s="49"/>
      <c r="Q98" s="49"/>
      <c r="R98" s="90"/>
      <c r="S98" s="62"/>
      <c r="T98" s="62"/>
      <c r="U98" s="62"/>
      <c r="V98" s="150"/>
      <c r="W98" s="124"/>
      <c r="X98" s="49"/>
      <c r="Y98" s="49"/>
      <c r="Z98" s="49"/>
      <c r="AA98" s="49"/>
      <c r="AB98" s="278"/>
      <c r="AC98" s="62"/>
      <c r="AD98" s="62"/>
      <c r="AE98" s="62"/>
      <c r="AF98" s="150"/>
      <c r="AG98" s="124"/>
      <c r="AH98" s="49"/>
      <c r="AI98" s="49"/>
      <c r="AJ98" s="49"/>
      <c r="AK98" s="49"/>
      <c r="AL98" s="49" t="s">
        <v>1971</v>
      </c>
      <c r="AM98" s="49"/>
      <c r="AN98" s="49"/>
      <c r="AO98" s="49"/>
      <c r="AP98" s="49"/>
      <c r="AQ98" s="49"/>
      <c r="AR98" s="49"/>
      <c r="AS98" s="49"/>
      <c r="AT98" s="49"/>
      <c r="AU98" s="49" t="s">
        <v>1972</v>
      </c>
      <c r="AV98" s="49"/>
      <c r="AW98" s="49"/>
      <c r="AX98" s="49"/>
      <c r="AY98" s="49"/>
      <c r="AZ98" s="49"/>
      <c r="BA98" s="49"/>
      <c r="BB98" s="49" t="s">
        <v>1973</v>
      </c>
      <c r="BC98" s="49"/>
      <c r="BD98" s="49"/>
      <c r="BE98" s="49"/>
      <c r="BF98" s="49"/>
      <c r="BG98" s="49"/>
      <c r="BH98" s="49"/>
      <c r="BI98" s="49"/>
      <c r="BJ98" s="62"/>
      <c r="BK98" s="62"/>
      <c r="BL98" s="62"/>
    </row>
    <row r="99" spans="1:64">
      <c r="A99" s="49"/>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62"/>
      <c r="AE99" s="62"/>
      <c r="AF99" s="150"/>
      <c r="AG99" s="124"/>
      <c r="AH99" s="49"/>
      <c r="AI99" s="49"/>
      <c r="AJ99" s="49"/>
      <c r="AK99" s="49"/>
      <c r="AL99" s="52" t="s">
        <v>1974</v>
      </c>
      <c r="AM99" s="64"/>
      <c r="AN99" s="65" t="s">
        <v>1975</v>
      </c>
      <c r="AO99" s="65" t="s">
        <v>244</v>
      </c>
      <c r="AP99" s="65" t="s">
        <v>1976</v>
      </c>
      <c r="AQ99" s="65" t="s">
        <v>1977</v>
      </c>
      <c r="AR99" s="65" t="s">
        <v>1091</v>
      </c>
      <c r="AS99" s="65" t="s">
        <v>1870</v>
      </c>
      <c r="AT99" s="49"/>
      <c r="AU99" s="52" t="s">
        <v>1688</v>
      </c>
      <c r="AV99" s="64"/>
      <c r="AW99" s="65" t="s">
        <v>243</v>
      </c>
      <c r="AX99" s="65" t="s">
        <v>1359</v>
      </c>
      <c r="AY99" s="65" t="s">
        <v>1091</v>
      </c>
      <c r="AZ99" s="62"/>
      <c r="BA99" s="49"/>
      <c r="BB99" s="52" t="s">
        <v>1688</v>
      </c>
      <c r="BC99" s="64"/>
      <c r="BD99" s="65" t="s">
        <v>243</v>
      </c>
      <c r="BE99" s="65" t="s">
        <v>1359</v>
      </c>
      <c r="BF99" s="65" t="s">
        <v>1091</v>
      </c>
      <c r="BG99" s="49"/>
      <c r="BH99" s="49"/>
      <c r="BI99" s="49"/>
      <c r="BJ99" s="62"/>
      <c r="BK99" s="62"/>
      <c r="BL99" s="62"/>
    </row>
    <row r="100" spans="1:64">
      <c r="A100" s="49"/>
      <c r="B100" s="49"/>
      <c r="C100" s="49"/>
      <c r="D100" s="49"/>
      <c r="E100" s="49"/>
      <c r="F100" s="49"/>
      <c r="G100" s="49"/>
      <c r="H100" s="90"/>
      <c r="I100" s="62"/>
      <c r="J100" s="62"/>
      <c r="K100" s="62"/>
      <c r="L100" s="150"/>
      <c r="M100" s="124"/>
      <c r="N100" s="49"/>
      <c r="O100" s="49"/>
      <c r="P100" s="49"/>
      <c r="Q100" s="49"/>
      <c r="R100" s="90"/>
      <c r="S100" s="62"/>
      <c r="T100" s="62"/>
      <c r="U100" s="62"/>
      <c r="V100" s="150"/>
      <c r="W100" s="124"/>
      <c r="X100" s="49"/>
      <c r="Y100" s="49"/>
      <c r="Z100" s="49"/>
      <c r="AA100" s="49"/>
      <c r="AB100" s="278"/>
      <c r="AC100" s="62"/>
      <c r="AD100" s="62"/>
      <c r="AE100" s="62"/>
      <c r="AF100" s="150"/>
      <c r="AG100" s="124"/>
      <c r="AH100" s="49"/>
      <c r="AI100" s="49"/>
      <c r="AJ100" s="49"/>
      <c r="AK100" s="49"/>
      <c r="AL100" s="49"/>
      <c r="AM100" s="56"/>
      <c r="AN100" s="62" t="s">
        <v>218</v>
      </c>
      <c r="AO100" s="62">
        <v>800</v>
      </c>
      <c r="AP100" s="62" t="s">
        <v>1978</v>
      </c>
      <c r="AQ100" s="83" t="s">
        <v>1979</v>
      </c>
      <c r="AR100" s="62">
        <v>0</v>
      </c>
      <c r="AS100" s="83">
        <v>30</v>
      </c>
      <c r="AT100" s="49"/>
      <c r="AU100" s="49" t="s">
        <v>1980</v>
      </c>
      <c r="AV100" s="56"/>
      <c r="AW100" s="298">
        <v>1</v>
      </c>
      <c r="AX100" s="62">
        <v>120</v>
      </c>
      <c r="AY100" s="62">
        <v>1000</v>
      </c>
      <c r="AZ100" s="124"/>
      <c r="BA100" s="62"/>
      <c r="BB100" s="49" t="s">
        <v>1981</v>
      </c>
      <c r="BC100" s="56"/>
      <c r="BD100" s="308">
        <v>1</v>
      </c>
      <c r="BE100" s="62">
        <v>400</v>
      </c>
      <c r="BF100" s="62">
        <v>2000</v>
      </c>
      <c r="BG100" s="49"/>
      <c r="BH100" s="49"/>
      <c r="BI100" s="49"/>
      <c r="BJ100" s="62"/>
      <c r="BK100" s="62"/>
      <c r="BL100" s="62"/>
    </row>
    <row r="101" spans="1:64">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62"/>
      <c r="AE101" s="62"/>
      <c r="AF101" s="150"/>
      <c r="AG101" s="124"/>
      <c r="AH101" s="49"/>
      <c r="AI101" s="49"/>
      <c r="AJ101" s="49"/>
      <c r="AK101" s="49"/>
      <c r="AL101" s="49"/>
      <c r="AM101" s="56"/>
      <c r="AN101" s="62" t="s">
        <v>217</v>
      </c>
      <c r="AO101" s="62">
        <v>400</v>
      </c>
      <c r="AP101" s="62" t="s">
        <v>1979</v>
      </c>
      <c r="AQ101" s="83" t="s">
        <v>1982</v>
      </c>
      <c r="AR101" s="62">
        <v>250</v>
      </c>
      <c r="AS101" s="83">
        <v>15</v>
      </c>
      <c r="AT101" s="49"/>
      <c r="AU101" s="49" t="s">
        <v>1983</v>
      </c>
      <c r="AV101" s="56"/>
      <c r="AW101" s="323">
        <v>2</v>
      </c>
      <c r="AX101" s="62">
        <v>140</v>
      </c>
      <c r="AY101" s="62">
        <v>2000</v>
      </c>
      <c r="AZ101" s="124"/>
      <c r="BA101" s="150"/>
      <c r="BB101" s="49" t="s">
        <v>1698</v>
      </c>
      <c r="BC101" s="56"/>
      <c r="BD101" s="299">
        <v>2</v>
      </c>
      <c r="BE101" s="62">
        <v>450</v>
      </c>
      <c r="BF101" s="62">
        <v>4000</v>
      </c>
      <c r="BG101" s="49"/>
      <c r="BH101" s="49"/>
      <c r="BI101" s="49"/>
      <c r="BJ101" s="62"/>
      <c r="BK101" s="62"/>
      <c r="BL101" s="62"/>
    </row>
    <row r="102" spans="1:64">
      <c r="A102" s="49"/>
      <c r="B102" s="49"/>
      <c r="C102" s="49"/>
      <c r="D102" s="49"/>
      <c r="E102" s="49"/>
      <c r="F102" s="49"/>
      <c r="G102" s="49"/>
      <c r="H102" s="90"/>
      <c r="I102" s="62"/>
      <c r="J102" s="62"/>
      <c r="K102" s="62"/>
      <c r="L102" s="150"/>
      <c r="M102" s="124"/>
      <c r="N102" s="49"/>
      <c r="O102" s="49"/>
      <c r="P102" s="49"/>
      <c r="Q102" s="49"/>
      <c r="R102" s="90"/>
      <c r="S102" s="62"/>
      <c r="T102" s="62"/>
      <c r="U102" s="62"/>
      <c r="V102" s="150"/>
      <c r="W102" s="124"/>
      <c r="X102" s="49"/>
      <c r="Y102" s="49"/>
      <c r="Z102" s="49"/>
      <c r="AA102" s="49"/>
      <c r="AB102" s="278"/>
      <c r="AC102" s="62"/>
      <c r="AD102" s="62"/>
      <c r="AE102" s="62"/>
      <c r="AF102" s="150"/>
      <c r="AG102" s="124"/>
      <c r="AH102" s="49"/>
      <c r="AI102" s="49"/>
      <c r="AJ102" s="49"/>
      <c r="AK102" s="49"/>
      <c r="AL102" s="49"/>
      <c r="AM102" s="56"/>
      <c r="AN102" s="62" t="s">
        <v>220</v>
      </c>
      <c r="AO102" s="62">
        <v>650</v>
      </c>
      <c r="AP102" s="62" t="s">
        <v>1978</v>
      </c>
      <c r="AQ102" s="83" t="s">
        <v>1979</v>
      </c>
      <c r="AR102" s="62">
        <v>500</v>
      </c>
      <c r="AS102" s="83">
        <v>20</v>
      </c>
      <c r="AT102" s="49"/>
      <c r="AU102" s="322" t="s">
        <v>1984</v>
      </c>
      <c r="AV102" s="61"/>
      <c r="AW102" s="309">
        <v>3</v>
      </c>
      <c r="AX102" s="62">
        <v>160</v>
      </c>
      <c r="AY102" s="62">
        <v>4000</v>
      </c>
      <c r="AZ102" s="124"/>
      <c r="BA102" s="150"/>
      <c r="BB102" s="322" t="s">
        <v>1269</v>
      </c>
      <c r="BC102" s="61"/>
      <c r="BD102" s="301">
        <v>3</v>
      </c>
      <c r="BE102" s="62">
        <v>500</v>
      </c>
      <c r="BF102" s="62">
        <v>8000</v>
      </c>
      <c r="BG102" s="49"/>
      <c r="BH102" s="49"/>
      <c r="BI102" s="49"/>
      <c r="BJ102" s="62"/>
      <c r="BK102" s="62"/>
      <c r="BL102" s="62"/>
    </row>
    <row r="103" spans="1:64">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62"/>
      <c r="AE103" s="62"/>
      <c r="AF103" s="150"/>
      <c r="AG103" s="124"/>
      <c r="AH103" s="49"/>
      <c r="AI103" s="49"/>
      <c r="AJ103" s="49"/>
      <c r="AK103" s="49"/>
      <c r="AL103" s="49"/>
      <c r="AM103" s="56"/>
      <c r="AN103" s="62" t="s">
        <v>219</v>
      </c>
      <c r="AO103" s="62">
        <v>650</v>
      </c>
      <c r="AP103" s="62" t="s">
        <v>1978</v>
      </c>
      <c r="AQ103" s="83" t="s">
        <v>1979</v>
      </c>
      <c r="AR103" s="62">
        <v>500</v>
      </c>
      <c r="AS103" s="83">
        <v>15</v>
      </c>
      <c r="AT103" s="49"/>
      <c r="AU103" s="49" t="s">
        <v>1672</v>
      </c>
      <c r="AV103" s="56"/>
      <c r="AW103" s="310">
        <v>4</v>
      </c>
      <c r="AX103" s="62">
        <v>180</v>
      </c>
      <c r="AY103" s="62">
        <v>9000</v>
      </c>
      <c r="AZ103" s="124"/>
      <c r="BA103" s="150"/>
      <c r="BB103" s="49" t="s">
        <v>1674</v>
      </c>
      <c r="BC103" s="56"/>
      <c r="BD103" s="302">
        <v>4</v>
      </c>
      <c r="BE103" s="62">
        <v>550</v>
      </c>
      <c r="BF103" s="150">
        <v>15000</v>
      </c>
      <c r="BG103" s="49"/>
      <c r="BH103" s="49"/>
      <c r="BI103" s="49"/>
      <c r="BJ103" s="62"/>
      <c r="BK103" s="62"/>
      <c r="BL103" s="62"/>
    </row>
    <row r="104" spans="1:64">
      <c r="A104" s="49"/>
      <c r="B104" s="49"/>
      <c r="C104" s="49"/>
      <c r="D104" s="49"/>
      <c r="E104" s="49"/>
      <c r="F104" s="49"/>
      <c r="G104" s="49"/>
      <c r="H104" s="90"/>
      <c r="I104" s="62"/>
      <c r="J104" s="62"/>
      <c r="K104" s="62"/>
      <c r="L104" s="150"/>
      <c r="M104" s="124"/>
      <c r="N104" s="49"/>
      <c r="O104" s="49"/>
      <c r="P104" s="49"/>
      <c r="Q104" s="49"/>
      <c r="R104" s="90"/>
      <c r="S104" s="62"/>
      <c r="T104" s="62"/>
      <c r="U104" s="62"/>
      <c r="V104" s="150"/>
      <c r="W104" s="124"/>
      <c r="X104" s="49"/>
      <c r="Y104" s="49"/>
      <c r="Z104" s="49"/>
      <c r="AA104" s="49"/>
      <c r="AB104" s="278"/>
      <c r="AC104" s="62"/>
      <c r="AD104" s="62"/>
      <c r="AE104" s="62"/>
      <c r="AF104" s="150"/>
      <c r="AG104" s="124"/>
      <c r="AH104" s="49"/>
      <c r="AI104" s="49"/>
      <c r="AJ104" s="49"/>
      <c r="AK104" s="49"/>
      <c r="AL104" s="49"/>
      <c r="AM104" s="56"/>
      <c r="AN104" s="62" t="s">
        <v>221</v>
      </c>
      <c r="AO104" s="62">
        <v>650</v>
      </c>
      <c r="AP104" s="62" t="s">
        <v>1978</v>
      </c>
      <c r="AQ104" s="83" t="s">
        <v>1979</v>
      </c>
      <c r="AR104" s="62">
        <v>500</v>
      </c>
      <c r="AS104" s="83">
        <v>20</v>
      </c>
      <c r="AT104" s="49"/>
      <c r="AU104" s="315"/>
      <c r="AV104" s="56"/>
      <c r="AW104" s="303">
        <v>5</v>
      </c>
      <c r="AX104" s="62">
        <v>200</v>
      </c>
      <c r="AY104" s="150">
        <v>15000</v>
      </c>
      <c r="AZ104" s="124"/>
      <c r="BA104" s="150"/>
      <c r="BB104" s="315"/>
      <c r="BC104" s="56"/>
      <c r="BD104" s="303">
        <v>5</v>
      </c>
      <c r="BE104" s="62">
        <v>600</v>
      </c>
      <c r="BF104" s="150">
        <v>25000</v>
      </c>
      <c r="BG104" s="49"/>
      <c r="BH104" s="49"/>
      <c r="BI104" s="49"/>
      <c r="BJ104" s="62"/>
      <c r="BK104" s="62"/>
      <c r="BL104" s="62"/>
    </row>
    <row r="105" spans="1:64">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62"/>
      <c r="AE105" s="62"/>
      <c r="AF105" s="150"/>
      <c r="AG105" s="124"/>
      <c r="AH105" s="49"/>
      <c r="AI105" s="49"/>
      <c r="AJ105" s="49"/>
      <c r="AK105" s="49"/>
      <c r="AL105" s="49"/>
      <c r="AM105" s="49"/>
      <c r="AN105" s="107" t="s">
        <v>222</v>
      </c>
      <c r="AO105" s="62">
        <v>900</v>
      </c>
      <c r="AP105" s="62" t="s">
        <v>1978</v>
      </c>
      <c r="AQ105" s="83" t="s">
        <v>1979</v>
      </c>
      <c r="AR105" s="62">
        <v>500</v>
      </c>
      <c r="AS105" s="62">
        <v>20</v>
      </c>
      <c r="AT105" s="49"/>
      <c r="AU105" s="49"/>
      <c r="AV105" s="49"/>
      <c r="AW105" s="49"/>
      <c r="AX105" s="62"/>
      <c r="AY105" s="150"/>
      <c r="AZ105" s="124"/>
      <c r="BA105" s="150"/>
      <c r="BB105" s="49"/>
      <c r="BC105" s="56"/>
      <c r="BD105" s="315"/>
      <c r="BE105" s="62"/>
      <c r="BF105" s="150"/>
      <c r="BG105" s="49"/>
      <c r="BH105" s="49"/>
      <c r="BI105" s="49"/>
      <c r="BJ105" s="62"/>
      <c r="BK105" s="62"/>
      <c r="BL105" s="62"/>
    </row>
    <row r="106" spans="1:64">
      <c r="A106" s="49"/>
      <c r="B106" s="49"/>
      <c r="C106" s="49"/>
      <c r="D106" s="49"/>
      <c r="E106" s="49"/>
      <c r="F106" s="49"/>
      <c r="G106" s="49"/>
      <c r="H106" s="90"/>
      <c r="I106" s="62"/>
      <c r="J106" s="62"/>
      <c r="K106" s="62"/>
      <c r="L106" s="150"/>
      <c r="M106" s="124"/>
      <c r="N106" s="49"/>
      <c r="O106" s="49"/>
      <c r="P106" s="49"/>
      <c r="Q106" s="49"/>
      <c r="R106" s="90"/>
      <c r="S106" s="62"/>
      <c r="T106" s="62"/>
      <c r="U106" s="62"/>
      <c r="V106" s="150"/>
      <c r="W106" s="124"/>
      <c r="X106" s="49"/>
      <c r="Y106" s="49"/>
      <c r="Z106" s="49"/>
      <c r="AA106" s="49"/>
      <c r="AB106" s="278"/>
      <c r="AC106" s="62"/>
      <c r="AD106" s="62"/>
      <c r="AE106" s="62"/>
      <c r="AF106" s="150"/>
      <c r="AG106" s="124"/>
      <c r="AH106" s="49"/>
      <c r="AI106" s="49"/>
      <c r="AJ106" s="49"/>
      <c r="AK106" s="49"/>
      <c r="AL106" s="49"/>
      <c r="AM106" s="49"/>
      <c r="AN106" s="326" t="s">
        <v>223</v>
      </c>
      <c r="AO106" s="62">
        <v>650</v>
      </c>
      <c r="AP106" s="62" t="s">
        <v>1978</v>
      </c>
      <c r="AQ106" s="83" t="s">
        <v>1979</v>
      </c>
      <c r="AR106" s="62">
        <v>500</v>
      </c>
      <c r="AS106" s="83">
        <v>20</v>
      </c>
      <c r="AT106" s="49"/>
      <c r="AU106" s="49"/>
      <c r="AV106" s="49"/>
      <c r="AW106" s="49"/>
      <c r="AX106" s="62"/>
      <c r="AY106" s="150"/>
      <c r="AZ106" s="124"/>
      <c r="BA106" s="150"/>
      <c r="BB106" s="49"/>
      <c r="BC106" s="49"/>
      <c r="BD106" s="90"/>
      <c r="BE106" s="62"/>
      <c r="BF106" s="62"/>
      <c r="BG106" s="49"/>
      <c r="BH106" s="49"/>
      <c r="BI106" s="49"/>
      <c r="BJ106" s="62"/>
      <c r="BK106" s="62"/>
      <c r="BL106" s="62"/>
    </row>
    <row r="107" spans="1:64">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62"/>
      <c r="AE107" s="62"/>
      <c r="AF107" s="150"/>
      <c r="AG107" s="124"/>
      <c r="AH107" s="49"/>
      <c r="AI107" s="49"/>
      <c r="AJ107" s="49"/>
      <c r="AK107" s="49"/>
      <c r="AL107" s="49"/>
      <c r="AM107" s="49"/>
      <c r="AN107" s="49"/>
      <c r="AO107" s="49"/>
      <c r="AP107" s="49"/>
      <c r="AQ107" s="49"/>
      <c r="AR107" s="49"/>
      <c r="AS107" s="49"/>
      <c r="AT107" s="49"/>
      <c r="AU107" s="49"/>
      <c r="AV107" s="49"/>
      <c r="AW107" s="49"/>
      <c r="AX107" s="62"/>
      <c r="AY107" s="150"/>
      <c r="AZ107" s="124"/>
      <c r="BA107" s="150"/>
      <c r="BB107" s="49"/>
      <c r="BC107" s="49"/>
      <c r="BD107" s="278"/>
      <c r="BE107" s="62"/>
      <c r="BF107" s="62"/>
      <c r="BG107" s="49"/>
      <c r="BH107" s="49"/>
      <c r="BI107" s="49"/>
      <c r="BJ107" s="62"/>
      <c r="BK107" s="62"/>
      <c r="BL107" s="62"/>
    </row>
    <row r="108" spans="1:64">
      <c r="A108" s="49"/>
      <c r="B108" s="49"/>
      <c r="C108" s="49"/>
      <c r="D108" s="49"/>
      <c r="E108" s="49"/>
      <c r="F108" s="49"/>
      <c r="G108" s="49"/>
      <c r="H108" s="90"/>
      <c r="I108" s="62"/>
      <c r="J108" s="62"/>
      <c r="K108" s="62"/>
      <c r="L108" s="150"/>
      <c r="M108" s="124"/>
      <c r="N108" s="49"/>
      <c r="O108" s="49"/>
      <c r="P108" s="49"/>
      <c r="Q108" s="49"/>
      <c r="R108" s="90"/>
      <c r="S108" s="62"/>
      <c r="T108" s="62"/>
      <c r="U108" s="62"/>
      <c r="V108" s="150"/>
      <c r="W108" s="124"/>
      <c r="X108" s="49"/>
      <c r="Y108" s="49"/>
      <c r="Z108" s="49"/>
      <c r="AA108" s="49"/>
      <c r="AB108" s="278"/>
      <c r="AC108" s="62"/>
      <c r="AD108" s="62"/>
      <c r="AE108" s="62"/>
      <c r="AF108" s="150"/>
      <c r="AG108" s="124"/>
      <c r="AH108" s="49"/>
      <c r="AI108" s="49"/>
      <c r="AJ108" s="49"/>
      <c r="AK108" s="49"/>
      <c r="AL108" s="49"/>
      <c r="AM108" s="49"/>
      <c r="AN108" s="49"/>
      <c r="AO108" s="49"/>
      <c r="AP108" s="49"/>
      <c r="AQ108" s="49"/>
      <c r="AR108" s="49"/>
      <c r="AS108" s="49"/>
      <c r="AT108" s="49"/>
      <c r="AU108" s="49"/>
      <c r="AV108" s="49"/>
      <c r="AW108" s="49"/>
      <c r="AX108" s="62"/>
      <c r="AY108" s="150"/>
      <c r="AZ108" s="124"/>
      <c r="BA108" s="150"/>
      <c r="BB108" s="49"/>
      <c r="BC108" s="49"/>
      <c r="BD108" s="279"/>
      <c r="BE108" s="62"/>
      <c r="BF108" s="62"/>
      <c r="BG108" s="49"/>
      <c r="BH108" s="49"/>
      <c r="BI108" s="49"/>
      <c r="BJ108" s="62"/>
      <c r="BK108" s="62"/>
      <c r="BL108" s="62"/>
    </row>
    <row r="109" spans="1:64">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62"/>
      <c r="AE109" s="62"/>
      <c r="AF109" s="150"/>
      <c r="AG109" s="124"/>
      <c r="AH109" s="49"/>
      <c r="AI109" s="49"/>
      <c r="AJ109" s="49"/>
      <c r="AK109" s="49"/>
      <c r="AL109" s="49"/>
      <c r="AM109" s="49"/>
      <c r="AN109" s="49"/>
      <c r="AO109" s="49"/>
      <c r="AP109" s="49"/>
      <c r="AQ109" s="49"/>
      <c r="AR109" s="49"/>
      <c r="AS109" s="49"/>
      <c r="AT109" s="49"/>
      <c r="AU109" s="49"/>
      <c r="AV109" s="49"/>
      <c r="AW109" s="49"/>
      <c r="AX109" s="49"/>
      <c r="AY109" s="49"/>
      <c r="AZ109" s="49"/>
      <c r="BA109" s="150"/>
      <c r="BB109" s="49"/>
      <c r="BC109" s="49"/>
      <c r="BD109" s="280"/>
      <c r="BE109" s="62"/>
      <c r="BF109" s="62"/>
      <c r="BG109" s="49"/>
      <c r="BH109" s="49"/>
      <c r="BI109" s="49"/>
      <c r="BJ109" s="62"/>
      <c r="BK109" s="62"/>
      <c r="BL109" s="62"/>
    </row>
    <row r="110" spans="1:64">
      <c r="A110" s="49"/>
      <c r="B110" s="49"/>
      <c r="C110" s="49"/>
      <c r="D110" s="49"/>
      <c r="E110" s="49"/>
      <c r="F110" s="49"/>
      <c r="G110" s="49"/>
      <c r="H110" s="90"/>
      <c r="I110" s="62"/>
      <c r="J110" s="62"/>
      <c r="K110" s="62"/>
      <c r="L110" s="150"/>
      <c r="M110" s="124"/>
      <c r="N110" s="49"/>
      <c r="O110" s="49"/>
      <c r="P110" s="49"/>
      <c r="Q110" s="49"/>
      <c r="R110" s="90"/>
      <c r="S110" s="62"/>
      <c r="T110" s="62"/>
      <c r="U110" s="62"/>
      <c r="V110" s="150"/>
      <c r="W110" s="124"/>
      <c r="X110" s="49"/>
      <c r="Y110" s="49"/>
      <c r="Z110" s="49"/>
      <c r="AA110" s="49"/>
      <c r="AB110" s="278"/>
      <c r="AC110" s="62"/>
      <c r="AD110" s="62"/>
      <c r="AE110" s="62"/>
      <c r="AF110" s="150"/>
      <c r="AG110" s="124"/>
      <c r="AH110" s="49"/>
      <c r="AI110" s="49"/>
      <c r="AJ110" s="49"/>
      <c r="AK110" s="49"/>
      <c r="AL110" s="49"/>
      <c r="AM110" s="49"/>
      <c r="AN110" s="49"/>
      <c r="AO110" s="49"/>
      <c r="AP110" s="49"/>
      <c r="AQ110" s="49"/>
      <c r="AR110" s="49"/>
      <c r="AS110" s="49"/>
      <c r="AT110" s="49"/>
      <c r="AU110" s="49" t="s">
        <v>1985</v>
      </c>
      <c r="AV110" s="49"/>
      <c r="AW110" s="49"/>
      <c r="AX110" s="49"/>
      <c r="AY110" s="49"/>
      <c r="AZ110" s="49"/>
      <c r="BA110" s="49"/>
      <c r="BB110" s="49" t="s">
        <v>1986</v>
      </c>
      <c r="BC110" s="49"/>
      <c r="BD110" s="49"/>
      <c r="BE110" s="49"/>
      <c r="BF110" s="49"/>
      <c r="BG110" s="49"/>
      <c r="BH110" s="49"/>
      <c r="BI110" s="49"/>
      <c r="BJ110" s="62"/>
      <c r="BK110" s="62"/>
      <c r="BL110" s="62"/>
    </row>
    <row r="111" spans="1:64">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62"/>
      <c r="AE111" s="62"/>
      <c r="AF111" s="150"/>
      <c r="AG111" s="124"/>
      <c r="AH111" s="49"/>
      <c r="AI111" s="49"/>
      <c r="AJ111" s="49"/>
      <c r="AK111" s="49"/>
      <c r="AL111" s="49"/>
      <c r="AM111" s="49"/>
      <c r="AN111" s="49"/>
      <c r="AO111" s="49"/>
      <c r="AP111" s="49"/>
      <c r="AQ111" s="49"/>
      <c r="AR111" s="49"/>
      <c r="AS111" s="49"/>
      <c r="AT111" s="49"/>
      <c r="AU111" s="52" t="s">
        <v>1987</v>
      </c>
      <c r="AV111" s="64"/>
      <c r="AW111" s="65" t="s">
        <v>243</v>
      </c>
      <c r="AX111" s="65" t="s">
        <v>353</v>
      </c>
      <c r="AY111" s="65" t="s">
        <v>1091</v>
      </c>
      <c r="AZ111" s="49"/>
      <c r="BA111" s="49"/>
      <c r="BB111" s="52" t="s">
        <v>732</v>
      </c>
      <c r="BC111" s="64"/>
      <c r="BD111" s="65" t="s">
        <v>243</v>
      </c>
      <c r="BE111" s="65" t="s">
        <v>353</v>
      </c>
      <c r="BF111" s="65" t="s">
        <v>1091</v>
      </c>
      <c r="BG111" s="49"/>
      <c r="BH111" s="49"/>
      <c r="BI111" s="49"/>
      <c r="BJ111" s="62"/>
      <c r="BK111" s="62"/>
      <c r="BL111" s="62"/>
    </row>
    <row r="112" spans="1:64">
      <c r="A112" s="49"/>
      <c r="B112" s="49"/>
      <c r="C112" s="49"/>
      <c r="D112" s="49"/>
      <c r="E112" s="49"/>
      <c r="F112" s="49"/>
      <c r="G112" s="49"/>
      <c r="H112" s="90"/>
      <c r="I112" s="62"/>
      <c r="J112" s="62"/>
      <c r="K112" s="62"/>
      <c r="L112" s="150"/>
      <c r="M112" s="124"/>
      <c r="N112" s="49"/>
      <c r="O112" s="49"/>
      <c r="P112" s="49"/>
      <c r="Q112" s="49"/>
      <c r="R112" s="90"/>
      <c r="S112" s="62"/>
      <c r="T112" s="62"/>
      <c r="U112" s="62"/>
      <c r="V112" s="150"/>
      <c r="W112" s="124"/>
      <c r="X112" s="49"/>
      <c r="Y112" s="49"/>
      <c r="Z112" s="49"/>
      <c r="AA112" s="49"/>
      <c r="AB112" s="278"/>
      <c r="AC112" s="62"/>
      <c r="AD112" s="62"/>
      <c r="AE112" s="62"/>
      <c r="AF112" s="150"/>
      <c r="AG112" s="124"/>
      <c r="AH112" s="49"/>
      <c r="AI112" s="49"/>
      <c r="AJ112" s="49"/>
      <c r="AK112" s="49"/>
      <c r="AL112" s="49"/>
      <c r="AM112" s="49"/>
      <c r="AN112" s="49"/>
      <c r="AO112" s="49"/>
      <c r="AP112" s="49"/>
      <c r="AQ112" s="49"/>
      <c r="AR112" s="49"/>
      <c r="AS112" s="49"/>
      <c r="AT112" s="49"/>
      <c r="AU112" s="49" t="s">
        <v>1988</v>
      </c>
      <c r="AV112" s="56"/>
      <c r="AW112" s="309">
        <v>1</v>
      </c>
      <c r="AX112" s="62">
        <v>400</v>
      </c>
      <c r="AY112" s="62">
        <v>1500</v>
      </c>
      <c r="AZ112" s="49"/>
      <c r="BA112" s="49"/>
      <c r="BB112" s="49" t="s">
        <v>1989</v>
      </c>
      <c r="BC112" s="56"/>
      <c r="BD112" s="301">
        <v>1</v>
      </c>
      <c r="BE112" s="62">
        <v>1000</v>
      </c>
      <c r="BF112" s="62">
        <v>2500</v>
      </c>
      <c r="BG112" s="49"/>
      <c r="BH112" s="49"/>
      <c r="BI112" s="49"/>
      <c r="BJ112" s="62"/>
      <c r="BK112" s="62"/>
      <c r="BL112" s="62"/>
    </row>
    <row r="113" spans="1:64">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62"/>
      <c r="AE113" s="62"/>
      <c r="AF113" s="150"/>
      <c r="AG113" s="124"/>
      <c r="AH113" s="49"/>
      <c r="AI113" s="49"/>
      <c r="AJ113" s="49"/>
      <c r="AK113" s="49"/>
      <c r="AL113" s="49"/>
      <c r="AM113" s="49"/>
      <c r="AN113" s="49"/>
      <c r="AO113" s="49"/>
      <c r="AP113" s="49"/>
      <c r="AQ113" s="49"/>
      <c r="AR113" s="49"/>
      <c r="AS113" s="49"/>
      <c r="AT113" s="49"/>
      <c r="AU113" s="54" t="s">
        <v>1669</v>
      </c>
      <c r="AV113" s="56"/>
      <c r="AW113" s="309">
        <v>2</v>
      </c>
      <c r="AX113" s="62">
        <v>450</v>
      </c>
      <c r="AY113" s="62">
        <v>3000</v>
      </c>
      <c r="AZ113" s="62"/>
      <c r="BA113" s="62"/>
      <c r="BB113" s="49"/>
      <c r="BC113" s="56"/>
      <c r="BD113" s="301">
        <v>2</v>
      </c>
      <c r="BE113" s="62">
        <v>1400</v>
      </c>
      <c r="BF113" s="62">
        <v>5000</v>
      </c>
      <c r="BG113" s="49"/>
      <c r="BH113" s="49"/>
      <c r="BI113" s="49"/>
      <c r="BJ113" s="62"/>
      <c r="BK113" s="62"/>
      <c r="BL113" s="62"/>
    </row>
    <row r="114" spans="1:64">
      <c r="A114" s="49"/>
      <c r="B114" s="49"/>
      <c r="C114" s="49"/>
      <c r="D114" s="49"/>
      <c r="E114" s="49"/>
      <c r="F114" s="49"/>
      <c r="G114" s="49"/>
      <c r="H114" s="90"/>
      <c r="I114" s="62"/>
      <c r="J114" s="62"/>
      <c r="K114" s="62"/>
      <c r="L114" s="150"/>
      <c r="M114" s="124"/>
      <c r="N114" s="49"/>
      <c r="O114" s="49"/>
      <c r="P114" s="49"/>
      <c r="Q114" s="49"/>
      <c r="R114" s="90"/>
      <c r="S114" s="62"/>
      <c r="T114" s="62"/>
      <c r="U114" s="62"/>
      <c r="V114" s="150"/>
      <c r="W114" s="124"/>
      <c r="X114" s="49"/>
      <c r="Y114" s="49"/>
      <c r="Z114" s="49"/>
      <c r="AA114" s="49"/>
      <c r="AB114" s="278"/>
      <c r="AC114" s="62"/>
      <c r="AD114" s="62"/>
      <c r="AE114" s="62"/>
      <c r="AF114" s="150"/>
      <c r="AG114" s="124"/>
      <c r="AH114" s="49"/>
      <c r="AI114" s="49"/>
      <c r="AJ114" s="49"/>
      <c r="AK114" s="49"/>
      <c r="AL114" s="49"/>
      <c r="AM114" s="49"/>
      <c r="AN114" s="49"/>
      <c r="AO114" s="49"/>
      <c r="AP114" s="49"/>
      <c r="AQ114" s="49"/>
      <c r="AR114" s="49"/>
      <c r="AS114" s="49"/>
      <c r="AT114" s="49"/>
      <c r="AU114" s="49" t="s">
        <v>1990</v>
      </c>
      <c r="AV114" s="56"/>
      <c r="AW114" s="310">
        <v>3</v>
      </c>
      <c r="AX114" s="62">
        <v>500</v>
      </c>
      <c r="AY114" s="62">
        <v>6000</v>
      </c>
      <c r="AZ114" s="62"/>
      <c r="BA114" s="150"/>
      <c r="BB114" s="331"/>
      <c r="BC114" s="61"/>
      <c r="BD114" s="310">
        <v>3</v>
      </c>
      <c r="BE114" s="62">
        <v>1600</v>
      </c>
      <c r="BF114" s="150">
        <v>10000</v>
      </c>
      <c r="BG114" s="49"/>
      <c r="BH114" s="49"/>
      <c r="BI114" s="49"/>
      <c r="BJ114" s="62"/>
      <c r="BK114" s="62"/>
      <c r="BL114" s="62"/>
    </row>
    <row r="115" spans="1:64">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322" t="s">
        <v>1991</v>
      </c>
      <c r="AV115" s="61"/>
      <c r="AW115" s="312">
        <v>4</v>
      </c>
      <c r="AX115" s="62">
        <v>550</v>
      </c>
      <c r="AY115" s="150">
        <v>12000</v>
      </c>
      <c r="AZ115" s="62"/>
      <c r="BA115" s="150"/>
      <c r="BB115" s="49" t="s">
        <v>1674</v>
      </c>
      <c r="BC115" s="56"/>
      <c r="BD115" s="312">
        <v>4</v>
      </c>
      <c r="BE115" s="62">
        <v>1800</v>
      </c>
      <c r="BF115" s="150">
        <v>18000</v>
      </c>
      <c r="BG115" s="49"/>
      <c r="BH115" s="49"/>
      <c r="BI115" s="49"/>
      <c r="BJ115" s="62"/>
      <c r="BK115" s="62"/>
      <c r="BL115" s="62"/>
    </row>
    <row r="116" spans="1:64">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t="s">
        <v>1674</v>
      </c>
      <c r="AV116" s="56"/>
      <c r="AW116" s="313">
        <v>5</v>
      </c>
      <c r="AX116" s="62">
        <v>600</v>
      </c>
      <c r="AY116" s="150">
        <v>20000</v>
      </c>
      <c r="AZ116" s="62"/>
      <c r="BA116" s="150"/>
      <c r="BB116" s="315"/>
      <c r="BC116" s="56"/>
      <c r="BD116" s="313">
        <v>5</v>
      </c>
      <c r="BE116" s="62">
        <v>2000</v>
      </c>
      <c r="BF116" s="150">
        <v>30000</v>
      </c>
      <c r="BG116" s="49"/>
      <c r="BH116" s="49"/>
      <c r="BI116" s="49"/>
      <c r="BJ116" s="62"/>
      <c r="BK116" s="62"/>
      <c r="BL116" s="62"/>
    </row>
    <row r="117" spans="1:64">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62"/>
      <c r="BK117" s="62"/>
      <c r="BL117" s="62"/>
    </row>
    <row r="118" spans="1:64">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62"/>
      <c r="BK118" s="62"/>
      <c r="BL118" s="62"/>
    </row>
    <row r="119" spans="1:64">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62"/>
      <c r="BK119" s="62"/>
      <c r="BL119" s="62"/>
    </row>
    <row r="120" spans="1:64">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62"/>
      <c r="BK120" s="62"/>
      <c r="BL120" s="62"/>
    </row>
    <row r="121" spans="1:64">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62"/>
      <c r="BK121" s="62"/>
      <c r="BL121" s="62"/>
    </row>
    <row r="122" spans="1:64">
      <c r="A122" s="152"/>
      <c r="B122" s="152"/>
      <c r="C122" s="152"/>
      <c r="D122" s="152"/>
      <c r="E122" s="152"/>
      <c r="F122" s="152"/>
      <c r="G122" s="152"/>
      <c r="H122" s="152"/>
      <c r="I122" s="152"/>
      <c r="J122" s="152"/>
      <c r="K122" s="152"/>
      <c r="L122" s="152"/>
      <c r="M122" s="152"/>
      <c r="N122" s="152"/>
      <c r="O122" s="152"/>
      <c r="P122" s="152"/>
      <c r="Q122" s="152"/>
      <c r="R122" s="152"/>
      <c r="S122" s="152"/>
      <c r="T122" s="152"/>
      <c r="U122" s="152"/>
      <c r="V122" s="152"/>
      <c r="W122" s="152"/>
      <c r="X122" s="152"/>
      <c r="Y122" s="152"/>
      <c r="Z122" s="152"/>
      <c r="AA122" s="152"/>
      <c r="AB122" s="152"/>
      <c r="AC122" s="152"/>
      <c r="AD122" s="152"/>
      <c r="AE122" s="152"/>
      <c r="AF122" s="152"/>
      <c r="AG122" s="152"/>
    </row>
    <row r="123" spans="1:64">
      <c r="A123" s="152"/>
      <c r="B123" s="152"/>
      <c r="C123" s="152"/>
      <c r="D123" s="152"/>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c r="AA123" s="152"/>
      <c r="AB123" s="152"/>
      <c r="AC123" s="152"/>
      <c r="AD123" s="152"/>
      <c r="AE123" s="152"/>
      <c r="AF123" s="152"/>
      <c r="AG123" s="152"/>
    </row>
    <row r="124" spans="1:64">
      <c r="A124" s="152"/>
      <c r="B124" s="152"/>
      <c r="C124" s="152"/>
      <c r="D124" s="152"/>
      <c r="E124" s="152"/>
      <c r="F124" s="152"/>
      <c r="G124" s="152"/>
      <c r="H124" s="332"/>
      <c r="I124" s="153"/>
      <c r="J124" s="153"/>
      <c r="K124" s="153"/>
      <c r="L124" s="335"/>
      <c r="M124" s="336"/>
      <c r="N124" s="152"/>
      <c r="O124" s="152"/>
      <c r="P124" s="152"/>
      <c r="Q124" s="152"/>
      <c r="R124" s="332"/>
      <c r="S124" s="153"/>
      <c r="T124" s="153"/>
      <c r="U124" s="153"/>
      <c r="V124" s="335"/>
      <c r="W124" s="336"/>
      <c r="X124" s="152"/>
      <c r="Y124" s="152"/>
      <c r="Z124" s="152"/>
      <c r="AA124" s="152"/>
      <c r="AB124" s="333"/>
      <c r="AC124" s="153"/>
      <c r="AD124" s="153"/>
      <c r="AE124" s="153"/>
      <c r="AF124" s="335"/>
      <c r="AG124" s="336"/>
    </row>
    <row r="125" spans="1:64">
      <c r="A125" s="152"/>
      <c r="B125" s="152"/>
      <c r="C125" s="152"/>
      <c r="D125" s="152"/>
      <c r="E125" s="152"/>
      <c r="F125" s="152"/>
      <c r="G125" s="152"/>
      <c r="H125" s="333"/>
      <c r="I125" s="153"/>
      <c r="J125" s="153"/>
      <c r="K125" s="153"/>
      <c r="L125" s="335"/>
      <c r="M125" s="336"/>
      <c r="N125" s="152"/>
      <c r="O125" s="152"/>
      <c r="P125" s="152"/>
      <c r="Q125" s="152"/>
      <c r="R125" s="333"/>
      <c r="S125" s="153"/>
      <c r="T125" s="153"/>
      <c r="U125" s="153"/>
      <c r="V125" s="335"/>
      <c r="W125" s="336"/>
      <c r="X125" s="152"/>
      <c r="Y125" s="152"/>
      <c r="Z125" s="152"/>
      <c r="AA125" s="152"/>
      <c r="AB125" s="339"/>
      <c r="AC125" s="153"/>
      <c r="AD125" s="153"/>
      <c r="AE125" s="153"/>
      <c r="AF125" s="335"/>
      <c r="AG125" s="336"/>
    </row>
    <row r="126" spans="1:64">
      <c r="A126" s="152"/>
      <c r="B126" s="152"/>
      <c r="C126" s="152"/>
      <c r="D126" s="152"/>
      <c r="E126" s="152"/>
      <c r="F126" s="152"/>
      <c r="G126" s="152"/>
      <c r="H126" s="334"/>
      <c r="I126" s="153"/>
      <c r="J126" s="153"/>
      <c r="K126" s="153"/>
      <c r="L126" s="335"/>
      <c r="M126" s="336"/>
      <c r="N126" s="152"/>
      <c r="O126" s="152"/>
      <c r="P126" s="152"/>
      <c r="Q126" s="152"/>
      <c r="R126" s="334"/>
      <c r="S126" s="153"/>
      <c r="T126" s="153"/>
      <c r="U126" s="153"/>
      <c r="V126" s="335"/>
      <c r="W126" s="336"/>
      <c r="X126" s="152"/>
      <c r="Y126" s="152"/>
      <c r="Z126" s="152"/>
      <c r="AA126" s="152"/>
      <c r="AB126" s="332"/>
      <c r="AC126" s="153"/>
      <c r="AD126" s="153"/>
      <c r="AE126" s="153"/>
      <c r="AF126" s="335"/>
      <c r="AG126" s="336"/>
    </row>
    <row r="127" spans="1:64">
      <c r="A127" s="152"/>
      <c r="B127" s="152"/>
      <c r="C127" s="152"/>
      <c r="D127" s="152"/>
      <c r="E127" s="152"/>
      <c r="F127" s="152"/>
      <c r="G127" s="152"/>
      <c r="H127" s="152"/>
      <c r="I127" s="152"/>
      <c r="J127" s="152"/>
      <c r="K127" s="152"/>
      <c r="L127" s="152"/>
      <c r="M127" s="152"/>
      <c r="N127" s="152"/>
      <c r="O127" s="152"/>
      <c r="P127" s="152"/>
      <c r="Q127" s="152"/>
      <c r="R127" s="152"/>
      <c r="S127" s="152"/>
      <c r="T127" s="152"/>
      <c r="U127" s="152"/>
      <c r="V127" s="152"/>
      <c r="W127" s="152"/>
      <c r="X127" s="152"/>
      <c r="Y127" s="152"/>
      <c r="Z127" s="152"/>
      <c r="AA127" s="152"/>
      <c r="AB127" s="333"/>
      <c r="AC127" s="153"/>
      <c r="AD127" s="153"/>
      <c r="AE127" s="153"/>
      <c r="AF127" s="335"/>
      <c r="AG127" s="336"/>
    </row>
    <row r="128" spans="1:64">
      <c r="A128" s="152"/>
      <c r="B128" s="152"/>
      <c r="C128" s="152"/>
      <c r="D128" s="152"/>
      <c r="E128" s="152"/>
      <c r="F128" s="152"/>
      <c r="G128" s="152"/>
      <c r="H128" s="152"/>
      <c r="I128" s="152"/>
      <c r="J128" s="152"/>
      <c r="K128" s="152"/>
      <c r="L128" s="152"/>
      <c r="M128" s="152"/>
      <c r="N128" s="152"/>
      <c r="O128" s="152"/>
      <c r="P128" s="152"/>
      <c r="Q128" s="152"/>
      <c r="R128" s="152"/>
      <c r="S128" s="152"/>
      <c r="T128" s="152"/>
      <c r="U128" s="152"/>
      <c r="V128" s="152"/>
      <c r="W128" s="152"/>
      <c r="X128" s="152"/>
      <c r="Y128" s="152"/>
      <c r="Z128" s="152"/>
      <c r="AA128" s="152"/>
      <c r="AB128" s="339"/>
      <c r="AC128" s="153"/>
      <c r="AD128" s="153"/>
      <c r="AE128" s="153"/>
      <c r="AF128" s="335"/>
      <c r="AG128" s="336"/>
    </row>
    <row r="129" spans="1:33">
      <c r="A129" s="152"/>
      <c r="B129" s="152"/>
      <c r="C129" s="152"/>
      <c r="D129" s="152"/>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c r="AA129" s="152"/>
      <c r="AB129" s="332"/>
      <c r="AC129" s="153"/>
      <c r="AD129" s="153"/>
      <c r="AE129" s="153"/>
      <c r="AF129" s="335"/>
      <c r="AG129" s="336"/>
    </row>
    <row r="130" spans="1:33">
      <c r="A130" s="152"/>
      <c r="B130" s="152"/>
      <c r="C130" s="152"/>
      <c r="D130" s="152"/>
      <c r="E130" s="152"/>
      <c r="F130" s="152"/>
      <c r="G130" s="152"/>
      <c r="H130" s="153"/>
      <c r="I130" s="153"/>
      <c r="J130" s="153"/>
      <c r="K130" s="153"/>
      <c r="L130" s="153"/>
      <c r="M130" s="153"/>
      <c r="N130" s="152"/>
      <c r="O130" s="152"/>
      <c r="P130" s="152"/>
      <c r="Q130" s="152"/>
      <c r="R130" s="153"/>
      <c r="S130" s="153"/>
      <c r="T130" s="153"/>
      <c r="U130" s="153"/>
      <c r="V130" s="153"/>
      <c r="W130" s="153"/>
      <c r="X130" s="152"/>
      <c r="Y130" s="152"/>
      <c r="Z130" s="152"/>
      <c r="AA130" s="152"/>
      <c r="AB130" s="152"/>
      <c r="AC130" s="152"/>
      <c r="AD130" s="152"/>
      <c r="AE130" s="152"/>
      <c r="AF130" s="152"/>
      <c r="AG130" s="152"/>
    </row>
    <row r="131" spans="1:33">
      <c r="A131" s="152"/>
      <c r="B131" s="152"/>
      <c r="C131" s="152"/>
      <c r="D131" s="152"/>
      <c r="E131" s="152"/>
      <c r="F131" s="152"/>
      <c r="G131" s="152"/>
      <c r="H131" s="333"/>
      <c r="I131" s="153"/>
      <c r="J131" s="153"/>
      <c r="K131" s="153"/>
      <c r="L131" s="335"/>
      <c r="M131" s="336"/>
      <c r="N131" s="152"/>
      <c r="O131" s="152"/>
      <c r="P131" s="152"/>
      <c r="Q131" s="152"/>
      <c r="R131" s="334"/>
      <c r="S131" s="153"/>
      <c r="T131" s="153"/>
      <c r="U131" s="153"/>
      <c r="V131" s="335"/>
      <c r="W131" s="336"/>
      <c r="X131" s="152"/>
      <c r="Y131" s="152"/>
      <c r="Z131" s="152"/>
      <c r="AA131" s="152"/>
      <c r="AB131" s="152"/>
      <c r="AC131" s="152"/>
      <c r="AD131" s="152"/>
      <c r="AE131" s="152"/>
      <c r="AF131" s="152"/>
      <c r="AG131" s="152"/>
    </row>
    <row r="132" spans="1:33">
      <c r="A132" s="152"/>
      <c r="B132" s="152"/>
      <c r="C132" s="152"/>
      <c r="D132" s="152"/>
      <c r="E132" s="152"/>
      <c r="F132" s="152"/>
      <c r="G132" s="152"/>
      <c r="H132" s="333"/>
      <c r="I132" s="153"/>
      <c r="J132" s="153"/>
      <c r="K132" s="153"/>
      <c r="L132" s="335"/>
      <c r="M132" s="336"/>
      <c r="N132" s="152"/>
      <c r="O132" s="152"/>
      <c r="P132" s="152"/>
      <c r="Q132" s="152"/>
      <c r="R132" s="334"/>
      <c r="S132" s="153"/>
      <c r="T132" s="153"/>
      <c r="U132" s="153"/>
      <c r="V132" s="335"/>
      <c r="W132" s="336"/>
      <c r="X132" s="152"/>
      <c r="Y132" s="152"/>
      <c r="Z132" s="152"/>
      <c r="AA132" s="152"/>
      <c r="AB132" s="152"/>
      <c r="AC132" s="152"/>
      <c r="AD132" s="152"/>
      <c r="AE132" s="152"/>
      <c r="AF132" s="152"/>
      <c r="AG132" s="152"/>
    </row>
    <row r="133" spans="1:33">
      <c r="A133" s="152"/>
      <c r="B133" s="152"/>
      <c r="C133" s="152"/>
      <c r="D133" s="152"/>
      <c r="E133" s="152"/>
      <c r="F133" s="152"/>
      <c r="G133" s="152"/>
      <c r="H133" s="333"/>
      <c r="I133" s="153"/>
      <c r="J133" s="153"/>
      <c r="K133" s="153"/>
      <c r="L133" s="335"/>
      <c r="M133" s="336"/>
      <c r="N133" s="152"/>
      <c r="O133" s="152"/>
      <c r="P133" s="152"/>
      <c r="Q133" s="152"/>
      <c r="R133" s="334"/>
      <c r="S133" s="153"/>
      <c r="T133" s="153"/>
      <c r="U133" s="153"/>
      <c r="V133" s="335"/>
      <c r="W133" s="336"/>
      <c r="X133" s="152"/>
      <c r="Y133" s="152"/>
      <c r="Z133" s="152"/>
      <c r="AA133" s="152"/>
      <c r="AB133" s="152"/>
      <c r="AC133" s="152"/>
      <c r="AD133" s="152"/>
      <c r="AE133" s="152"/>
      <c r="AF133" s="152"/>
      <c r="AG133" s="152"/>
    </row>
    <row r="134" spans="1:33">
      <c r="A134" s="152"/>
      <c r="B134" s="152"/>
      <c r="C134" s="152"/>
      <c r="D134" s="152"/>
      <c r="E134" s="152"/>
      <c r="F134" s="152"/>
      <c r="G134" s="152"/>
      <c r="H134" s="333"/>
      <c r="I134" s="153"/>
      <c r="J134" s="153"/>
      <c r="K134" s="153"/>
      <c r="L134" s="335"/>
      <c r="M134" s="336"/>
      <c r="N134" s="152"/>
      <c r="O134" s="152"/>
      <c r="P134" s="152"/>
      <c r="Q134" s="152"/>
      <c r="R134" s="334"/>
      <c r="S134" s="153"/>
      <c r="T134" s="153"/>
      <c r="U134" s="153"/>
      <c r="V134" s="335"/>
      <c r="W134" s="336"/>
      <c r="X134" s="152"/>
      <c r="Y134" s="152"/>
      <c r="Z134" s="152"/>
      <c r="AA134" s="152"/>
      <c r="AB134" s="152"/>
      <c r="AC134" s="152"/>
      <c r="AD134" s="152"/>
      <c r="AE134" s="152"/>
      <c r="AF134" s="152"/>
      <c r="AG134" s="152"/>
    </row>
    <row r="135" spans="1:33">
      <c r="A135" s="152"/>
      <c r="B135" s="152"/>
      <c r="C135" s="152"/>
      <c r="D135" s="152"/>
      <c r="E135" s="152"/>
      <c r="F135" s="152"/>
      <c r="G135" s="152"/>
      <c r="H135" s="333"/>
      <c r="I135" s="153"/>
      <c r="J135" s="153"/>
      <c r="K135" s="153"/>
      <c r="L135" s="335"/>
      <c r="M135" s="336"/>
      <c r="N135" s="152"/>
      <c r="O135" s="152"/>
      <c r="P135" s="152"/>
      <c r="Q135" s="152"/>
      <c r="R135" s="334"/>
      <c r="S135" s="153"/>
      <c r="T135" s="153"/>
      <c r="U135" s="153"/>
      <c r="V135" s="335"/>
      <c r="W135" s="336"/>
      <c r="X135" s="152"/>
      <c r="Y135" s="152"/>
      <c r="Z135" s="152"/>
      <c r="AA135" s="152"/>
      <c r="AB135" s="152"/>
      <c r="AC135" s="152"/>
      <c r="AD135" s="152"/>
      <c r="AE135" s="152"/>
      <c r="AF135" s="152"/>
      <c r="AG135" s="152"/>
    </row>
    <row r="136" spans="1:33">
      <c r="A136" s="152"/>
      <c r="B136" s="152"/>
      <c r="C136" s="152"/>
      <c r="D136" s="152"/>
      <c r="E136" s="152"/>
      <c r="F136" s="152"/>
      <c r="G136" s="152"/>
      <c r="H136" s="333"/>
      <c r="I136" s="153"/>
      <c r="J136" s="153"/>
      <c r="K136" s="153"/>
      <c r="L136" s="335"/>
      <c r="M136" s="336"/>
      <c r="N136" s="152"/>
      <c r="O136" s="152"/>
      <c r="P136" s="152"/>
      <c r="Q136" s="152"/>
      <c r="R136" s="334"/>
      <c r="S136" s="153"/>
      <c r="T136" s="153"/>
      <c r="U136" s="153"/>
      <c r="V136" s="335"/>
      <c r="W136" s="336"/>
      <c r="X136" s="152"/>
      <c r="Y136" s="152"/>
      <c r="Z136" s="152"/>
      <c r="AA136" s="152"/>
      <c r="AB136" s="152"/>
      <c r="AC136" s="152"/>
      <c r="AD136" s="152"/>
      <c r="AE136" s="152"/>
      <c r="AF136" s="152"/>
      <c r="AG136" s="152"/>
    </row>
    <row r="137" spans="1:33">
      <c r="A137" s="152"/>
      <c r="B137" s="152"/>
      <c r="C137" s="152"/>
      <c r="D137" s="152"/>
      <c r="E137" s="152"/>
      <c r="F137" s="152"/>
      <c r="G137" s="152"/>
      <c r="H137" s="333"/>
      <c r="I137" s="153"/>
      <c r="J137" s="153"/>
      <c r="K137" s="153"/>
      <c r="L137" s="335"/>
      <c r="M137" s="336"/>
      <c r="N137" s="152"/>
      <c r="O137" s="152"/>
      <c r="P137" s="152"/>
      <c r="Q137" s="152"/>
      <c r="R137" s="334"/>
      <c r="S137" s="153"/>
      <c r="T137" s="153"/>
      <c r="U137" s="153"/>
      <c r="V137" s="335"/>
      <c r="W137" s="336"/>
      <c r="X137" s="152"/>
      <c r="Y137" s="152"/>
      <c r="Z137" s="152"/>
      <c r="AA137" s="152"/>
      <c r="AB137" s="152"/>
      <c r="AC137" s="152"/>
      <c r="AD137" s="152"/>
      <c r="AE137" s="152"/>
      <c r="AF137" s="152"/>
      <c r="AG137" s="152"/>
    </row>
    <row r="138" spans="1:33">
      <c r="A138" s="152"/>
      <c r="B138" s="152"/>
      <c r="C138" s="152"/>
      <c r="D138" s="152"/>
      <c r="E138" s="152"/>
      <c r="F138" s="152"/>
      <c r="G138" s="152"/>
      <c r="H138" s="333"/>
      <c r="I138" s="153"/>
      <c r="J138" s="153"/>
      <c r="K138" s="153"/>
      <c r="L138" s="335"/>
      <c r="M138" s="336"/>
      <c r="N138" s="152"/>
      <c r="O138" s="152"/>
      <c r="P138" s="152"/>
      <c r="Q138" s="152"/>
      <c r="R138" s="334"/>
      <c r="S138" s="153"/>
      <c r="T138" s="153"/>
      <c r="U138" s="153"/>
      <c r="V138" s="335"/>
      <c r="W138" s="336"/>
      <c r="X138" s="152"/>
      <c r="Y138" s="152"/>
      <c r="Z138" s="152"/>
      <c r="AA138" s="152"/>
      <c r="AB138" s="152"/>
      <c r="AC138" s="152"/>
      <c r="AD138" s="152"/>
      <c r="AE138" s="152"/>
      <c r="AF138" s="152"/>
      <c r="AG138" s="152"/>
    </row>
    <row r="139" spans="1:33">
      <c r="A139" s="152"/>
      <c r="B139" s="152"/>
      <c r="C139" s="152"/>
      <c r="D139" s="152"/>
      <c r="E139" s="152"/>
      <c r="F139" s="152"/>
      <c r="G139" s="152"/>
      <c r="H139" s="334"/>
      <c r="I139" s="153"/>
      <c r="J139" s="153"/>
      <c r="K139" s="153"/>
      <c r="L139" s="335"/>
      <c r="M139" s="336"/>
      <c r="N139" s="152"/>
      <c r="O139" s="152"/>
      <c r="P139" s="152"/>
      <c r="Q139" s="152"/>
      <c r="R139" s="334"/>
      <c r="S139" s="153"/>
      <c r="T139" s="153"/>
      <c r="U139" s="153"/>
      <c r="V139" s="335"/>
      <c r="W139" s="336"/>
      <c r="X139" s="152"/>
      <c r="Y139" s="152"/>
      <c r="Z139" s="152"/>
      <c r="AA139" s="152"/>
      <c r="AB139" s="152"/>
      <c r="AC139" s="152"/>
      <c r="AD139" s="152"/>
      <c r="AE139" s="152"/>
      <c r="AF139" s="152"/>
      <c r="AG139" s="152"/>
    </row>
    <row r="140" spans="1:33">
      <c r="A140" s="152"/>
      <c r="B140" s="152"/>
      <c r="C140" s="152"/>
      <c r="D140" s="15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152"/>
      <c r="AE140" s="152"/>
      <c r="AF140" s="152"/>
      <c r="AG140" s="152"/>
    </row>
    <row r="141" spans="1:33">
      <c r="A141" s="152"/>
      <c r="B141" s="152"/>
      <c r="C141" s="152"/>
      <c r="D141" s="152"/>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c r="AA141" s="152"/>
      <c r="AB141" s="152"/>
      <c r="AC141" s="152"/>
      <c r="AD141" s="152"/>
      <c r="AE141" s="152"/>
      <c r="AF141" s="152"/>
      <c r="AG141" s="152"/>
    </row>
    <row r="142" spans="1:33">
      <c r="A142" s="152"/>
      <c r="B142" s="152"/>
      <c r="C142" s="152"/>
      <c r="D142" s="152"/>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c r="AA142" s="152"/>
      <c r="AB142" s="152"/>
      <c r="AC142" s="152"/>
      <c r="AD142" s="152"/>
      <c r="AE142" s="152"/>
      <c r="AF142" s="152"/>
      <c r="AG142" s="152"/>
    </row>
    <row r="143" spans="1:33">
      <c r="A143" s="152"/>
      <c r="B143" s="152"/>
      <c r="C143" s="152"/>
      <c r="D143" s="152"/>
      <c r="E143" s="152"/>
      <c r="F143" s="152"/>
      <c r="G143" s="152"/>
      <c r="H143" s="152"/>
      <c r="I143" s="152"/>
      <c r="J143" s="152"/>
      <c r="K143" s="152"/>
      <c r="L143" s="152"/>
      <c r="M143" s="152"/>
      <c r="N143" s="152"/>
      <c r="O143" s="152"/>
      <c r="P143" s="152"/>
      <c r="Q143" s="152"/>
      <c r="R143" s="152"/>
      <c r="S143" s="152"/>
      <c r="T143" s="152"/>
      <c r="U143" s="152"/>
      <c r="V143" s="152"/>
      <c r="W143" s="152"/>
      <c r="X143" s="152"/>
      <c r="Y143" s="152"/>
      <c r="Z143" s="152"/>
      <c r="AA143" s="152"/>
      <c r="AB143" s="152"/>
      <c r="AC143" s="152"/>
      <c r="AD143" s="152"/>
      <c r="AE143" s="152"/>
      <c r="AF143" s="152"/>
      <c r="AG143" s="152"/>
    </row>
  </sheetData>
  <mergeCells count="4">
    <mergeCell ref="A1:C2"/>
    <mergeCell ref="D1:E2"/>
    <mergeCell ref="AJ1:AK2"/>
    <mergeCell ref="A3:C4"/>
  </mergeCells>
  <conditionalFormatting sqref="A73:Y80">
    <cfRule type="expression" dxfId="29" priority="5">
      <formula>颜色主题="魔法"</formula>
    </cfRule>
  </conditionalFormatting>
  <conditionalFormatting sqref="A8:BB9">
    <cfRule type="expression" dxfId="28" priority="159">
      <formula>颜色主题="魔法"</formula>
    </cfRule>
  </conditionalFormatting>
  <conditionalFormatting sqref="A6:BC7">
    <cfRule type="expression" dxfId="27" priority="160">
      <formula>颜色主题="魔法"</formula>
    </cfRule>
  </conditionalFormatting>
  <conditionalFormatting sqref="A38:BI71">
    <cfRule type="expression" dxfId="26" priority="73">
      <formula>颜色主题="魔法"</formula>
    </cfRule>
  </conditionalFormatting>
  <conditionalFormatting sqref="A81:BI121">
    <cfRule type="expression" dxfId="25" priority="8">
      <formula>颜色主题="魔法"</formula>
    </cfRule>
  </conditionalFormatting>
  <conditionalFormatting sqref="A1:BL5 BL6:BL15 BC8:BC12 A10:AV17 BC14:BK14 BD15:BK15 BD16:BI17 BJ16:BL121 A18:BI22 A23:AM26 AK27:AM27 A27:AJ37 A72:AM72">
    <cfRule type="expression" dxfId="24" priority="176">
      <formula>颜色主题="魔法"</formula>
    </cfRule>
  </conditionalFormatting>
  <conditionalFormatting sqref="Z73:AM76">
    <cfRule type="expression" dxfId="23" priority="2">
      <formula>颜色主题="魔法"</formula>
    </cfRule>
  </conditionalFormatting>
  <conditionalFormatting sqref="Z77:BI80">
    <cfRule type="expression" dxfId="22" priority="3">
      <formula>颜色主题="魔法"</formula>
    </cfRule>
  </conditionalFormatting>
  <conditionalFormatting sqref="AK28:BI37">
    <cfRule type="expression" dxfId="21" priority="121">
      <formula>颜色主题="魔法"</formula>
    </cfRule>
  </conditionalFormatting>
  <conditionalFormatting sqref="AN23:BI27">
    <cfRule type="expression" dxfId="20" priority="136">
      <formula>颜色主题="魔法"</formula>
    </cfRule>
  </conditionalFormatting>
  <conditionalFormatting sqref="AN72:BI76">
    <cfRule type="expression" dxfId="19" priority="57">
      <formula>颜色主题="魔法"</formula>
    </cfRule>
  </conditionalFormatting>
  <conditionalFormatting sqref="AW10:BB12">
    <cfRule type="expression" dxfId="18" priority="156">
      <formula>颜色主题="魔法"</formula>
    </cfRule>
  </conditionalFormatting>
  <conditionalFormatting sqref="AW14:BB17">
    <cfRule type="expression" dxfId="17" priority="151">
      <formula>颜色主题="魔法"</formula>
    </cfRule>
  </conditionalFormatting>
  <conditionalFormatting sqref="AW13:BK13">
    <cfRule type="expression" dxfId="16" priority="155">
      <formula>颜色主题="魔法"</formula>
    </cfRule>
  </conditionalFormatting>
  <conditionalFormatting sqref="BC15:BC17">
    <cfRule type="expression" dxfId="15" priority="27">
      <formula>颜色主题="魔法"</formula>
    </cfRule>
  </conditionalFormatting>
  <conditionalFormatting sqref="BD6:BK12">
    <cfRule type="expression" dxfId="14" priority="1">
      <formula>颜色主题="魔法"</formula>
    </cfRule>
  </conditionalFormatting>
  <dataValidations count="44">
    <dataValidation allowBlank="1" showInputMessage="1" showErrorMessage="1" promptTitle="====================" prompt="飞行速度：12格/秒_x000a_可否追踪：可以_x000a_弹道轨迹：直线_x000a_参考时间：0.75秒_x000a_" sqref="R5" xr:uid="{00000000-0002-0000-0700-000000000000}"/>
    <dataValidation allowBlank="1" showInputMessage="1" showErrorMessage="1" promptTitle="====================" prompt="飞行速度：14格/秒_x000a_可否追踪：可以_x000a_弹道轨迹：抛物线_x000a_参考时间：0.71秒_x000a_" sqref="AB5" xr:uid="{00000000-0002-0000-0700-000001000000}"/>
    <dataValidation allowBlank="1" showInputMessage="1" showErrorMessage="1" promptTitle="======================" prompt="你对城墙很头疼吗？如果是的，恭喜你，你是陆军。_x000a_炸弹兵是城墙的克星呀，如果你没有的话，只能乖乖砸墙或者被城墙引导了。_x000a_" sqref="F6" xr:uid="{00000000-0002-0000-0700-000002000000}"/>
    <dataValidation allowBlank="1" showInputMessage="1" showErrorMessage="1" promptTitle="======================" prompt="抵御+军队类型_x000a_代表防御建筑能攻击的对象。_x000a_" sqref="AM7 Z16 P27 Z51" xr:uid="{00000000-0002-0000-0700-000003000000}"/>
    <dataValidation allowBlank="1" showInputMessage="1" showErrorMessage="1" promptTitle="======================" prompt="射程的含义是防御建筑所能攻击到的最远距离。_x000a_射程的圆心在占地面积的中心点！_x000a_" sqref="P7 Z7 AM8 Z14 F17 P17 Z17 F28 P28 Z28 F39 P39 Z39 F52 P52 F64 P75 Z75" xr:uid="{00000000-0002-0000-0700-000004000000}"/>
    <dataValidation allowBlank="1" showInputMessage="1" showErrorMessage="1" promptTitle="======================" prompt="抵御+军队类型_x000a_代表防御建筑能攻击的对象。" sqref="P6 Z6 F16 P16 F27 Z27 F38 P38 Z38 F51 P51 F63 P74 Z74" xr:uid="{00000000-0002-0000-0700-000005000000}"/>
    <dataValidation allowBlank="1" showInputMessage="1" showErrorMessage="1" promptTitle="======================" prompt="“占地面积”指的是这个建筑的占用面积和可以受到伤害的区域（非陷阱）。_x000a_进攻时无法在可见建筑的“占地面积”以及外面一圈的范围内下兵。_x000a_" sqref="F7 BE7 P10 Z10 AM11 Z20 AV20 BF20 F21 P22 AL22 AT22 BB22 P31 Z31 AL31 AT31 BB31 F32 AL41 AT41 BB41 P42 Z42 F43 AL47 AL51 AT51 BB51 Z54 F55 P56 AL61 AT61 BB61 P66 Z66 F68 AL71 AT71 BB71 F77 P78 Z78 AL81 AT81 BB81 AL90 AT90" xr:uid="{00000000-0002-0000-0700-000006000000}"/>
    <dataValidation allowBlank="1" showInputMessage="1" showErrorMessage="1" promptTitle="====================" prompt="飞行速度：8格/秒_x000a_可否追踪：不能_x000a_弹道轨迹：抛物线_x000a_参考时间：0.75秒_x000a_" sqref="AB15" xr:uid="{00000000-0002-0000-0700-000007000000}"/>
    <dataValidation allowBlank="1" showInputMessage="1" showErrorMessage="1" promptTitle="======================" prompt="可视面积指兵种可以看到的面积，而军队只能直接攻击此区域。_x000a_一般情况下：可视面积比占地面积小一圈。_x000a_" sqref="F8 BE8 P11 Z11 Z21 F22 P23 AL23 AT23 BB23 P32 Z32 AL32 AT32 BB32 F33 AL42 AT42 BB42 P43 Z43 F44 AL48 AL52 AT52 BB52 F56 P57 AL62 AT62 BB62 P67 Z67 F69 AL72 AT72 BB72 F78 P79 Z79 AL82 AT82 BB82 AL91 AT91" xr:uid="{00000000-0002-0000-0700-000008000000}"/>
    <dataValidation allowBlank="1" showInputMessage="1" showErrorMessage="1" promptTitle="======================" prompt="攻速代表每次攻击所需要的时间。_x000a_防御建筑的实际伤害=秒伤*攻速_x000a_很多时候会写好每次伤害..._x000a_" sqref="P8 Z8 AM9 Z18 F19 P29 Z29 F30 P40 Z40 F41 Z52 F53 P54 F66 P76 Z76" xr:uid="{00000000-0002-0000-0700-000009000000}"/>
    <dataValidation allowBlank="1" showInputMessage="1" showErrorMessage="1" promptTitle="====================" prompt="一次攻击一个单位，绝不击空！" sqref="P9 Z9 F20 P21 F42" xr:uid="{00000000-0002-0000-0700-00000A000000}"/>
    <dataValidation allowBlank="1" showInputMessage="1" showErrorMessage="1" promptTitle="======信息======" prompt="连锁半径2.25格_x000a_连锁目标最大10格_x000a_连锁延迟0.128秒_x000a_伤害衰减60%" sqref="R26" xr:uid="{00000000-0002-0000-0700-00000B000000}"/>
    <dataValidation allowBlank="1" showInputMessage="1" showErrorMessage="1" promptTitle="======================" prompt="溅射伤害对其范围内的单位都有全额伤害_x000a_有可能会因为过快的移速而被闪避。_x000a_" sqref="AM10 Z19 P30" xr:uid="{00000000-0002-0000-0700-00000C000000}"/>
    <dataValidation allowBlank="1" showInputMessage="1" showErrorMessage="1" promptTitle="======================" prompt="判定面积指兵种可以看到的面积，而军队只能直接攻击此区域。_x000a_一般情况下：判定面积比占地面积小一圈。_x000a_" sqref="AM12 Z55" xr:uid="{00000000-0002-0000-0700-00000D000000}"/>
    <dataValidation allowBlank="1" showInputMessage="1" showErrorMessage="1" promptTitle="====================" prompt="飞行速度：12格/秒_x000a_可否追踪：可以_x000a_弹道轨迹：抛物线_x000a_参考时间：0.83秒_x000a_" sqref="H15 H37" xr:uid="{00000000-0002-0000-0700-00000E000000}"/>
    <dataValidation allowBlank="1" showInputMessage="1" showErrorMessage="1" promptTitle="====================" prompt="飞行速度：12格/秒_x000a_可否追踪：可以_x000a_弹道轨迹：直线_x000a_参考时间：0.58秒_x000a_" sqref="R15" xr:uid="{00000000-0002-0000-0700-00000F000000}"/>
    <dataValidation allowBlank="1" showInputMessage="1" showErrorMessage="1" promptTitle="===========炸弹塔===========" prompt="站在炸弹塔上的都是身强力壮的骷髅，比起冲上前线开墙，它们更专注于投掷炸弹伤害附近的部队。_x000a_骷髅兵们仍然崇尚玉石俱焚的精神，在炸弹塔被摧毁的时候还会引爆藏在炸弹塔下的巨型炸弹，以表达对部落的忠诚！_x000a_" sqref="Z15" xr:uid="{00000000-0002-0000-0700-000010000000}"/>
    <dataValidation allowBlank="1" showInputMessage="1" showErrorMessage="1" promptTitle="====================" prompt="被击中后单位对着伤害源后退的距离。_x000a_" sqref="F58" xr:uid="{00000000-0002-0000-0700-000011000000}"/>
    <dataValidation allowBlank="1" showInputMessage="1" showErrorMessage="1" promptTitle="======================" prompt="连发是特殊的攻击模式，一次攻击射出多发子弹。有利于快速消灭目标，但是可能需要更多的装填时间。_x000a_" sqref="P18 F29 F40" xr:uid="{00000000-0002-0000-0700-000012000000}"/>
    <dataValidation allowBlank="1" showInputMessage="1" showErrorMessage="1" promptTitle="====================" prompt="陷阱作用效果的有效半径。" sqref="AV49 BF49" xr:uid="{00000000-0002-0000-0700-000013000000}"/>
    <dataValidation allowBlank="1" showInputMessage="1" showErrorMessage="1" promptTitle="======================" prompt="攻速代表每次攻击所需要的时间。_x000a_防御建筑的实际伤害=秒伤*攻速_x000a_很多时候会写好每次伤害..._x000a_实测攻速为2.68秒/轮_x000a_" sqref="P19" xr:uid="{00000000-0002-0000-0700-000014000000}"/>
    <dataValidation allowBlank="1" showInputMessage="1" showErrorMessage="1" promptTitle="====================" prompt="飞行速度：16-4格/秒_x000a_可否追踪：不能_x000a_弹道轨迹：直线_x000a_参考时间：1.7秒_x000a_" sqref="H50" xr:uid="{00000000-0002-0000-0700-000015000000}"/>
    <dataValidation allowBlank="1" showInputMessage="1" showErrorMessage="1" promptTitle="======================" prompt="麻麻说如果不及时躲开炸弹塔的大炸弹，可是会被炸到的；但如果躲开了自爆范围，就可以看最美的烟火了。_x000a_" sqref="Z22" xr:uid="{00000000-0002-0000-0700-000016000000}"/>
    <dataValidation allowBlank="1" showInputMessage="1" showErrorMessage="1" promptTitle="====================" prompt="飞行速度：7.5格/秒_x000a_可否追踪：不能_x000a_弹道轨迹：抛物线_x000a_参考时间：1.73秒_x000a_" sqref="H26 H62" xr:uid="{00000000-0002-0000-0700-000017000000}"/>
    <dataValidation allowBlank="1" showInputMessage="1" showErrorMessage="1" promptTitle="====================" prompt="穿透半径不同于溅射半径_x000a_离炮弹穿透半径内的单位都会受伤_x000a_" sqref="F54" xr:uid="{00000000-0002-0000-0700-000018000000}"/>
    <dataValidation allowBlank="1" showInputMessage="1" showErrorMessage="1" promptTitle="========超级法师塔===========" prompt="超级法师电力十足，在对付大批来犯之敌时能发挥巨大作用，因为他们的攻击可以溅射到初始目标附近的其他敌人" sqref="P26" xr:uid="{00000000-0002-0000-0700-000019000000}"/>
    <dataValidation allowBlank="1" showInputMessage="1" showErrorMessage="1" promptTitle="====================" prompt="飞行速度：2格/秒_x000a_可否追踪：可以_x000a_弹道轨迹：抛物线_x000a_参考时间：4秒_x000a_" sqref="AB26" xr:uid="{00000000-0002-0000-0700-00001A000000}"/>
    <dataValidation allowBlank="1" showInputMessage="1" showErrorMessage="1" promptTitle="====================" prompt="溅射伤害对其范围内的单位都有全额伤害_x000a_有可能会因为过快的移速而被闪避。_x000a_" sqref="Z30 F31 P41 P55 F67 P77 Z77" xr:uid="{00000000-0002-0000-0700-00001B000000}"/>
    <dataValidation allowBlank="1" showInputMessage="1" showErrorMessage="1" promptTitle="====================" prompt="弹道轨迹：直线_x000a_参考时间：瞬间_x000a_" sqref="AB37 AB50" xr:uid="{00000000-0002-0000-0700-00001C000000}"/>
    <dataValidation allowBlank="1" showInputMessage="1" showErrorMessage="1" promptTitle="======================" prompt="闪电最多能够攻击单位的数量" sqref="Z45" xr:uid="{00000000-0002-0000-0700-00001D000000}"/>
    <dataValidation allowBlank="1" showInputMessage="1" showErrorMessage="1" promptTitle="======================" prompt="这一类防御有出手速度，出手时间是：攻速-冷却；_x000a_在攻击冷却内强制不能攻击，以防过快的攻击频率。_x000a_" sqref="P44 P58:R58 P80" xr:uid="{00000000-0002-0000-0700-00001E000000}"/>
    <dataValidation allowBlank="1" showInputMessage="1" showErrorMessage="1" promptTitle="=====================" prompt="闪电链连锁下一个单位的距离极限。" sqref="Z44" xr:uid="{00000000-0002-0000-0700-00001F000000}"/>
    <dataValidation allowBlank="1" showInputMessage="1" showErrorMessage="1" promptTitle="======================" prompt="一次攻击一个单位，绝不击空！_x000a_" sqref="Z53" xr:uid="{00000000-0002-0000-0700-000020000000}"/>
    <dataValidation allowBlank="1" showInputMessage="1" showErrorMessage="1" promptTitle="=====================" prompt="代表陷阱可以作用的单位类型" sqref="AV47 BF47 AU99 BB99 AU111 BB111" xr:uid="{00000000-0002-0000-0700-000021000000}"/>
    <dataValidation allowBlank="1" showInputMessage="1" showErrorMessage="1" promptTitle="====================" prompt="指定单位走到触发半径后，陷阱会弹出。" sqref="AV48 BF48 AU100 BB100 AU112 BB112" xr:uid="{00000000-0002-0000-0700-000022000000}"/>
    <dataValidation allowBlank="1" showInputMessage="1" showErrorMessage="1" promptTitle="======================" prompt="巨加炮弹能够飞行的最长距离_x000a_是少数明显可以超射程攻击的防御" sqref="F57" xr:uid="{00000000-0002-0000-0700-000023000000}"/>
    <dataValidation allowBlank="1" showInputMessage="1" showErrorMessage="1" promptTitle="====================" prompt="被击中后单位对着伤害源后退的距离。_x000a_只对野蛮人、弓箭手和炸弹兵有效。_x000a_" sqref="BB114" xr:uid="{00000000-0002-0000-0700-000024000000}"/>
    <dataValidation allowBlank="1" showInputMessage="1" showErrorMessage="1" promptTitle="=====================" prompt="在没有发现威胁前，巨人会在以守卫岗哨四条边界上巡逻。_x000a_" sqref="P64" xr:uid="{00000000-0002-0000-0700-000025000000}"/>
    <dataValidation allowBlank="1" showInputMessage="1" showErrorMessage="1" promptTitle="=====================" prompt="在没有发现威胁前，守卫会在以守卫岗哨四条边界上巡逻。_x000a_" sqref="Z64 F75" xr:uid="{00000000-0002-0000-0700-000026000000}"/>
    <dataValidation allowBlank="1" showInputMessage="1" showErrorMessage="1" promptTitle="=====================" prompt="守卫军的视野，只要发现敌人，就会毫不留情的追击。_x000a_直到天涯海角，或者只需要逃离他们的视野就可以了。_x000a_" sqref="P65 Z65 F76" xr:uid="{00000000-0002-0000-0700-000027000000}"/>
    <dataValidation allowBlank="1" showInputMessage="1" showErrorMessage="1" promptTitle="====================" prompt="陷阱爆炸的溅射半径。" sqref="AU101 BB101 AU113 BB113" xr:uid="{00000000-0002-0000-0700-000028000000}"/>
    <dataValidation allowBlank="1" showInputMessage="1" showErrorMessage="1" promptTitle="=====================" prompt="占地面积指的是这个建筑占用面积的大小。_x000a_如果是可见建筑，则在进攻时：你无法在占地面积以及外面一圈内下兵。_x000a_" sqref="AU103 BB103 BB115 AU116" xr:uid="{00000000-0002-0000-0700-000029000000}"/>
    <dataValidation allowBlank="1" showInputMessage="1" showErrorMessage="1" promptTitle="======================" prompt="从单位靠近触发范围到陷阱弹出所需要的时间。_x000a_" sqref="AU104 BB104 BB116" xr:uid="{00000000-0002-0000-0700-00002A000000}"/>
    <dataValidation allowBlank="1" showInputMessage="1" showErrorMessage="1" promptTitle="====================" prompt="近距离双倍输出_x000a_适合对付高血量单位" sqref="Z12:Z13" xr:uid="{00000000-0002-0000-0700-00002B000000}"/>
  </dataValidations>
  <hyperlinks>
    <hyperlink ref="D4" location="'4.2都城建筑'!F5:J11" tooltip="城墙上的门和墙体一样坚固" display="01.城墙" xr:uid="{00000000-0004-0000-0700-000000000000}"/>
    <hyperlink ref="D5" location="'4.2都城建筑'!P5:W11" tooltip="基础对地防御" display="02.加农炮" xr:uid="{00000000-0004-0000-0700-000001000000}"/>
    <hyperlink ref="D6" location="'4.2都城建筑'!Z5:AG11" tooltip="四连发对地防御，擅长对付肉盾" display="03.投矛器" xr:uid="{00000000-0004-0000-0700-000002000000}"/>
    <hyperlink ref="D7" location="'4.2都城建筑'!F15:M22" tooltip="可根据需要切换远程和快速模式" display="04.防空火箭" xr:uid="{00000000-0004-0000-0700-000003000000}"/>
    <hyperlink ref="D8" location="'4.2都城建筑'!P15:W22" display="05.多管加农炮" xr:uid="{00000000-0004-0000-0700-000004000000}"/>
    <hyperlink ref="D9" location="'4.2都城建筑'!Z15:AH23" display="06.炸弹塔" xr:uid="{00000000-0004-0000-0700-000005000000}"/>
    <hyperlink ref="D10" location="'4.2都城建筑'!F26:M33" tooltip="致命的近距离防御对自身周围产生极大伤害" display="07.多管迫击炮" xr:uid="{00000000-0004-0000-0700-000006000000}"/>
    <hyperlink ref="D11" location="'4.2都城建筑'!P15:W23" display="08.超级法师塔" xr:uid="{00000000-0004-0000-0700-000007000000}"/>
    <hyperlink ref="D12" location="'4.2都城建筑'!Z26:AG32" tooltip="投掷强大的爆炸性空中炸弹" display="09.空炸起源" xr:uid="{00000000-0004-0000-0700-000008000000}"/>
    <hyperlink ref="D13" location="'4.2都城建筑'!F37:M44" display="10.疾速火箭" xr:uid="{00000000-0004-0000-0700-000009000000}"/>
    <hyperlink ref="D14" location="'4.2都城建筑'!P37:W44" tooltip="狠狠碾压来犯之敌" display="11.撼地巨石" xr:uid="{00000000-0004-0000-0700-00000A000000}"/>
    <hyperlink ref="D15" location="'4.2都城建筑'!Z37:AH45" tooltip="超高压电流对单个目标造成致命伤害，并且可以连锁到下一个单位" display="12.超级特斯拉电塔" xr:uid="{00000000-0004-0000-0700-00000B000000}"/>
    <hyperlink ref="D16" location="'4.2都城建筑'!F50:M58" tooltip="什么都无法阻挡炮弹，它会一直向前" display="13.巨型加农炮" xr:uid="{00000000-0004-0000-0700-00000C000000}"/>
    <hyperlink ref="AJ4" location="'4.2都城建筑'!AM6:BB17" tooltip="都城核心建筑，建议速本" display="01.都城大本营" xr:uid="{00000000-0004-0000-0700-00000D000000}"/>
    <hyperlink ref="AJ5" location="'4.2都城建筑'!BE6:BK12" tooltip="村民们和超级建筑工人在这里管理着子城" display="02.子城大本营" xr:uid="{00000000-0004-0000-0700-00000E000000}"/>
    <hyperlink ref="AJ6" location="'4.2都城建筑'!AL21:AR27" tooltip="部落大军可以在这里休息放松" display="03.兵营" xr:uid="{00000000-0004-0000-0700-00000F000000}"/>
    <hyperlink ref="AJ7" location="'4.2都城建筑'!AT21:AZ27" tooltip="存储都城法术，升级提升容量" display="04.法术仓库" xr:uid="{00000000-0004-0000-0700-000010000000}"/>
    <hyperlink ref="AJ8" location="'4.2都城建筑'!BB21:BG27" tooltip="储存圣水" display="05.超级野蛮人训练营" xr:uid="{00000000-0004-0000-0700-000011000000}"/>
    <hyperlink ref="AJ9" location="'4.2都城建筑'!AL30:AQ36" tooltip="隐秘弓箭手的训练场地。当心有锋利的东西飞过来！" display="06.隐秘弓箭手训练营" xr:uid="{00000000-0004-0000-0700-000012000000}"/>
    <hyperlink ref="AJ10" location="'4.2都城建筑'!AT30:AY36" tooltip="超级巨人的家" display="07.超级巨人训练营" xr:uid="{00000000-0004-0000-0700-000013000000}"/>
    <hyperlink ref="AJ11" location="'4.2都城建筑'!BB30:BG36" tooltip="这个东西竟然能塞进这么多根攻城槌！" display="08.野蛮人攻城槌训练营" xr:uid="{00000000-0004-0000-0700-000014000000}"/>
    <hyperlink ref="AJ12" location="'4.2都城建筑'!AL40:AQ46" tooltip="小小亡灵有了窝发展成亡灵大军了" display="09.亡灵训练营" xr:uid="{00000000-0004-0000-0700-000015000000}"/>
    <hyperlink ref="AJ13" location="'4.2都城建筑'!AT40:AY46" tooltip="接连不断的爆炸让人不敢靠近" display="10.超级法师训练营" xr:uid="{00000000-0004-0000-0700-000016000000}"/>
    <hyperlink ref="AJ15" location="'4.2都城建筑'!AL50:AQ56" tooltip="其实就是个墓地边的木桶厂，老板是卖气球的" display="12.骷髅飞桶训练营" xr:uid="{00000000-0004-0000-0700-000017000000}"/>
    <hyperlink ref="AJ31" location="'4.2都城建筑'!BB98:BF104" tooltip="一个隐藏的强力爆炸陷阱" display="02.巨型地雷" xr:uid="{00000000-0004-0000-0700-000018000000}"/>
    <hyperlink ref="AJ32" location="'4.2都城建筑'!AU110:AY116" tooltip="小心滚木" display="03.滚木陷阱" xr:uid="{00000000-0004-0000-0700-000019000000}"/>
    <hyperlink ref="AJ33" location="'4.2都城建筑'!BB110:BF116" tooltip="有电！" display="04.电击陷阱" xr:uid="{00000000-0004-0000-0700-00001A000000}"/>
    <hyperlink ref="D26" location="'4.2都城建筑'!AJ1:BH109" tooltip="支援防御（陷阱）或者支援建设（真的是支援）" display="&gt;&gt;支援建筑" xr:uid="{00000000-0004-0000-0700-00001B000000}"/>
    <hyperlink ref="D27" location="'4.2都城建筑'!A1:C15" tooltip="返回主界面" display="○主界面" xr:uid="{00000000-0004-0000-0700-00001C000000}"/>
    <hyperlink ref="AJ36" location="'4.2都城建筑'!D1:AH79" tooltip="都城的防御建筑，抵御敌军的核心" display="&gt;&gt;防御建筑" xr:uid="{00000000-0004-0000-0700-00001D000000}"/>
    <hyperlink ref="D17:D22" location="'3.2夜本建筑'!P59:W69" tooltip="投掷带有燃烧效果的熔岩西瓜" display="14.火箭炮" xr:uid="{00000000-0004-0000-0700-00001E000000}"/>
    <hyperlink ref="AJ37" location="'4.2都城建筑'!A1:C15" tooltip="返回主界面" display="○主界面" xr:uid="{00000000-0004-0000-0700-00001F000000}"/>
    <hyperlink ref="D17" location="'3.2夜本建筑'!P59:W69" tooltip="发射会爆炸的火箭" display="14.火箭炮" xr:uid="{00000000-0004-0000-0700-000020000000}"/>
    <hyperlink ref="D18" location="'4.2都城建筑'!Z50:AG56" tooltip="肉盾的克星" display="15.地狱之塔" xr:uid="{00000000-0004-0000-0700-000021000000}"/>
    <hyperlink ref="D19" location="'4.2都城建筑'!F62:M69" tooltip="有没有尝过树干那么粗的箭啊" display="16.爆炸强弩" xr:uid="{00000000-0004-0000-0700-000022000000}"/>
    <hyperlink ref="D20" location="'4.2都城建筑'!P62:V68" tooltip="小心挨跃跃欲试的超级巨人暴揍" display="17.超级巨人岗哨" xr:uid="{00000000-0004-0000-0700-000023000000}"/>
    <hyperlink ref="D21" location="'4.2都城建筑'!Z62:AF68" tooltip="向敌人开炮是突袭炮车最快乐的事" display="18.突袭炮车岗哨" xr:uid="{00000000-0004-0000-0700-000024000000}"/>
    <hyperlink ref="D22" location="'4.2都城建筑'!F73:L79" tooltip="毁了龙穴，还不是丧家之犬？" display="19.超级飞龙岗哨" xr:uid="{00000000-0004-0000-0700-000025000000}"/>
    <hyperlink ref="AJ14" location="'4.2都城建筑'!BB40:BG46" tooltip="既然要造火箭，哪管安不安全" display="11.火箭气球兵训练营" xr:uid="{00000000-0004-0000-0700-000026000000}"/>
    <hyperlink ref="AJ16" location="'4.2都城建筑'!AT50:AY56" tooltip="建在高山之巅" display="13.空中堡垒工坊" xr:uid="{00000000-0004-0000-0700-000027000000}"/>
    <hyperlink ref="AJ17" location="'4.2都城建筑'!BB50:BG56" tooltip="制造突袭炮车的工坊" display="14.突袭炮车训练营" xr:uid="{00000000-0004-0000-0700-000028000000}"/>
    <hyperlink ref="AJ30" location="'4.2都城建筑'!AU98:AY106" tooltip="给敌军准备一份爆炸惊喜" display="01.地雷" xr:uid="{00000000-0004-0000-0700-000029000000}"/>
    <hyperlink ref="AJ16:AJ22" location="'3.2夜本建筑'!AV46:BA56" tooltip="将来犯者弹出或者弹入伏击圈" display="13.空中堡垒工坊" xr:uid="{00000000-0004-0000-0700-00002A000000}"/>
    <hyperlink ref="AJ18" location="'4.2都城建筑'!AL60:AQ66" tooltip="超级皮卡到底是怎么塞进铠甲里面去的呢" display="15.超级皮卡训练营" xr:uid="{00000000-0004-0000-0700-00002B000000}"/>
    <hyperlink ref="AJ19" location="'4.2都城建筑'!AT60:AY66" tooltip="屋子里的猪叫声就没停过" display="16.野猪特攻队训练营" xr:uid="{00000000-0004-0000-0700-00002C000000}"/>
    <hyperlink ref="AJ20" location="'4.2都城建筑'!BB60:BG66" tooltip="将来犯者弹出或者弹入伏击圈" display="17.超级飞龙训练营" xr:uid="{00000000-0004-0000-0700-00002D000000}"/>
    <hyperlink ref="AJ21" location="'4.2都城建筑'!AL70:AQ76" tooltip="高山戈仑走后留下一个矿坑" display="18.高山戈仑石场" xr:uid="{00000000-0004-0000-0700-00002E000000}"/>
    <hyperlink ref="AJ22" location="'4.2都城建筑'!AT70:AY76" tooltip="配置的疗伤法术散发出浓郁的花香" display="19.疗伤法术工厂" xr:uid="{00000000-0004-0000-0700-00002F000000}"/>
    <hyperlink ref="AJ23" location="'4.2都城建筑'!BB70:BG76" tooltip="这个工厂看起来好像随时会原地起飞" display="20.弹跳法术工厂" xr:uid="{00000000-0004-0000-0700-000030000000}"/>
    <hyperlink ref="AJ24" location="'4.2都城建筑'!AL80:AQ86" tooltip="别靠近它，否则头皮会炸，运气会差" display="21.雷电法术工厂" xr:uid="{00000000-0004-0000-0700-000031000000}"/>
    <hyperlink ref="AJ25" location="'4.2都城建筑'!AT80:AY86" tooltip="如果要来参观，最好穿暖和点！" display="22.冰霜法术工厂" xr:uid="{00000000-0004-0000-0700-000032000000}"/>
    <hyperlink ref="AJ26" location="'4.2都城建筑'!BB80:BG86" tooltip="配制一桶桶狂暴法术" display="23.狂暴法术工厂" xr:uid="{00000000-0004-0000-0700-000033000000}"/>
    <hyperlink ref="AJ29" location="'4.2都城建筑'!AL98:AS106" tooltip="凑数的" display="26.各类小屋" xr:uid="{00000000-0004-0000-0700-000034000000}"/>
    <hyperlink ref="D23:D24" location="'3.2夜本建筑'!P59:W69" tooltip="投掷带有燃烧效果的熔岩西瓜" display="20.迷你亡灵巢穴" xr:uid="{00000000-0004-0000-0700-000035000000}"/>
    <hyperlink ref="AJ27:AJ28" location="'4.2都城建筑'!BB80:BG86" tooltip="配制一桶桶狂暴法术" display="24.地狱飞龙训练营" xr:uid="{00000000-0004-0000-0700-000036000000}"/>
    <hyperlink ref="D23" location="'4.2都城建筑'!P73:W80" tooltip="藏着地下巢穴" display="20.迷你亡灵巢穴" xr:uid="{00000000-0004-0000-0700-000037000000}"/>
    <hyperlink ref="D24" location="'4.2都城建筑'!Z73:AG80" tooltip="反弹？" display="21.反弹机" xr:uid="{00000000-0004-0000-0700-000038000000}"/>
    <hyperlink ref="AJ27" location="'4.2都城建筑'!AL89:AQ95" tooltip="地狱飞龙玩耍的地方" display="24.地狱飞龙训练营" xr:uid="{00000000-0004-0000-0700-000039000000}"/>
    <hyperlink ref="AJ28" location="'4.2都城建筑'!AT89:AY95" tooltip="配制骷髅召唤法术" display="25.骷髅召唤法术工厂" xr:uid="{00000000-0004-0000-0700-00003A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AS218"/>
  <sheetViews>
    <sheetView workbookViewId="0">
      <selection sqref="A1:C2"/>
    </sheetView>
  </sheetViews>
  <sheetFormatPr defaultColWidth="9" defaultRowHeight="14.15"/>
  <cols>
    <col min="14" max="14" width="9" customWidth="1"/>
    <col min="22" max="22" width="9.35546875" customWidth="1"/>
    <col min="34" max="35" width="9.35546875"/>
    <col min="37" max="37" width="9.140625"/>
  </cols>
  <sheetData>
    <row r="1" spans="1:45">
      <c r="A1" s="549" t="s">
        <v>1992</v>
      </c>
      <c r="B1" s="549"/>
      <c r="C1" s="549"/>
      <c r="D1" s="550" t="s">
        <v>1993</v>
      </c>
      <c r="E1" s="550"/>
      <c r="F1" s="49"/>
      <c r="G1" s="49"/>
      <c r="H1" s="49"/>
      <c r="I1" s="49"/>
      <c r="J1" s="49"/>
      <c r="K1" s="49"/>
      <c r="L1" s="49"/>
      <c r="M1" s="49"/>
      <c r="N1" s="49"/>
      <c r="O1" s="49"/>
      <c r="P1" s="550" t="s">
        <v>1994</v>
      </c>
      <c r="Q1" s="550"/>
      <c r="R1" s="49"/>
      <c r="S1" s="49"/>
      <c r="T1" s="49"/>
      <c r="U1" s="49"/>
      <c r="V1" s="49"/>
      <c r="W1" s="49"/>
      <c r="X1" s="49"/>
      <c r="Y1" s="49"/>
      <c r="Z1" s="49"/>
      <c r="AA1" s="49"/>
      <c r="AB1" s="49"/>
      <c r="AC1" s="550" t="s">
        <v>1995</v>
      </c>
      <c r="AD1" s="550"/>
      <c r="AE1" s="49"/>
      <c r="AF1" s="49"/>
      <c r="AG1" s="49"/>
      <c r="AH1" s="49"/>
      <c r="AI1" s="49"/>
      <c r="AJ1" s="49"/>
      <c r="AK1" s="49"/>
      <c r="AL1" s="49"/>
      <c r="AM1" s="49"/>
      <c r="AN1" s="49"/>
      <c r="AO1" s="49"/>
      <c r="AP1" s="49"/>
      <c r="AQ1" s="49"/>
      <c r="AR1" s="49"/>
      <c r="AS1" s="49"/>
    </row>
    <row r="2" spans="1:45">
      <c r="A2" s="549"/>
      <c r="B2" s="549"/>
      <c r="C2" s="549"/>
      <c r="D2" s="551"/>
      <c r="E2" s="551"/>
      <c r="F2" s="50"/>
      <c r="G2" s="50"/>
      <c r="H2" s="50"/>
      <c r="I2" s="50"/>
      <c r="J2" s="50"/>
      <c r="K2" s="50"/>
      <c r="L2" s="50"/>
      <c r="M2" s="50"/>
      <c r="N2" s="50"/>
      <c r="O2" s="50"/>
      <c r="P2" s="551"/>
      <c r="Q2" s="551"/>
      <c r="R2" s="50"/>
      <c r="S2" s="50"/>
      <c r="T2" s="50"/>
      <c r="U2" s="50"/>
      <c r="V2" s="50"/>
      <c r="W2" s="50"/>
      <c r="X2" s="50"/>
      <c r="Y2" s="50"/>
      <c r="Z2" s="50"/>
      <c r="AA2" s="49"/>
      <c r="AB2" s="49"/>
      <c r="AC2" s="551"/>
      <c r="AD2" s="551"/>
      <c r="AE2" s="50"/>
      <c r="AF2" s="50"/>
      <c r="AG2" s="50"/>
      <c r="AH2" s="50"/>
      <c r="AI2" s="50"/>
      <c r="AJ2" s="50"/>
      <c r="AK2" s="50"/>
      <c r="AL2" s="50"/>
      <c r="AM2" s="50"/>
      <c r="AN2" s="50"/>
      <c r="AO2" s="50"/>
      <c r="AP2" s="50"/>
      <c r="AQ2" s="50"/>
      <c r="AR2" s="50"/>
      <c r="AS2" s="49"/>
    </row>
    <row r="3" spans="1:45">
      <c r="A3" s="49" t="s">
        <v>1996</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row>
    <row r="4" spans="1:45">
      <c r="A4" s="118"/>
      <c r="B4" s="49"/>
      <c r="C4" s="49"/>
      <c r="D4" s="118"/>
      <c r="E4" s="118"/>
      <c r="F4" s="118"/>
      <c r="G4" s="118"/>
      <c r="H4" s="118"/>
      <c r="I4" s="118"/>
      <c r="J4" s="118"/>
      <c r="K4" s="118"/>
      <c r="L4" s="118"/>
      <c r="M4" s="118"/>
      <c r="N4" s="49"/>
      <c r="O4" s="49"/>
      <c r="P4" s="49" t="s">
        <v>1997</v>
      </c>
      <c r="Q4" s="49" t="s">
        <v>1998</v>
      </c>
      <c r="R4" s="49" t="s">
        <v>1999</v>
      </c>
      <c r="S4" s="49" t="s">
        <v>2000</v>
      </c>
      <c r="T4" s="511" t="s">
        <v>2001</v>
      </c>
      <c r="U4" s="49" t="s">
        <v>2002</v>
      </c>
      <c r="V4" s="49" t="s">
        <v>2003</v>
      </c>
      <c r="W4" s="49" t="s">
        <v>2004</v>
      </c>
      <c r="X4" s="49"/>
      <c r="Y4" s="49"/>
      <c r="Z4" s="49"/>
      <c r="AA4" s="49"/>
      <c r="AB4" s="49"/>
      <c r="AC4" s="62" t="s">
        <v>2005</v>
      </c>
      <c r="AD4" s="62" t="s">
        <v>2006</v>
      </c>
      <c r="AE4" s="62" t="s">
        <v>2007</v>
      </c>
      <c r="AF4" s="511" t="s">
        <v>2001</v>
      </c>
      <c r="AG4" s="49" t="s">
        <v>2008</v>
      </c>
      <c r="AH4" s="291">
        <f>AE5-1</f>
        <v>200</v>
      </c>
      <c r="AI4" s="49"/>
      <c r="AJ4" s="49"/>
      <c r="AK4" s="49"/>
      <c r="AL4" s="49"/>
      <c r="AM4" s="49"/>
      <c r="AN4" s="49"/>
      <c r="AO4" s="49"/>
      <c r="AP4" s="49"/>
      <c r="AQ4" s="49"/>
      <c r="AR4" s="49"/>
      <c r="AS4" s="49"/>
    </row>
    <row r="5" spans="1:45">
      <c r="A5" s="54" t="s">
        <v>2009</v>
      </c>
      <c r="B5" s="49"/>
      <c r="C5" s="49"/>
      <c r="D5" s="49" t="s">
        <v>2010</v>
      </c>
      <c r="E5" s="282">
        <v>3500</v>
      </c>
      <c r="F5" s="49"/>
      <c r="G5" s="49"/>
      <c r="H5" s="49"/>
      <c r="I5" s="49"/>
      <c r="J5" s="541" t="s">
        <v>2011</v>
      </c>
      <c r="K5" s="541"/>
      <c r="L5" s="541" t="s">
        <v>2012</v>
      </c>
      <c r="M5" s="541"/>
      <c r="N5" s="49"/>
      <c r="O5" s="49"/>
      <c r="P5" s="49" t="s">
        <v>2013</v>
      </c>
      <c r="Q5" s="62">
        <v>7</v>
      </c>
      <c r="R5" s="62">
        <v>1</v>
      </c>
      <c r="S5" s="62">
        <v>8</v>
      </c>
      <c r="T5" s="62"/>
      <c r="U5" s="62">
        <f>IF(S5&gt;=8,VLOOKUP(P5,P7:Q25,2,0)-(R5-1)*VLOOKUP(P5,P7:R25,3,0),INT((1-(8-S5)*0.1)*(VLOOKUP(P5,P7:Q25,2,0)-(R5-1)*VLOOKUP(P5,P7:R25,3,0))))</f>
        <v>508</v>
      </c>
      <c r="V5" s="62">
        <f>VLOOKUP(P5,P7:S25,4,0)</f>
        <v>105</v>
      </c>
      <c r="W5" s="62">
        <f>VLOOKUP(P5,P7:T25,5,0)+Q5</f>
        <v>11</v>
      </c>
      <c r="X5" s="49"/>
      <c r="Y5" s="49"/>
      <c r="Z5" s="49"/>
      <c r="AA5" s="49"/>
      <c r="AB5" s="49"/>
      <c r="AC5" s="62">
        <v>200</v>
      </c>
      <c r="AD5" s="62">
        <v>0</v>
      </c>
      <c r="AE5" s="62">
        <v>201</v>
      </c>
      <c r="AF5" s="49"/>
      <c r="AG5" s="542">
        <f>IF(AE5&lt;AC5,0,LOOKUP(AE5,AC8:AC11,AI8:AI11)-LOOKUP(AC5,AC8:AC11,AH8:AH11)-AD5)</f>
        <v>9950</v>
      </c>
      <c r="AH5" s="542"/>
      <c r="AI5" s="49"/>
      <c r="AJ5" s="49"/>
      <c r="AK5" s="547" t="s">
        <v>2014</v>
      </c>
      <c r="AL5" s="547"/>
      <c r="AM5" s="49"/>
      <c r="AN5" s="49"/>
      <c r="AO5" s="49"/>
      <c r="AP5" s="49"/>
      <c r="AQ5" s="49"/>
      <c r="AR5" s="49"/>
      <c r="AS5" s="49"/>
    </row>
    <row r="6" spans="1:45">
      <c r="A6" s="54" t="s">
        <v>2015</v>
      </c>
      <c r="B6" s="49"/>
      <c r="C6" s="49"/>
      <c r="D6" s="283" t="s">
        <v>2016</v>
      </c>
      <c r="E6" s="65" t="s">
        <v>2017</v>
      </c>
      <c r="F6" s="65" t="s">
        <v>2018</v>
      </c>
      <c r="G6" s="65" t="s">
        <v>2019</v>
      </c>
      <c r="H6" s="65" t="s">
        <v>2020</v>
      </c>
      <c r="I6" s="65" t="s">
        <v>2021</v>
      </c>
      <c r="J6" s="65" t="s">
        <v>2022</v>
      </c>
      <c r="K6" s="65" t="s">
        <v>2023</v>
      </c>
      <c r="L6" s="65" t="s">
        <v>2022</v>
      </c>
      <c r="M6" s="65" t="s">
        <v>2023</v>
      </c>
      <c r="N6" s="49"/>
      <c r="O6" s="49"/>
      <c r="P6" s="283" t="s">
        <v>2016</v>
      </c>
      <c r="Q6" s="283" t="s">
        <v>2024</v>
      </c>
      <c r="R6" s="283" t="s">
        <v>2025</v>
      </c>
      <c r="S6" s="283" t="s">
        <v>2003</v>
      </c>
      <c r="T6" s="283" t="s">
        <v>2026</v>
      </c>
      <c r="U6" s="283"/>
      <c r="V6" s="283" t="s">
        <v>2027</v>
      </c>
      <c r="W6" s="283" t="s">
        <v>2028</v>
      </c>
      <c r="X6" s="49"/>
      <c r="Y6" s="49"/>
      <c r="Z6" s="49"/>
      <c r="AA6" s="49"/>
      <c r="AB6" s="49"/>
      <c r="AC6" s="49"/>
      <c r="AD6" s="49"/>
      <c r="AE6" s="49"/>
      <c r="AF6" s="49"/>
      <c r="AG6" s="49"/>
      <c r="AH6" s="49"/>
      <c r="AI6" s="49"/>
      <c r="AJ6" s="49"/>
      <c r="AK6" s="552"/>
      <c r="AL6" s="552"/>
      <c r="AM6" s="292"/>
      <c r="AN6" s="292"/>
      <c r="AO6" s="292"/>
      <c r="AP6" s="292"/>
      <c r="AQ6" s="292"/>
      <c r="AR6" s="49"/>
      <c r="AS6" s="49"/>
    </row>
    <row r="7" spans="1:45">
      <c r="A7" s="54" t="s">
        <v>2029</v>
      </c>
      <c r="B7" s="49"/>
      <c r="C7" s="49"/>
      <c r="D7" s="64" t="s">
        <v>2030</v>
      </c>
      <c r="E7" s="62">
        <v>0</v>
      </c>
      <c r="F7" s="62">
        <v>399</v>
      </c>
      <c r="G7" s="62">
        <v>0</v>
      </c>
      <c r="H7" s="62">
        <v>400</v>
      </c>
      <c r="I7" s="286">
        <v>30</v>
      </c>
      <c r="J7" s="62">
        <v>0</v>
      </c>
      <c r="K7" s="62">
        <v>0</v>
      </c>
      <c r="L7" s="150">
        <v>50000</v>
      </c>
      <c r="M7" s="62">
        <v>0</v>
      </c>
      <c r="N7" s="49"/>
      <c r="O7" s="49"/>
      <c r="P7" s="56" t="s">
        <v>2030</v>
      </c>
      <c r="Q7" s="62">
        <v>22</v>
      </c>
      <c r="R7" s="62">
        <v>2</v>
      </c>
      <c r="S7" s="62">
        <v>0</v>
      </c>
      <c r="T7" s="62">
        <v>0</v>
      </c>
      <c r="U7" s="290"/>
      <c r="V7" s="62">
        <v>0</v>
      </c>
      <c r="W7" s="62">
        <v>0</v>
      </c>
      <c r="X7" s="49"/>
      <c r="Y7" s="49"/>
      <c r="Z7" s="49"/>
      <c r="AA7" s="49"/>
      <c r="AB7" s="49"/>
      <c r="AC7" s="49" t="s">
        <v>2031</v>
      </c>
      <c r="AD7" s="49" t="s">
        <v>2018</v>
      </c>
      <c r="AE7" s="49" t="s">
        <v>2032</v>
      </c>
      <c r="AF7" s="49"/>
      <c r="AG7" s="49"/>
      <c r="AH7" s="293" t="s">
        <v>2033</v>
      </c>
      <c r="AI7" s="293" t="s">
        <v>2034</v>
      </c>
      <c r="AJ7" s="49"/>
      <c r="AK7" s="49" t="s">
        <v>2035</v>
      </c>
      <c r="AL7" s="49"/>
      <c r="AM7" s="49"/>
      <c r="AN7" s="49"/>
      <c r="AO7" s="49"/>
      <c r="AP7" s="49"/>
      <c r="AQ7" s="49"/>
      <c r="AR7" s="49"/>
      <c r="AS7" s="49"/>
    </row>
    <row r="8" spans="1:45">
      <c r="A8" s="54" t="s">
        <v>2036</v>
      </c>
      <c r="B8" s="49"/>
      <c r="C8" s="49"/>
      <c r="D8" s="56" t="s">
        <v>2037</v>
      </c>
      <c r="E8" s="62">
        <v>400</v>
      </c>
      <c r="F8" s="62">
        <v>499</v>
      </c>
      <c r="G8" s="62">
        <v>300</v>
      </c>
      <c r="H8" s="62">
        <v>500</v>
      </c>
      <c r="I8" s="286">
        <v>30</v>
      </c>
      <c r="J8" s="62">
        <v>700</v>
      </c>
      <c r="K8" s="62">
        <v>0</v>
      </c>
      <c r="L8" s="150">
        <v>100000</v>
      </c>
      <c r="M8" s="62">
        <v>250</v>
      </c>
      <c r="N8" s="49"/>
      <c r="O8" s="49"/>
      <c r="P8" s="56" t="s">
        <v>2037</v>
      </c>
      <c r="Q8" s="62">
        <v>34</v>
      </c>
      <c r="R8" s="62">
        <v>2</v>
      </c>
      <c r="S8" s="62">
        <v>35</v>
      </c>
      <c r="T8" s="62">
        <v>1</v>
      </c>
      <c r="U8" s="290"/>
      <c r="V8" s="62">
        <v>3</v>
      </c>
      <c r="W8" s="62">
        <v>0</v>
      </c>
      <c r="X8" s="49"/>
      <c r="Y8" s="49"/>
      <c r="Z8" s="49"/>
      <c r="AA8" s="49"/>
      <c r="AB8" s="49"/>
      <c r="AC8" s="83">
        <v>1</v>
      </c>
      <c r="AD8" s="83">
        <v>1</v>
      </c>
      <c r="AE8" s="54" t="s">
        <v>2038</v>
      </c>
      <c r="AF8" s="54"/>
      <c r="AG8" s="54"/>
      <c r="AH8" s="294">
        <v>0</v>
      </c>
      <c r="AI8" s="294">
        <v>0</v>
      </c>
      <c r="AJ8" s="49"/>
      <c r="AK8" s="49"/>
      <c r="AL8" s="49"/>
      <c r="AM8" s="49"/>
      <c r="AN8" s="49"/>
      <c r="AO8" s="49"/>
      <c r="AP8" s="49"/>
      <c r="AQ8" s="49"/>
      <c r="AR8" s="49"/>
      <c r="AS8" s="49"/>
    </row>
    <row r="9" spans="1:45">
      <c r="A9" s="54" t="s">
        <v>2039</v>
      </c>
      <c r="B9" s="49"/>
      <c r="C9" s="49"/>
      <c r="D9" s="56" t="s">
        <v>2040</v>
      </c>
      <c r="E9" s="62">
        <v>500</v>
      </c>
      <c r="F9" s="62">
        <v>599</v>
      </c>
      <c r="G9" s="62">
        <v>450</v>
      </c>
      <c r="H9" s="62">
        <v>600</v>
      </c>
      <c r="I9" s="286">
        <v>30</v>
      </c>
      <c r="J9" s="62">
        <v>1000</v>
      </c>
      <c r="K9" s="62">
        <v>0</v>
      </c>
      <c r="L9" s="150">
        <v>150000</v>
      </c>
      <c r="M9" s="62">
        <v>500</v>
      </c>
      <c r="N9" s="49"/>
      <c r="O9" s="49"/>
      <c r="P9" s="56" t="s">
        <v>2040</v>
      </c>
      <c r="Q9" s="62">
        <v>46</v>
      </c>
      <c r="R9" s="62">
        <v>2</v>
      </c>
      <c r="S9" s="62">
        <v>35</v>
      </c>
      <c r="T9" s="62">
        <v>1</v>
      </c>
      <c r="U9" s="290"/>
      <c r="V9" s="62">
        <v>3</v>
      </c>
      <c r="W9" s="62">
        <v>1</v>
      </c>
      <c r="X9" s="49"/>
      <c r="Y9" s="49"/>
      <c r="Z9" s="49"/>
      <c r="AA9" s="49"/>
      <c r="AB9" s="49"/>
      <c r="AC9" s="83">
        <v>2</v>
      </c>
      <c r="AD9" s="83">
        <v>200</v>
      </c>
      <c r="AE9" s="54" t="s">
        <v>2041</v>
      </c>
      <c r="AF9" s="54"/>
      <c r="AG9" s="54"/>
      <c r="AH9" s="294">
        <f>25*(AC5-1)*(AC5-2)+30</f>
        <v>985080</v>
      </c>
      <c r="AI9" s="294">
        <f>25*(AE5-1)*(AE5-2)+30</f>
        <v>995030</v>
      </c>
      <c r="AJ9" s="49"/>
      <c r="AK9" s="62" t="s">
        <v>2042</v>
      </c>
      <c r="AL9" s="62" t="s">
        <v>2043</v>
      </c>
      <c r="AM9" s="62" t="s">
        <v>2044</v>
      </c>
      <c r="AN9" s="62" t="s">
        <v>2045</v>
      </c>
      <c r="AO9" s="49"/>
      <c r="AP9" s="49" t="s">
        <v>2046</v>
      </c>
      <c r="AQ9" s="49"/>
      <c r="AR9" s="49"/>
      <c r="AS9" s="49"/>
    </row>
    <row r="10" spans="1:45">
      <c r="A10" s="49"/>
      <c r="B10" s="49"/>
      <c r="C10" s="49"/>
      <c r="D10" s="56" t="s">
        <v>2047</v>
      </c>
      <c r="E10" s="62">
        <v>600</v>
      </c>
      <c r="F10" s="62">
        <v>799</v>
      </c>
      <c r="G10" s="62">
        <v>550</v>
      </c>
      <c r="H10" s="62">
        <v>800</v>
      </c>
      <c r="I10" s="286">
        <v>30</v>
      </c>
      <c r="J10" s="62">
        <v>1300</v>
      </c>
      <c r="K10" s="62">
        <v>0</v>
      </c>
      <c r="L10" s="150">
        <v>200000</v>
      </c>
      <c r="M10" s="62">
        <v>750</v>
      </c>
      <c r="N10" s="49"/>
      <c r="O10" s="49"/>
      <c r="P10" s="56" t="s">
        <v>2047</v>
      </c>
      <c r="Q10" s="62">
        <v>58</v>
      </c>
      <c r="R10" s="62">
        <v>2</v>
      </c>
      <c r="S10" s="62">
        <v>35</v>
      </c>
      <c r="T10" s="62">
        <v>1</v>
      </c>
      <c r="U10" s="290"/>
      <c r="V10" s="62">
        <v>3</v>
      </c>
      <c r="W10" s="62">
        <v>1</v>
      </c>
      <c r="X10" s="49"/>
      <c r="Y10" s="49"/>
      <c r="Z10" s="49"/>
      <c r="AA10" s="49"/>
      <c r="AB10" s="49"/>
      <c r="AC10" s="83">
        <v>201</v>
      </c>
      <c r="AD10" s="83">
        <v>299</v>
      </c>
      <c r="AE10" s="54" t="s">
        <v>2048</v>
      </c>
      <c r="AF10" s="54"/>
      <c r="AG10" s="54"/>
      <c r="AH10" s="294">
        <f>250*(AC5-202)*(AC5-202)+10250*(AC5-202)+1105030</f>
        <v>1085530</v>
      </c>
      <c r="AI10" s="294">
        <f>250*(AE5-202)*(AE5-202)+10250*(AE5-202)+1005030</f>
        <v>995030</v>
      </c>
      <c r="AJ10" s="49"/>
      <c r="AK10" s="547">
        <v>14</v>
      </c>
      <c r="AL10" s="547">
        <v>0</v>
      </c>
      <c r="AM10" s="547">
        <v>0</v>
      </c>
      <c r="AN10" s="547">
        <v>10</v>
      </c>
      <c r="AO10" s="49"/>
      <c r="AP10" s="548">
        <f>INT(SQRT(AK10*86400+AL10*3600+AM10*60+AN10))</f>
        <v>1099</v>
      </c>
      <c r="AQ10" s="548"/>
      <c r="AR10" s="49"/>
      <c r="AS10" s="49"/>
    </row>
    <row r="11" spans="1:45">
      <c r="A11" s="49"/>
      <c r="B11" s="49"/>
      <c r="C11" s="49"/>
      <c r="D11" s="56" t="s">
        <v>2049</v>
      </c>
      <c r="E11" s="62">
        <v>800</v>
      </c>
      <c r="F11" s="62">
        <v>999</v>
      </c>
      <c r="G11" s="62">
        <v>700</v>
      </c>
      <c r="H11" s="62">
        <v>1000</v>
      </c>
      <c r="I11" s="286">
        <v>30</v>
      </c>
      <c r="J11" s="62">
        <v>2600</v>
      </c>
      <c r="K11" s="62">
        <v>0</v>
      </c>
      <c r="L11" s="150">
        <v>250000</v>
      </c>
      <c r="M11" s="62">
        <v>1000</v>
      </c>
      <c r="N11" s="49"/>
      <c r="O11" s="49"/>
      <c r="P11" s="56" t="s">
        <v>2049</v>
      </c>
      <c r="Q11" s="62">
        <v>76</v>
      </c>
      <c r="R11" s="62">
        <v>3</v>
      </c>
      <c r="S11" s="62">
        <v>35</v>
      </c>
      <c r="T11" s="62">
        <v>1</v>
      </c>
      <c r="U11" s="290"/>
      <c r="V11" s="62">
        <v>2</v>
      </c>
      <c r="W11" s="62">
        <v>1</v>
      </c>
      <c r="X11" s="49"/>
      <c r="Y11" s="49"/>
      <c r="Z11" s="49"/>
      <c r="AA11" s="49"/>
      <c r="AB11" s="49"/>
      <c r="AC11" s="83">
        <v>300</v>
      </c>
      <c r="AD11" s="83">
        <v>500</v>
      </c>
      <c r="AE11" s="54" t="s">
        <v>2050</v>
      </c>
      <c r="AF11" s="54"/>
      <c r="AG11" s="54"/>
      <c r="AH11" s="294">
        <f>500*(AC5-300)*(AC5-300)+59500*(AC5-300)+4410530</f>
        <v>3460530</v>
      </c>
      <c r="AI11" s="294">
        <f>500*(AE5-300)*(AE5-300)+59500*(AE5-300)+4410530</f>
        <v>3420530</v>
      </c>
      <c r="AJ11" s="49"/>
      <c r="AK11" s="547"/>
      <c r="AL11" s="547"/>
      <c r="AM11" s="547"/>
      <c r="AN11" s="547"/>
      <c r="AO11" s="49"/>
      <c r="AP11" s="548"/>
      <c r="AQ11" s="548"/>
      <c r="AR11" s="49"/>
      <c r="AS11" s="49"/>
    </row>
    <row r="12" spans="1:45">
      <c r="A12" s="49"/>
      <c r="B12" s="49"/>
      <c r="C12" s="49"/>
      <c r="D12" s="56" t="s">
        <v>2051</v>
      </c>
      <c r="E12" s="62">
        <v>1000</v>
      </c>
      <c r="F12" s="62">
        <v>1199</v>
      </c>
      <c r="G12" s="62">
        <v>900</v>
      </c>
      <c r="H12" s="62">
        <v>1200</v>
      </c>
      <c r="I12" s="286">
        <v>30</v>
      </c>
      <c r="J12" s="62">
        <v>3700</v>
      </c>
      <c r="K12" s="62">
        <v>0</v>
      </c>
      <c r="L12" s="150">
        <v>300000</v>
      </c>
      <c r="M12" s="62">
        <v>1250</v>
      </c>
      <c r="N12" s="49"/>
      <c r="O12" s="49"/>
      <c r="P12" s="56" t="s">
        <v>2051</v>
      </c>
      <c r="Q12" s="62">
        <v>94</v>
      </c>
      <c r="R12" s="62">
        <v>3</v>
      </c>
      <c r="S12" s="62">
        <v>40</v>
      </c>
      <c r="T12" s="62">
        <v>1</v>
      </c>
      <c r="U12" s="290"/>
      <c r="V12" s="62">
        <v>2</v>
      </c>
      <c r="W12" s="62">
        <v>2</v>
      </c>
      <c r="X12" s="49"/>
      <c r="Y12" s="49"/>
      <c r="Z12" s="49"/>
      <c r="AA12" s="49"/>
      <c r="AB12" s="49"/>
      <c r="AC12" s="49"/>
      <c r="AD12" s="49"/>
      <c r="AE12" s="49"/>
      <c r="AF12" s="49"/>
      <c r="AG12" s="49"/>
      <c r="AH12" s="49"/>
      <c r="AI12" s="49"/>
      <c r="AJ12" s="49"/>
      <c r="AK12" s="49"/>
      <c r="AL12" s="49"/>
      <c r="AM12" s="49"/>
      <c r="AN12" s="49"/>
      <c r="AO12" s="49"/>
      <c r="AP12" s="49"/>
      <c r="AQ12" s="49"/>
      <c r="AR12" s="49"/>
      <c r="AS12" s="49"/>
    </row>
    <row r="13" spans="1:45">
      <c r="A13" s="49"/>
      <c r="B13" s="49"/>
      <c r="C13" s="49"/>
      <c r="D13" s="56" t="s">
        <v>2052</v>
      </c>
      <c r="E13" s="62">
        <v>1200</v>
      </c>
      <c r="F13" s="62">
        <v>1399</v>
      </c>
      <c r="G13" s="62">
        <v>1100</v>
      </c>
      <c r="H13" s="62">
        <v>1400</v>
      </c>
      <c r="I13" s="286">
        <v>30</v>
      </c>
      <c r="J13" s="62">
        <v>4800</v>
      </c>
      <c r="K13" s="62">
        <v>0</v>
      </c>
      <c r="L13" s="150">
        <v>350000</v>
      </c>
      <c r="M13" s="62">
        <v>1500</v>
      </c>
      <c r="N13" s="49"/>
      <c r="O13" s="49"/>
      <c r="P13" s="56" t="s">
        <v>2052</v>
      </c>
      <c r="Q13" s="62">
        <v>112</v>
      </c>
      <c r="R13" s="62">
        <v>3</v>
      </c>
      <c r="S13" s="62">
        <v>45</v>
      </c>
      <c r="T13" s="62">
        <v>1</v>
      </c>
      <c r="U13" s="290"/>
      <c r="V13" s="62">
        <v>2</v>
      </c>
      <c r="W13" s="62">
        <v>2</v>
      </c>
      <c r="X13" s="49"/>
      <c r="Y13" s="49"/>
      <c r="Z13" s="49"/>
      <c r="AA13" s="49"/>
      <c r="AB13" s="49"/>
      <c r="AC13" s="49"/>
      <c r="AD13" s="49"/>
      <c r="AE13" s="49"/>
      <c r="AF13" s="49"/>
      <c r="AG13" s="49"/>
      <c r="AH13" s="49"/>
      <c r="AI13" s="49"/>
      <c r="AJ13" s="49"/>
      <c r="AK13" s="49"/>
      <c r="AL13" s="49"/>
      <c r="AM13" s="49"/>
      <c r="AN13" s="49"/>
      <c r="AO13" s="49"/>
      <c r="AP13" s="49"/>
      <c r="AQ13" s="49"/>
      <c r="AR13" s="49"/>
      <c r="AS13" s="49"/>
    </row>
    <row r="14" spans="1:45">
      <c r="A14" s="49"/>
      <c r="B14" s="49"/>
      <c r="C14" s="49"/>
      <c r="D14" s="56" t="s">
        <v>2053</v>
      </c>
      <c r="E14" s="62">
        <v>1400</v>
      </c>
      <c r="F14" s="62">
        <v>1599</v>
      </c>
      <c r="G14" s="62">
        <v>1300</v>
      </c>
      <c r="H14" s="62">
        <v>1600</v>
      </c>
      <c r="I14" s="286">
        <v>30</v>
      </c>
      <c r="J14" s="150">
        <v>10000</v>
      </c>
      <c r="K14" s="62">
        <v>0</v>
      </c>
      <c r="L14" s="150">
        <v>400000</v>
      </c>
      <c r="M14" s="62">
        <v>1750</v>
      </c>
      <c r="N14" s="49"/>
      <c r="O14" s="49"/>
      <c r="P14" s="56" t="s">
        <v>2053</v>
      </c>
      <c r="Q14" s="62">
        <v>136</v>
      </c>
      <c r="R14" s="62">
        <v>4</v>
      </c>
      <c r="S14" s="62">
        <v>50</v>
      </c>
      <c r="T14" s="62">
        <v>2</v>
      </c>
      <c r="U14" s="290"/>
      <c r="V14" s="62">
        <v>2</v>
      </c>
      <c r="W14" s="62">
        <v>2</v>
      </c>
      <c r="X14" s="49"/>
      <c r="Y14" s="49"/>
      <c r="Z14" s="49"/>
      <c r="AA14" s="49"/>
      <c r="AB14" s="49"/>
      <c r="AC14" s="543" t="s">
        <v>2054</v>
      </c>
      <c r="AD14" s="543"/>
      <c r="AE14" s="543" t="s">
        <v>2055</v>
      </c>
      <c r="AF14" s="545">
        <v>1</v>
      </c>
      <c r="AG14" s="49"/>
      <c r="AH14" s="49"/>
      <c r="AI14" s="49"/>
      <c r="AJ14" s="49"/>
      <c r="AK14" s="49"/>
      <c r="AL14" s="49"/>
      <c r="AM14" s="49"/>
      <c r="AN14" s="49"/>
      <c r="AO14" s="49"/>
      <c r="AP14" s="49"/>
      <c r="AQ14" s="49"/>
      <c r="AR14" s="49"/>
      <c r="AS14" s="49"/>
    </row>
    <row r="15" spans="1:45">
      <c r="A15" s="49"/>
      <c r="B15" s="49"/>
      <c r="C15" s="49"/>
      <c r="D15" s="56" t="s">
        <v>2056</v>
      </c>
      <c r="E15" s="62">
        <v>1600</v>
      </c>
      <c r="F15" s="62">
        <v>1799</v>
      </c>
      <c r="G15" s="62">
        <v>1500</v>
      </c>
      <c r="H15" s="62">
        <v>1800</v>
      </c>
      <c r="I15" s="286">
        <v>30</v>
      </c>
      <c r="J15" s="150">
        <v>13500</v>
      </c>
      <c r="K15" s="62">
        <v>0</v>
      </c>
      <c r="L15" s="150">
        <v>450000</v>
      </c>
      <c r="M15" s="62">
        <v>2000</v>
      </c>
      <c r="N15" s="49"/>
      <c r="O15" s="49"/>
      <c r="P15" s="56" t="s">
        <v>2056</v>
      </c>
      <c r="Q15" s="62">
        <v>160</v>
      </c>
      <c r="R15" s="62">
        <v>4</v>
      </c>
      <c r="S15" s="62">
        <v>55</v>
      </c>
      <c r="T15" s="62">
        <v>2</v>
      </c>
      <c r="U15" s="290"/>
      <c r="V15" s="62">
        <v>2</v>
      </c>
      <c r="W15" s="62">
        <v>2</v>
      </c>
      <c r="X15" s="49"/>
      <c r="Y15" s="49"/>
      <c r="Z15" s="49"/>
      <c r="AA15" s="49"/>
      <c r="AB15" s="49"/>
      <c r="AC15" s="544"/>
      <c r="AD15" s="544"/>
      <c r="AE15" s="544"/>
      <c r="AF15" s="546"/>
      <c r="AG15" s="292"/>
      <c r="AH15" s="292"/>
      <c r="AI15" s="49"/>
      <c r="AJ15" s="49"/>
      <c r="AK15" s="49"/>
      <c r="AL15" s="49"/>
      <c r="AM15" s="49"/>
      <c r="AN15" s="49"/>
      <c r="AO15" s="49"/>
      <c r="AP15" s="49"/>
      <c r="AQ15" s="49"/>
      <c r="AR15" s="49"/>
      <c r="AS15" s="49"/>
    </row>
    <row r="16" spans="1:45">
      <c r="A16" s="49"/>
      <c r="B16" s="49"/>
      <c r="C16" s="49"/>
      <c r="D16" s="56" t="s">
        <v>2057</v>
      </c>
      <c r="E16" s="62">
        <v>1800</v>
      </c>
      <c r="F16" s="62">
        <v>1999</v>
      </c>
      <c r="G16" s="62">
        <v>1700</v>
      </c>
      <c r="H16" s="62">
        <v>2000</v>
      </c>
      <c r="I16" s="286">
        <v>30</v>
      </c>
      <c r="J16" s="150">
        <v>17000</v>
      </c>
      <c r="K16" s="62">
        <v>0</v>
      </c>
      <c r="L16" s="150">
        <v>500000</v>
      </c>
      <c r="M16" s="62">
        <v>2250</v>
      </c>
      <c r="N16" s="49"/>
      <c r="O16" s="49"/>
      <c r="P16" s="56" t="s">
        <v>2057</v>
      </c>
      <c r="Q16" s="62">
        <v>184</v>
      </c>
      <c r="R16" s="62">
        <v>4</v>
      </c>
      <c r="S16" s="62">
        <v>60</v>
      </c>
      <c r="T16" s="62">
        <v>2</v>
      </c>
      <c r="U16" s="290"/>
      <c r="V16" s="62">
        <v>2</v>
      </c>
      <c r="W16" s="62">
        <v>2</v>
      </c>
      <c r="X16" s="49"/>
      <c r="Y16" s="49"/>
      <c r="Z16" s="49"/>
      <c r="AA16" s="49"/>
      <c r="AB16" s="49"/>
      <c r="AC16" s="62" t="s">
        <v>243</v>
      </c>
      <c r="AD16" s="62" t="s">
        <v>2046</v>
      </c>
      <c r="AE16" s="49"/>
      <c r="AF16" s="49"/>
      <c r="AG16" s="49"/>
      <c r="AH16" s="49"/>
      <c r="AI16" s="49"/>
      <c r="AJ16" s="49"/>
      <c r="AK16" s="49"/>
      <c r="AL16" s="49"/>
      <c r="AM16" s="49"/>
      <c r="AN16" s="49"/>
      <c r="AO16" s="49"/>
      <c r="AP16" s="49"/>
      <c r="AQ16" s="49"/>
      <c r="AR16" s="49"/>
      <c r="AS16" s="49"/>
    </row>
    <row r="17" spans="1:45">
      <c r="A17" s="49"/>
      <c r="B17" s="49"/>
      <c r="C17" s="49"/>
      <c r="D17" s="56" t="s">
        <v>2058</v>
      </c>
      <c r="E17" s="62">
        <v>2000</v>
      </c>
      <c r="F17" s="62">
        <v>2199</v>
      </c>
      <c r="G17" s="62">
        <v>1900</v>
      </c>
      <c r="H17" s="62">
        <v>2200</v>
      </c>
      <c r="I17" s="286">
        <v>30</v>
      </c>
      <c r="J17" s="150">
        <v>40000</v>
      </c>
      <c r="K17" s="62">
        <v>120</v>
      </c>
      <c r="L17" s="150">
        <v>550000</v>
      </c>
      <c r="M17" s="62">
        <v>2500</v>
      </c>
      <c r="N17" s="49"/>
      <c r="O17" s="49"/>
      <c r="P17" s="56" t="s">
        <v>2058</v>
      </c>
      <c r="Q17" s="62">
        <v>214</v>
      </c>
      <c r="R17" s="62">
        <v>5</v>
      </c>
      <c r="S17" s="62">
        <v>65</v>
      </c>
      <c r="T17" s="62">
        <v>2</v>
      </c>
      <c r="U17" s="290"/>
      <c r="V17" s="62">
        <v>2</v>
      </c>
      <c r="W17" s="62">
        <v>2</v>
      </c>
      <c r="X17" s="49"/>
      <c r="Y17" s="49"/>
      <c r="Z17" s="49"/>
      <c r="AA17" s="49"/>
      <c r="AB17" s="49"/>
      <c r="AC17" s="62">
        <f>IFERROR(IF(AF14&gt;500,#N/A,AF14),"")</f>
        <v>1</v>
      </c>
      <c r="AD17" s="62">
        <f>IFERROR(IF(AC17&lt;=200,IF(AC17=1,30,50*AC17-50),IF(AC17&lt;300,500*AC17-90500,1000*AC17-240000)),"")</f>
        <v>30</v>
      </c>
      <c r="AE17" s="49"/>
      <c r="AF17" s="49"/>
      <c r="AG17" s="49"/>
      <c r="AH17" s="49"/>
      <c r="AI17" s="49"/>
      <c r="AJ17" s="49"/>
      <c r="AK17" s="49"/>
      <c r="AL17" s="49"/>
      <c r="AM17" s="49"/>
      <c r="AN17" s="49"/>
      <c r="AO17" s="49"/>
      <c r="AP17" s="49"/>
      <c r="AQ17" s="49"/>
      <c r="AR17" s="49"/>
      <c r="AS17" s="49"/>
    </row>
    <row r="18" spans="1:45">
      <c r="A18" s="49"/>
      <c r="B18" s="49"/>
      <c r="C18" s="49"/>
      <c r="D18" s="56" t="s">
        <v>2059</v>
      </c>
      <c r="E18" s="62">
        <v>2200</v>
      </c>
      <c r="F18" s="62">
        <v>2399</v>
      </c>
      <c r="G18" s="62">
        <v>2100</v>
      </c>
      <c r="H18" s="62">
        <v>2400</v>
      </c>
      <c r="I18" s="286">
        <v>30</v>
      </c>
      <c r="J18" s="150">
        <v>55000</v>
      </c>
      <c r="K18" s="62">
        <v>220</v>
      </c>
      <c r="L18" s="150">
        <v>600000</v>
      </c>
      <c r="M18" s="62">
        <v>2750</v>
      </c>
      <c r="N18" s="49"/>
      <c r="O18" s="49"/>
      <c r="P18" s="56" t="s">
        <v>2059</v>
      </c>
      <c r="Q18" s="62">
        <v>244</v>
      </c>
      <c r="R18" s="62">
        <v>5</v>
      </c>
      <c r="S18" s="62">
        <v>70</v>
      </c>
      <c r="T18" s="62">
        <v>2</v>
      </c>
      <c r="U18" s="290"/>
      <c r="V18" s="62">
        <v>2</v>
      </c>
      <c r="W18" s="62">
        <v>2</v>
      </c>
      <c r="X18" s="49"/>
      <c r="Y18" s="49"/>
      <c r="Z18" s="49"/>
      <c r="AA18" s="49"/>
      <c r="AB18" s="49"/>
      <c r="AC18" s="62">
        <f>IFERROR(IF(AC17+1&gt;500,#N/A,AC17+1),"")</f>
        <v>2</v>
      </c>
      <c r="AD18" s="62">
        <f t="shared" ref="AD18:AD49" si="0">IFERROR(IF(AC18&lt;=200,IF(AC18=1,30,50*AC18-50),IF(AC18&lt;300,500*AC18-90500,1000*AC18-240000)),"")</f>
        <v>50</v>
      </c>
      <c r="AE18" s="49"/>
      <c r="AF18" s="49"/>
      <c r="AG18" s="49"/>
      <c r="AH18" s="49"/>
      <c r="AI18" s="49"/>
      <c r="AJ18" s="49"/>
      <c r="AK18" s="49"/>
      <c r="AL18" s="49"/>
      <c r="AM18" s="49"/>
      <c r="AN18" s="49"/>
      <c r="AO18" s="49"/>
      <c r="AP18" s="49"/>
      <c r="AQ18" s="49"/>
      <c r="AR18" s="49"/>
      <c r="AS18" s="49"/>
    </row>
    <row r="19" spans="1:45">
      <c r="A19" s="49"/>
      <c r="B19" s="49"/>
      <c r="C19" s="49"/>
      <c r="D19" s="56" t="s">
        <v>2060</v>
      </c>
      <c r="E19" s="62">
        <v>2400</v>
      </c>
      <c r="F19" s="62">
        <v>2599</v>
      </c>
      <c r="G19" s="62">
        <v>2300</v>
      </c>
      <c r="H19" s="62">
        <v>2600</v>
      </c>
      <c r="I19" s="286">
        <v>30</v>
      </c>
      <c r="J19" s="150">
        <v>70000</v>
      </c>
      <c r="K19" s="62">
        <v>320</v>
      </c>
      <c r="L19" s="150">
        <v>650000</v>
      </c>
      <c r="M19" s="62">
        <v>3000</v>
      </c>
      <c r="N19" s="49"/>
      <c r="O19" s="49"/>
      <c r="P19" s="56" t="s">
        <v>2060</v>
      </c>
      <c r="Q19" s="62">
        <v>274</v>
      </c>
      <c r="R19" s="62">
        <v>5</v>
      </c>
      <c r="S19" s="62">
        <v>75</v>
      </c>
      <c r="T19" s="62">
        <v>2</v>
      </c>
      <c r="U19" s="290"/>
      <c r="V19" s="62">
        <v>1</v>
      </c>
      <c r="W19" s="62">
        <v>2</v>
      </c>
      <c r="X19" s="49"/>
      <c r="Y19" s="49"/>
      <c r="Z19" s="49"/>
      <c r="AA19" s="49"/>
      <c r="AB19" s="49"/>
      <c r="AC19" s="62">
        <f t="shared" ref="AC19:AC50" si="1">IFERROR(IF(AC18+1&gt;500,#N/A,AC18+1),"")</f>
        <v>3</v>
      </c>
      <c r="AD19" s="62">
        <f t="shared" si="0"/>
        <v>100</v>
      </c>
      <c r="AE19" s="49"/>
      <c r="AF19" s="49"/>
      <c r="AG19" s="49"/>
      <c r="AH19" s="49"/>
      <c r="AI19" s="49"/>
      <c r="AJ19" s="49"/>
      <c r="AK19" s="49"/>
      <c r="AL19" s="49"/>
      <c r="AM19" s="49"/>
      <c r="AN19" s="49"/>
      <c r="AO19" s="49"/>
      <c r="AP19" s="49"/>
      <c r="AQ19" s="49"/>
      <c r="AR19" s="49"/>
      <c r="AS19" s="49"/>
    </row>
    <row r="20" spans="1:45">
      <c r="A20" s="49"/>
      <c r="B20" s="49"/>
      <c r="C20" s="49"/>
      <c r="D20" s="56" t="s">
        <v>2061</v>
      </c>
      <c r="E20" s="62">
        <v>2600</v>
      </c>
      <c r="F20" s="62">
        <v>2799</v>
      </c>
      <c r="G20" s="62">
        <v>2500</v>
      </c>
      <c r="H20" s="62">
        <v>2800</v>
      </c>
      <c r="I20" s="286">
        <v>30</v>
      </c>
      <c r="J20" s="150">
        <v>110000</v>
      </c>
      <c r="K20" s="62">
        <v>560</v>
      </c>
      <c r="L20" s="150">
        <v>700000</v>
      </c>
      <c r="M20" s="62">
        <v>3250</v>
      </c>
      <c r="N20" s="49"/>
      <c r="O20" s="49"/>
      <c r="P20" s="56" t="s">
        <v>2061</v>
      </c>
      <c r="Q20" s="62">
        <v>310</v>
      </c>
      <c r="R20" s="62">
        <v>6</v>
      </c>
      <c r="S20" s="62">
        <v>80</v>
      </c>
      <c r="T20" s="62">
        <v>3</v>
      </c>
      <c r="U20" s="290"/>
      <c r="V20" s="62">
        <v>1</v>
      </c>
      <c r="W20" s="62">
        <v>2</v>
      </c>
      <c r="X20" s="49"/>
      <c r="Y20" s="49"/>
      <c r="Z20" s="49"/>
      <c r="AA20" s="49"/>
      <c r="AB20" s="49"/>
      <c r="AC20" s="62">
        <f t="shared" si="1"/>
        <v>4</v>
      </c>
      <c r="AD20" s="62">
        <f t="shared" si="0"/>
        <v>150</v>
      </c>
      <c r="AE20" s="49"/>
      <c r="AF20" s="49"/>
      <c r="AG20" s="49"/>
      <c r="AH20" s="49"/>
      <c r="AI20" s="49"/>
      <c r="AJ20" s="49"/>
      <c r="AK20" s="49"/>
      <c r="AL20" s="49"/>
      <c r="AM20" s="49"/>
      <c r="AN20" s="49"/>
      <c r="AO20" s="49"/>
      <c r="AP20" s="49"/>
      <c r="AQ20" s="49"/>
      <c r="AR20" s="49"/>
      <c r="AS20" s="49"/>
    </row>
    <row r="21" spans="1:45">
      <c r="A21" s="49"/>
      <c r="B21" s="49"/>
      <c r="C21" s="49"/>
      <c r="D21" s="56" t="s">
        <v>2062</v>
      </c>
      <c r="E21" s="62">
        <v>2800</v>
      </c>
      <c r="F21" s="62">
        <v>2999</v>
      </c>
      <c r="G21" s="62">
        <v>2700</v>
      </c>
      <c r="H21" s="62">
        <v>3000</v>
      </c>
      <c r="I21" s="286">
        <v>30</v>
      </c>
      <c r="J21" s="150">
        <v>135000</v>
      </c>
      <c r="K21" s="62">
        <v>740</v>
      </c>
      <c r="L21" s="150">
        <v>750000</v>
      </c>
      <c r="M21" s="62">
        <v>3500</v>
      </c>
      <c r="N21" s="49"/>
      <c r="O21" s="49"/>
      <c r="P21" s="56" t="s">
        <v>2062</v>
      </c>
      <c r="Q21" s="62">
        <v>346</v>
      </c>
      <c r="R21" s="62">
        <v>6</v>
      </c>
      <c r="S21" s="62">
        <v>85</v>
      </c>
      <c r="T21" s="62">
        <v>3</v>
      </c>
      <c r="U21" s="290"/>
      <c r="V21" s="62">
        <v>1</v>
      </c>
      <c r="W21" s="62">
        <v>2</v>
      </c>
      <c r="X21" s="49"/>
      <c r="Y21" s="49"/>
      <c r="Z21" s="49"/>
      <c r="AA21" s="49"/>
      <c r="AB21" s="49"/>
      <c r="AC21" s="62">
        <f t="shared" si="1"/>
        <v>5</v>
      </c>
      <c r="AD21" s="62">
        <f t="shared" si="0"/>
        <v>200</v>
      </c>
      <c r="AE21" s="49"/>
      <c r="AF21" s="49"/>
      <c r="AG21" s="49"/>
      <c r="AH21" s="49"/>
      <c r="AI21" s="49"/>
      <c r="AJ21" s="49"/>
      <c r="AK21" s="49"/>
      <c r="AL21" s="49"/>
      <c r="AM21" s="49"/>
      <c r="AN21" s="49"/>
      <c r="AO21" s="49"/>
      <c r="AP21" s="49"/>
      <c r="AQ21" s="49"/>
      <c r="AR21" s="49"/>
      <c r="AS21" s="49"/>
    </row>
    <row r="22" spans="1:45">
      <c r="A22" s="49"/>
      <c r="B22" s="49"/>
      <c r="C22" s="49"/>
      <c r="D22" s="56" t="s">
        <v>2063</v>
      </c>
      <c r="E22" s="62">
        <v>3000</v>
      </c>
      <c r="F22" s="62">
        <v>3199</v>
      </c>
      <c r="G22" s="62">
        <v>2900</v>
      </c>
      <c r="H22" s="62">
        <v>3200</v>
      </c>
      <c r="I22" s="286">
        <v>30</v>
      </c>
      <c r="J22" s="150">
        <v>160000</v>
      </c>
      <c r="K22" s="62">
        <v>920</v>
      </c>
      <c r="L22" s="150">
        <v>800000</v>
      </c>
      <c r="M22" s="62">
        <v>3750</v>
      </c>
      <c r="N22" s="49"/>
      <c r="O22" s="49"/>
      <c r="P22" s="56" t="s">
        <v>2063</v>
      </c>
      <c r="Q22" s="62">
        <v>382</v>
      </c>
      <c r="R22" s="62">
        <v>6</v>
      </c>
      <c r="S22" s="62">
        <v>90</v>
      </c>
      <c r="T22" s="62">
        <v>3</v>
      </c>
      <c r="U22" s="290"/>
      <c r="V22" s="62">
        <v>1</v>
      </c>
      <c r="W22" s="62">
        <v>2</v>
      </c>
      <c r="X22" s="49"/>
      <c r="Y22" s="49"/>
      <c r="Z22" s="49"/>
      <c r="AA22" s="49"/>
      <c r="AB22" s="49"/>
      <c r="AC22" s="62">
        <f t="shared" si="1"/>
        <v>6</v>
      </c>
      <c r="AD22" s="62">
        <f t="shared" si="0"/>
        <v>250</v>
      </c>
      <c r="AE22" s="49"/>
      <c r="AF22" s="49"/>
      <c r="AG22" s="49"/>
      <c r="AH22" s="49"/>
      <c r="AI22" s="49"/>
      <c r="AJ22" s="49"/>
      <c r="AK22" s="49"/>
      <c r="AL22" s="49"/>
      <c r="AM22" s="49"/>
      <c r="AN22" s="49"/>
      <c r="AO22" s="49"/>
      <c r="AP22" s="49"/>
      <c r="AQ22" s="49"/>
      <c r="AR22" s="49"/>
      <c r="AS22" s="49"/>
    </row>
    <row r="23" spans="1:45">
      <c r="A23" s="49"/>
      <c r="B23" s="49"/>
      <c r="C23" s="49"/>
      <c r="D23" s="56" t="s">
        <v>2064</v>
      </c>
      <c r="E23" s="62">
        <v>3200</v>
      </c>
      <c r="F23" s="62">
        <v>3499</v>
      </c>
      <c r="G23" s="62">
        <v>3100</v>
      </c>
      <c r="H23" s="62">
        <v>3500</v>
      </c>
      <c r="I23" s="286">
        <v>60</v>
      </c>
      <c r="J23" s="150">
        <v>200000</v>
      </c>
      <c r="K23" s="62">
        <v>1220</v>
      </c>
      <c r="L23" s="150">
        <v>850000</v>
      </c>
      <c r="M23" s="62">
        <v>4000</v>
      </c>
      <c r="N23" s="49"/>
      <c r="O23" s="49"/>
      <c r="P23" s="56" t="s">
        <v>2064</v>
      </c>
      <c r="Q23" s="62">
        <v>424</v>
      </c>
      <c r="R23" s="62">
        <v>7</v>
      </c>
      <c r="S23" s="62">
        <v>95</v>
      </c>
      <c r="T23" s="62">
        <v>4</v>
      </c>
      <c r="U23" s="290"/>
      <c r="V23" s="62">
        <v>1</v>
      </c>
      <c r="W23" s="62">
        <v>2</v>
      </c>
      <c r="X23" s="49"/>
      <c r="Y23" s="49"/>
      <c r="Z23" s="49"/>
      <c r="AA23" s="49"/>
      <c r="AB23" s="49"/>
      <c r="AC23" s="62">
        <f t="shared" si="1"/>
        <v>7</v>
      </c>
      <c r="AD23" s="62">
        <f t="shared" si="0"/>
        <v>300</v>
      </c>
      <c r="AE23" s="49"/>
      <c r="AF23" s="49"/>
      <c r="AG23" s="49"/>
      <c r="AH23" s="49"/>
      <c r="AI23" s="49"/>
      <c r="AJ23" s="49"/>
      <c r="AK23" s="49"/>
      <c r="AL23" s="49"/>
      <c r="AM23" s="49"/>
      <c r="AN23" s="49"/>
      <c r="AO23" s="49"/>
      <c r="AP23" s="49"/>
      <c r="AQ23" s="49"/>
      <c r="AR23" s="49"/>
      <c r="AS23" s="49"/>
    </row>
    <row r="24" spans="1:45">
      <c r="A24" s="49"/>
      <c r="B24" s="49"/>
      <c r="C24" s="49"/>
      <c r="D24" s="56" t="s">
        <v>2065</v>
      </c>
      <c r="E24" s="62">
        <v>3500</v>
      </c>
      <c r="F24" s="62">
        <v>3799</v>
      </c>
      <c r="G24" s="62">
        <v>3400</v>
      </c>
      <c r="H24" s="62">
        <v>3800</v>
      </c>
      <c r="I24" s="286">
        <v>60</v>
      </c>
      <c r="J24" s="150">
        <v>225000</v>
      </c>
      <c r="K24" s="62">
        <v>1400</v>
      </c>
      <c r="L24" s="150">
        <v>900000</v>
      </c>
      <c r="M24" s="62">
        <v>4250</v>
      </c>
      <c r="N24" s="49"/>
      <c r="O24" s="49"/>
      <c r="P24" s="56" t="s">
        <v>2065</v>
      </c>
      <c r="Q24" s="62">
        <v>466</v>
      </c>
      <c r="R24" s="62">
        <v>7</v>
      </c>
      <c r="S24" s="62">
        <v>100</v>
      </c>
      <c r="T24" s="62">
        <v>4</v>
      </c>
      <c r="U24" s="290"/>
      <c r="V24" s="62">
        <v>1</v>
      </c>
      <c r="W24" s="62">
        <v>2</v>
      </c>
      <c r="X24" s="49"/>
      <c r="Y24" s="49"/>
      <c r="Z24" s="49"/>
      <c r="AA24" s="49"/>
      <c r="AB24" s="49"/>
      <c r="AC24" s="62">
        <f t="shared" si="1"/>
        <v>8</v>
      </c>
      <c r="AD24" s="62">
        <f t="shared" si="0"/>
        <v>350</v>
      </c>
      <c r="AE24" s="49"/>
      <c r="AF24" s="49"/>
      <c r="AG24" s="49"/>
      <c r="AH24" s="49"/>
      <c r="AI24" s="49"/>
      <c r="AJ24" s="49"/>
      <c r="AK24" s="49"/>
      <c r="AL24" s="49"/>
      <c r="AM24" s="49"/>
      <c r="AN24" s="49"/>
      <c r="AO24" s="49"/>
      <c r="AP24" s="49"/>
      <c r="AQ24" s="49"/>
      <c r="AR24" s="49"/>
      <c r="AS24" s="49"/>
    </row>
    <row r="25" spans="1:45">
      <c r="A25" s="49"/>
      <c r="B25" s="49"/>
      <c r="C25" s="49"/>
      <c r="D25" s="86" t="s">
        <v>2013</v>
      </c>
      <c r="E25" s="62">
        <v>3800</v>
      </c>
      <c r="F25" s="62">
        <v>4099</v>
      </c>
      <c r="G25" s="62">
        <v>3700</v>
      </c>
      <c r="H25" s="62">
        <v>4100</v>
      </c>
      <c r="I25" s="286">
        <v>60</v>
      </c>
      <c r="J25" s="150">
        <v>250000</v>
      </c>
      <c r="K25" s="62">
        <v>1580</v>
      </c>
      <c r="L25" s="150">
        <v>940000</v>
      </c>
      <c r="M25" s="62">
        <v>4500</v>
      </c>
      <c r="N25" s="49"/>
      <c r="O25" s="49"/>
      <c r="P25" s="56" t="s">
        <v>2013</v>
      </c>
      <c r="Q25" s="62">
        <v>508</v>
      </c>
      <c r="R25" s="62">
        <v>7</v>
      </c>
      <c r="S25" s="62">
        <v>105</v>
      </c>
      <c r="T25" s="62">
        <v>4</v>
      </c>
      <c r="U25" s="290"/>
      <c r="V25" s="62">
        <v>0</v>
      </c>
      <c r="W25" s="62">
        <v>3</v>
      </c>
      <c r="X25" s="49"/>
      <c r="Y25" s="49"/>
      <c r="Z25" s="49"/>
      <c r="AA25" s="49"/>
      <c r="AB25" s="49"/>
      <c r="AC25" s="62">
        <f t="shared" si="1"/>
        <v>9</v>
      </c>
      <c r="AD25" s="62">
        <f t="shared" si="0"/>
        <v>400</v>
      </c>
      <c r="AE25" s="49"/>
      <c r="AF25" s="49"/>
      <c r="AG25" s="49"/>
      <c r="AH25" s="49"/>
      <c r="AI25" s="49"/>
      <c r="AJ25" s="49"/>
      <c r="AK25" s="49"/>
      <c r="AL25" s="49"/>
      <c r="AM25" s="49"/>
      <c r="AN25" s="49"/>
      <c r="AO25" s="49"/>
      <c r="AP25" s="49"/>
      <c r="AQ25" s="49"/>
      <c r="AR25" s="49"/>
      <c r="AS25" s="49"/>
    </row>
    <row r="26" spans="1:45">
      <c r="A26" s="49"/>
      <c r="B26" s="49"/>
      <c r="C26" s="49"/>
      <c r="D26" s="56" t="s">
        <v>2066</v>
      </c>
      <c r="E26" s="62">
        <v>4100</v>
      </c>
      <c r="F26" s="62">
        <v>4399</v>
      </c>
      <c r="G26" s="62">
        <v>4000</v>
      </c>
      <c r="H26" s="62">
        <v>4400</v>
      </c>
      <c r="I26" s="286">
        <v>60</v>
      </c>
      <c r="J26" s="150">
        <v>280000</v>
      </c>
      <c r="K26" s="62">
        <v>1880</v>
      </c>
      <c r="L26" s="150">
        <v>980000</v>
      </c>
      <c r="M26" s="62">
        <v>4750</v>
      </c>
      <c r="N26" s="49"/>
      <c r="O26" s="49"/>
      <c r="P26" s="49"/>
      <c r="Q26" s="49"/>
      <c r="R26" s="49"/>
      <c r="S26" s="49"/>
      <c r="T26" s="49"/>
      <c r="U26" s="49"/>
      <c r="V26" s="49"/>
      <c r="W26" s="49"/>
      <c r="X26" s="49"/>
      <c r="Y26" s="49"/>
      <c r="Z26" s="49"/>
      <c r="AA26" s="49"/>
      <c r="AB26" s="49"/>
      <c r="AC26" s="62">
        <f t="shared" si="1"/>
        <v>10</v>
      </c>
      <c r="AD26" s="62">
        <f t="shared" si="0"/>
        <v>450</v>
      </c>
      <c r="AE26" s="49"/>
      <c r="AF26" s="49"/>
      <c r="AG26" s="49"/>
      <c r="AH26" s="49"/>
      <c r="AI26" s="49"/>
      <c r="AJ26" s="49"/>
      <c r="AK26" s="49"/>
      <c r="AL26" s="49"/>
      <c r="AM26" s="49"/>
      <c r="AN26" s="49"/>
      <c r="AO26" s="49"/>
      <c r="AP26" s="49"/>
      <c r="AQ26" s="49"/>
      <c r="AR26" s="49"/>
      <c r="AS26" s="49"/>
    </row>
    <row r="27" spans="1:45">
      <c r="A27" s="49"/>
      <c r="B27" s="49"/>
      <c r="C27" s="49"/>
      <c r="D27" s="56" t="s">
        <v>2067</v>
      </c>
      <c r="E27" s="62">
        <v>4400</v>
      </c>
      <c r="F27" s="62">
        <v>4699</v>
      </c>
      <c r="G27" s="62">
        <v>4300</v>
      </c>
      <c r="H27" s="62">
        <v>4700</v>
      </c>
      <c r="I27" s="286">
        <v>60</v>
      </c>
      <c r="J27" s="150">
        <v>300000</v>
      </c>
      <c r="K27" s="62">
        <v>2060</v>
      </c>
      <c r="L27" s="150">
        <v>1020000</v>
      </c>
      <c r="M27" s="62">
        <v>5000</v>
      </c>
      <c r="N27" s="49"/>
      <c r="O27" s="49"/>
      <c r="P27" s="49" t="s">
        <v>2068</v>
      </c>
      <c r="Q27" s="49"/>
      <c r="R27" s="49"/>
      <c r="S27" s="49"/>
      <c r="T27" s="49"/>
      <c r="U27" s="49"/>
      <c r="V27" s="49"/>
      <c r="W27" s="49"/>
      <c r="X27" s="49"/>
      <c r="Y27" s="49"/>
      <c r="Z27" s="49"/>
      <c r="AA27" s="49"/>
      <c r="AB27" s="49"/>
      <c r="AC27" s="62">
        <f t="shared" si="1"/>
        <v>11</v>
      </c>
      <c r="AD27" s="62">
        <f t="shared" si="0"/>
        <v>500</v>
      </c>
      <c r="AE27" s="49"/>
      <c r="AF27" s="49"/>
      <c r="AG27" s="49"/>
      <c r="AH27" s="49"/>
      <c r="AI27" s="49"/>
      <c r="AJ27" s="49"/>
      <c r="AK27" s="49"/>
      <c r="AL27" s="49"/>
      <c r="AM27" s="49"/>
      <c r="AN27" s="49"/>
      <c r="AO27" s="49"/>
      <c r="AP27" s="49"/>
      <c r="AQ27" s="49"/>
      <c r="AR27" s="49"/>
      <c r="AS27" s="49"/>
    </row>
    <row r="28" spans="1:45">
      <c r="A28" s="49"/>
      <c r="B28" s="49"/>
      <c r="C28" s="49"/>
      <c r="D28" s="56" t="s">
        <v>2069</v>
      </c>
      <c r="E28" s="62">
        <v>4700</v>
      </c>
      <c r="F28" s="62">
        <v>4999</v>
      </c>
      <c r="G28" s="62">
        <v>4600</v>
      </c>
      <c r="H28" s="62">
        <v>5000</v>
      </c>
      <c r="I28" s="286">
        <v>60</v>
      </c>
      <c r="J28" s="150">
        <v>320000</v>
      </c>
      <c r="K28" s="62">
        <v>2240</v>
      </c>
      <c r="L28" s="150">
        <v>1060000</v>
      </c>
      <c r="M28" s="62">
        <v>5250</v>
      </c>
      <c r="N28" s="49"/>
      <c r="O28" s="49"/>
      <c r="P28" s="49"/>
      <c r="Q28" s="49"/>
      <c r="R28" s="49"/>
      <c r="S28" s="49"/>
      <c r="T28" s="49"/>
      <c r="U28" s="49"/>
      <c r="V28" s="49"/>
      <c r="W28" s="49"/>
      <c r="X28" s="49"/>
      <c r="Y28" s="49"/>
      <c r="Z28" s="49"/>
      <c r="AA28" s="49"/>
      <c r="AB28" s="49"/>
      <c r="AC28" s="62">
        <f t="shared" si="1"/>
        <v>12</v>
      </c>
      <c r="AD28" s="62">
        <f t="shared" si="0"/>
        <v>550</v>
      </c>
      <c r="AE28" s="49"/>
      <c r="AF28" s="49"/>
      <c r="AG28" s="49"/>
      <c r="AH28" s="49"/>
      <c r="AI28" s="49"/>
      <c r="AJ28" s="49"/>
      <c r="AK28" s="49"/>
      <c r="AL28" s="49"/>
      <c r="AM28" s="49"/>
      <c r="AN28" s="49"/>
      <c r="AO28" s="49"/>
      <c r="AP28" s="49"/>
      <c r="AQ28" s="49"/>
      <c r="AR28" s="49"/>
      <c r="AS28" s="49"/>
    </row>
    <row r="29" spans="1:45">
      <c r="A29" s="49"/>
      <c r="B29" s="49"/>
      <c r="C29" s="49"/>
      <c r="D29" s="56" t="s">
        <v>2070</v>
      </c>
      <c r="E29" s="62">
        <v>5000</v>
      </c>
      <c r="F29" s="62" t="s">
        <v>2071</v>
      </c>
      <c r="G29" s="62">
        <v>4900</v>
      </c>
      <c r="H29" s="62" t="s">
        <v>2071</v>
      </c>
      <c r="I29" s="286">
        <v>60</v>
      </c>
      <c r="J29" s="150">
        <v>340000</v>
      </c>
      <c r="K29" s="62">
        <v>2400</v>
      </c>
      <c r="L29" s="150">
        <v>1100000</v>
      </c>
      <c r="M29" s="62">
        <v>5500</v>
      </c>
      <c r="N29" s="49"/>
      <c r="O29" s="49"/>
      <c r="P29" s="49"/>
      <c r="Q29" s="49"/>
      <c r="R29" s="49"/>
      <c r="S29" s="49"/>
      <c r="T29" s="49"/>
      <c r="U29" s="49"/>
      <c r="V29" s="49"/>
      <c r="W29" s="49"/>
      <c r="X29" s="49"/>
      <c r="Y29" s="49"/>
      <c r="Z29" s="49"/>
      <c r="AA29" s="49"/>
      <c r="AB29" s="49"/>
      <c r="AC29" s="62">
        <f t="shared" si="1"/>
        <v>13</v>
      </c>
      <c r="AD29" s="62">
        <f t="shared" si="0"/>
        <v>600</v>
      </c>
      <c r="AE29" s="49"/>
      <c r="AF29" s="49"/>
      <c r="AG29" s="49"/>
      <c r="AH29" s="49"/>
      <c r="AI29" s="49"/>
      <c r="AJ29" s="49"/>
      <c r="AK29" s="49"/>
      <c r="AL29" s="49"/>
      <c r="AM29" s="49"/>
      <c r="AN29" s="49"/>
      <c r="AO29" s="49"/>
      <c r="AP29" s="49"/>
      <c r="AQ29" s="49"/>
      <c r="AR29" s="49"/>
      <c r="AS29" s="49"/>
    </row>
    <row r="30" spans="1:45">
      <c r="A30" s="49"/>
      <c r="B30" s="49"/>
      <c r="C30" s="49"/>
      <c r="D30" s="49"/>
      <c r="E30" s="54"/>
      <c r="F30" s="49"/>
      <c r="G30" s="49"/>
      <c r="H30" s="49"/>
      <c r="I30" s="49"/>
      <c r="J30" s="49"/>
      <c r="K30" s="49"/>
      <c r="L30" s="49"/>
      <c r="M30" s="49"/>
      <c r="N30" s="49"/>
      <c r="O30" s="49"/>
      <c r="P30" s="49"/>
      <c r="Q30" s="49"/>
      <c r="R30" s="49"/>
      <c r="S30" s="49"/>
      <c r="T30" s="49"/>
      <c r="U30" s="49"/>
      <c r="V30" s="49"/>
      <c r="W30" s="49"/>
      <c r="X30" s="49"/>
      <c r="Y30" s="49"/>
      <c r="Z30" s="49"/>
      <c r="AA30" s="49"/>
      <c r="AB30" s="49"/>
      <c r="AC30" s="62">
        <f t="shared" si="1"/>
        <v>14</v>
      </c>
      <c r="AD30" s="62">
        <f t="shared" si="0"/>
        <v>650</v>
      </c>
      <c r="AE30" s="49"/>
      <c r="AF30" s="49"/>
      <c r="AG30" s="49"/>
      <c r="AH30" s="49"/>
      <c r="AI30" s="49"/>
      <c r="AJ30" s="49"/>
      <c r="AK30" s="49"/>
      <c r="AL30" s="49"/>
      <c r="AM30" s="49"/>
      <c r="AN30" s="49"/>
      <c r="AO30" s="49"/>
      <c r="AP30" s="49"/>
      <c r="AQ30" s="49"/>
      <c r="AR30" s="49"/>
      <c r="AS30" s="49"/>
    </row>
    <row r="31" spans="1:45" ht="15">
      <c r="A31" s="49"/>
      <c r="B31" s="49"/>
      <c r="C31" s="49"/>
      <c r="D31" s="284" t="s">
        <v>2072</v>
      </c>
      <c r="E31" s="49"/>
      <c r="F31" s="49"/>
      <c r="G31" s="49"/>
      <c r="H31" s="49"/>
      <c r="I31" s="49"/>
      <c r="J31" s="49"/>
      <c r="K31" s="49"/>
      <c r="L31" s="49"/>
      <c r="M31" s="49"/>
      <c r="N31" s="49"/>
      <c r="O31" s="49"/>
      <c r="P31" s="49"/>
      <c r="Q31" s="49"/>
      <c r="R31" s="49"/>
      <c r="S31" s="49"/>
      <c r="T31" s="49"/>
      <c r="U31" s="49"/>
      <c r="V31" s="49"/>
      <c r="W31" s="49"/>
      <c r="X31" s="49"/>
      <c r="Y31" s="49"/>
      <c r="Z31" s="49"/>
      <c r="AA31" s="49"/>
      <c r="AB31" s="49"/>
      <c r="AC31" s="62">
        <f t="shared" si="1"/>
        <v>15</v>
      </c>
      <c r="AD31" s="62">
        <f t="shared" si="0"/>
        <v>700</v>
      </c>
      <c r="AE31" s="49"/>
      <c r="AF31" s="49"/>
      <c r="AG31" s="49"/>
      <c r="AH31" s="49"/>
      <c r="AI31" s="49"/>
      <c r="AJ31" s="49"/>
      <c r="AK31" s="49"/>
      <c r="AL31" s="49"/>
      <c r="AM31" s="49"/>
      <c r="AN31" s="49"/>
      <c r="AO31" s="49"/>
      <c r="AP31" s="49"/>
      <c r="AQ31" s="49"/>
      <c r="AR31" s="49"/>
      <c r="AS31" s="49"/>
    </row>
    <row r="32" spans="1:45">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62">
        <f t="shared" si="1"/>
        <v>16</v>
      </c>
      <c r="AD32" s="62">
        <f t="shared" si="0"/>
        <v>750</v>
      </c>
      <c r="AE32" s="49"/>
      <c r="AF32" s="49"/>
      <c r="AG32" s="49"/>
      <c r="AH32" s="49"/>
      <c r="AI32" s="49"/>
      <c r="AJ32" s="49"/>
      <c r="AK32" s="49"/>
      <c r="AL32" s="49"/>
      <c r="AM32" s="49"/>
      <c r="AN32" s="49"/>
      <c r="AO32" s="49"/>
      <c r="AP32" s="49"/>
      <c r="AQ32" s="49"/>
      <c r="AR32" s="49"/>
      <c r="AS32" s="49"/>
    </row>
    <row r="33" spans="1:45">
      <c r="A33" s="49"/>
      <c r="B33" s="49"/>
      <c r="C33" s="49"/>
      <c r="D33" s="550" t="s">
        <v>2073</v>
      </c>
      <c r="E33" s="550"/>
      <c r="F33" s="49"/>
      <c r="G33" s="49"/>
      <c r="H33" s="49"/>
      <c r="I33" s="49"/>
      <c r="J33" s="49"/>
      <c r="K33" s="49"/>
      <c r="L33" s="49"/>
      <c r="M33" s="49"/>
      <c r="N33" s="49"/>
      <c r="O33" s="49"/>
      <c r="P33" s="550" t="s">
        <v>2074</v>
      </c>
      <c r="Q33" s="550"/>
      <c r="R33" s="49"/>
      <c r="S33" s="49"/>
      <c r="T33" s="49"/>
      <c r="U33" s="49"/>
      <c r="V33" s="49"/>
      <c r="W33" s="49"/>
      <c r="X33" s="49"/>
      <c r="Y33" s="49"/>
      <c r="Z33" s="49"/>
      <c r="AA33" s="49"/>
      <c r="AB33" s="49"/>
      <c r="AC33" s="62">
        <f t="shared" si="1"/>
        <v>17</v>
      </c>
      <c r="AD33" s="62">
        <f t="shared" si="0"/>
        <v>800</v>
      </c>
      <c r="AE33" s="49"/>
      <c r="AF33" s="49"/>
      <c r="AG33" s="49"/>
      <c r="AH33" s="49"/>
      <c r="AI33" s="49"/>
      <c r="AJ33" s="49"/>
      <c r="AK33" s="49"/>
      <c r="AL33" s="49"/>
      <c r="AM33" s="49"/>
      <c r="AN33" s="49"/>
      <c r="AO33" s="49"/>
      <c r="AP33" s="49"/>
      <c r="AQ33" s="49"/>
      <c r="AR33" s="49"/>
      <c r="AS33" s="49"/>
    </row>
    <row r="34" spans="1:45">
      <c r="A34" s="49"/>
      <c r="B34" s="49"/>
      <c r="C34" s="49"/>
      <c r="D34" s="551"/>
      <c r="E34" s="551"/>
      <c r="F34" s="50"/>
      <c r="G34" s="50"/>
      <c r="H34" s="50"/>
      <c r="I34" s="50"/>
      <c r="J34" s="50"/>
      <c r="K34" s="50"/>
      <c r="L34" s="50"/>
      <c r="M34" s="50"/>
      <c r="N34" s="50"/>
      <c r="O34" s="50"/>
      <c r="P34" s="551"/>
      <c r="Q34" s="551"/>
      <c r="R34" s="50"/>
      <c r="S34" s="50"/>
      <c r="T34" s="50"/>
      <c r="U34" s="50"/>
      <c r="V34" s="50"/>
      <c r="W34" s="50"/>
      <c r="X34" s="50"/>
      <c r="Y34" s="49"/>
      <c r="Z34" s="49"/>
      <c r="AA34" s="49"/>
      <c r="AB34" s="49"/>
      <c r="AC34" s="62">
        <f t="shared" si="1"/>
        <v>18</v>
      </c>
      <c r="AD34" s="62">
        <f t="shared" si="0"/>
        <v>850</v>
      </c>
      <c r="AE34" s="49"/>
      <c r="AF34" s="49"/>
      <c r="AG34" s="49"/>
      <c r="AH34" s="49"/>
      <c r="AI34" s="49"/>
      <c r="AJ34" s="49"/>
      <c r="AK34" s="49"/>
      <c r="AL34" s="49"/>
      <c r="AM34" s="49"/>
      <c r="AN34" s="49"/>
      <c r="AO34" s="49"/>
      <c r="AP34" s="49"/>
      <c r="AQ34" s="49"/>
      <c r="AR34" s="49"/>
      <c r="AS34" s="49"/>
    </row>
    <row r="35" spans="1:45">
      <c r="A35" s="49"/>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62">
        <f t="shared" si="1"/>
        <v>19</v>
      </c>
      <c r="AD35" s="62">
        <f t="shared" si="0"/>
        <v>900</v>
      </c>
      <c r="AE35" s="49"/>
      <c r="AF35" s="49"/>
      <c r="AG35" s="49"/>
      <c r="AH35" s="49"/>
      <c r="AI35" s="49"/>
      <c r="AJ35" s="49"/>
      <c r="AK35" s="49"/>
      <c r="AL35" s="49"/>
      <c r="AM35" s="49"/>
      <c r="AN35" s="49"/>
      <c r="AO35" s="49"/>
      <c r="AP35" s="49"/>
      <c r="AQ35" s="49"/>
      <c r="AR35" s="49"/>
      <c r="AS35" s="49"/>
    </row>
    <row r="36" spans="1:45">
      <c r="A36" s="49"/>
      <c r="B36" s="49"/>
      <c r="C36" s="49"/>
      <c r="D36" s="62" t="s">
        <v>2073</v>
      </c>
      <c r="E36" s="62" t="s">
        <v>2075</v>
      </c>
      <c r="F36" s="62" t="s">
        <v>2007</v>
      </c>
      <c r="G36" s="511" t="s">
        <v>2001</v>
      </c>
      <c r="H36" s="49" t="s">
        <v>2076</v>
      </c>
      <c r="I36" s="49"/>
      <c r="J36" s="49"/>
      <c r="K36" s="49"/>
      <c r="L36" s="49"/>
      <c r="M36" s="49"/>
      <c r="N36" s="49"/>
      <c r="O36" s="49"/>
      <c r="P36" s="49" t="s">
        <v>2010</v>
      </c>
      <c r="Q36" s="49">
        <v>5600</v>
      </c>
      <c r="R36" s="49"/>
      <c r="S36" s="49"/>
      <c r="T36" s="49"/>
      <c r="U36" s="49"/>
      <c r="V36" s="49"/>
      <c r="W36" s="49"/>
      <c r="X36" s="49"/>
      <c r="Y36" s="49"/>
      <c r="Z36" s="49"/>
      <c r="AA36" s="49"/>
      <c r="AB36" s="49"/>
      <c r="AC36" s="62">
        <f t="shared" si="1"/>
        <v>20</v>
      </c>
      <c r="AD36" s="62">
        <f t="shared" si="0"/>
        <v>950</v>
      </c>
      <c r="AE36" s="49"/>
      <c r="AF36" s="49"/>
      <c r="AG36" s="49"/>
      <c r="AH36" s="49"/>
      <c r="AI36" s="49"/>
      <c r="AJ36" s="49"/>
      <c r="AK36" s="49"/>
      <c r="AL36" s="49"/>
      <c r="AM36" s="49"/>
      <c r="AN36" s="49"/>
      <c r="AO36" s="49"/>
      <c r="AP36" s="49"/>
      <c r="AQ36" s="49"/>
      <c r="AR36" s="49"/>
      <c r="AS36" s="49"/>
    </row>
    <row r="37" spans="1:45">
      <c r="A37" s="49"/>
      <c r="B37" s="49"/>
      <c r="C37" s="49"/>
      <c r="D37" s="62">
        <v>15</v>
      </c>
      <c r="E37" s="62">
        <v>0</v>
      </c>
      <c r="F37" s="62">
        <v>20</v>
      </c>
      <c r="G37" s="62"/>
      <c r="H37" s="541">
        <f ca="1">SUM(OFFSET(E39,D37,0,F37-D37))-E37</f>
        <v>93300</v>
      </c>
      <c r="I37" s="541"/>
      <c r="J37" s="49"/>
      <c r="K37" s="49"/>
      <c r="L37" s="49"/>
      <c r="M37" s="49"/>
      <c r="N37" s="49"/>
      <c r="O37" s="49"/>
      <c r="P37" s="65" t="s">
        <v>2016</v>
      </c>
      <c r="Q37" s="65" t="s">
        <v>2077</v>
      </c>
      <c r="R37" s="65" t="s">
        <v>2078</v>
      </c>
      <c r="S37" s="65"/>
      <c r="T37" s="65" t="s">
        <v>2079</v>
      </c>
      <c r="U37" s="65" t="s">
        <v>2080</v>
      </c>
      <c r="V37" s="65" t="s">
        <v>2081</v>
      </c>
      <c r="W37" s="65" t="s">
        <v>2082</v>
      </c>
      <c r="X37" s="49"/>
      <c r="Y37" s="49"/>
      <c r="Z37" s="49"/>
      <c r="AA37" s="49"/>
      <c r="AB37" s="49"/>
      <c r="AC37" s="62">
        <f t="shared" si="1"/>
        <v>21</v>
      </c>
      <c r="AD37" s="62">
        <f t="shared" si="0"/>
        <v>1000</v>
      </c>
      <c r="AE37" s="49"/>
      <c r="AF37" s="49"/>
      <c r="AG37" s="49"/>
      <c r="AH37" s="49"/>
      <c r="AI37" s="49"/>
      <c r="AJ37" s="49"/>
      <c r="AK37" s="49"/>
      <c r="AL37" s="49"/>
      <c r="AM37" s="49"/>
      <c r="AN37" s="49"/>
      <c r="AO37" s="49"/>
      <c r="AP37" s="49"/>
      <c r="AQ37" s="49"/>
      <c r="AR37" s="49"/>
      <c r="AS37" s="49"/>
    </row>
    <row r="38" spans="1:45">
      <c r="A38" s="49"/>
      <c r="B38" s="49"/>
      <c r="C38" s="49"/>
      <c r="D38" s="65" t="s">
        <v>243</v>
      </c>
      <c r="E38" s="65" t="s">
        <v>2046</v>
      </c>
      <c r="F38" s="65" t="s">
        <v>2083</v>
      </c>
      <c r="G38" s="65"/>
      <c r="H38" s="65" t="s">
        <v>2084</v>
      </c>
      <c r="I38" s="65" t="s">
        <v>2085</v>
      </c>
      <c r="J38" s="65" t="s">
        <v>2086</v>
      </c>
      <c r="K38" s="65" t="s">
        <v>2087</v>
      </c>
      <c r="L38" s="65" t="s">
        <v>2088</v>
      </c>
      <c r="M38" s="65" t="s">
        <v>2089</v>
      </c>
      <c r="N38" s="65" t="s">
        <v>2090</v>
      </c>
      <c r="O38" s="49"/>
      <c r="P38" s="285" t="s">
        <v>2091</v>
      </c>
      <c r="Q38" s="62">
        <v>0</v>
      </c>
      <c r="R38" s="62">
        <v>100</v>
      </c>
      <c r="S38" s="62"/>
      <c r="T38" s="62">
        <v>5000</v>
      </c>
      <c r="U38" s="62">
        <v>15000</v>
      </c>
      <c r="V38" s="62">
        <f>T38*2+U38</f>
        <v>25000</v>
      </c>
      <c r="W38" s="76">
        <v>80</v>
      </c>
      <c r="X38" s="49"/>
      <c r="Y38" s="49"/>
      <c r="Z38" s="49"/>
      <c r="AA38" s="49"/>
      <c r="AB38" s="49"/>
      <c r="AC38" s="62">
        <f t="shared" si="1"/>
        <v>22</v>
      </c>
      <c r="AD38" s="62">
        <f t="shared" si="0"/>
        <v>1050</v>
      </c>
      <c r="AE38" s="49"/>
      <c r="AF38" s="49"/>
      <c r="AG38" s="49"/>
      <c r="AH38" s="49"/>
      <c r="AI38" s="49"/>
      <c r="AJ38" s="49"/>
      <c r="AK38" s="49"/>
      <c r="AL38" s="49"/>
      <c r="AM38" s="49"/>
      <c r="AN38" s="49"/>
      <c r="AO38" s="49"/>
      <c r="AP38" s="49"/>
      <c r="AQ38" s="49"/>
      <c r="AR38" s="49"/>
      <c r="AS38" s="49"/>
    </row>
    <row r="39" spans="1:45">
      <c r="A39" s="49"/>
      <c r="B39" s="49"/>
      <c r="C39" s="49"/>
      <c r="D39" s="285">
        <v>1</v>
      </c>
      <c r="E39" s="62"/>
      <c r="F39" s="62" t="s">
        <v>2092</v>
      </c>
      <c r="G39" s="62"/>
      <c r="H39" s="286">
        <v>20</v>
      </c>
      <c r="I39" s="62">
        <v>6</v>
      </c>
      <c r="J39" s="62">
        <v>1</v>
      </c>
      <c r="K39" s="62"/>
      <c r="L39" s="62"/>
      <c r="M39" s="288">
        <v>1</v>
      </c>
      <c r="N39" s="288">
        <v>1</v>
      </c>
      <c r="O39" s="49"/>
      <c r="P39" s="287" t="s">
        <v>2093</v>
      </c>
      <c r="Q39" s="62">
        <v>100</v>
      </c>
      <c r="R39" s="62">
        <v>200</v>
      </c>
      <c r="S39" s="62"/>
      <c r="T39" s="62">
        <v>10000</v>
      </c>
      <c r="U39" s="62">
        <v>25000</v>
      </c>
      <c r="V39" s="62">
        <f t="shared" ref="V39:V73" si="2">T39*2+U39</f>
        <v>45000</v>
      </c>
      <c r="W39" s="76">
        <v>90</v>
      </c>
      <c r="X39" s="49"/>
      <c r="Y39" s="49"/>
      <c r="Z39" s="49"/>
      <c r="AA39" s="49"/>
      <c r="AB39" s="49"/>
      <c r="AC39" s="62">
        <f t="shared" si="1"/>
        <v>23</v>
      </c>
      <c r="AD39" s="62">
        <f t="shared" si="0"/>
        <v>1100</v>
      </c>
      <c r="AE39" s="49"/>
      <c r="AF39" s="49"/>
      <c r="AG39" s="49"/>
      <c r="AH39" s="49"/>
      <c r="AI39" s="49"/>
      <c r="AJ39" s="49"/>
      <c r="AK39" s="49"/>
      <c r="AL39" s="49"/>
      <c r="AM39" s="49"/>
      <c r="AN39" s="49"/>
      <c r="AO39" s="49"/>
      <c r="AP39" s="49"/>
      <c r="AQ39" s="49"/>
      <c r="AR39" s="49"/>
      <c r="AS39" s="49"/>
    </row>
    <row r="40" spans="1:45">
      <c r="A40" s="49"/>
      <c r="B40" s="49"/>
      <c r="C40" s="49"/>
      <c r="D40" s="287">
        <v>2</v>
      </c>
      <c r="E40" s="62">
        <v>500</v>
      </c>
      <c r="F40" s="62" t="s">
        <v>2092</v>
      </c>
      <c r="G40" s="62"/>
      <c r="H40" s="286">
        <v>15</v>
      </c>
      <c r="I40" s="62">
        <v>6</v>
      </c>
      <c r="J40" s="62">
        <v>1</v>
      </c>
      <c r="K40" s="62"/>
      <c r="L40" s="62"/>
      <c r="M40" s="288">
        <v>1.1000000000000001</v>
      </c>
      <c r="N40" s="288">
        <v>1</v>
      </c>
      <c r="O40" s="49"/>
      <c r="P40" s="287" t="s">
        <v>2094</v>
      </c>
      <c r="Q40" s="62">
        <v>200</v>
      </c>
      <c r="R40" s="62">
        <v>300</v>
      </c>
      <c r="S40" s="62"/>
      <c r="T40" s="62">
        <v>15000</v>
      </c>
      <c r="U40" s="62">
        <v>30000</v>
      </c>
      <c r="V40" s="62">
        <f t="shared" si="2"/>
        <v>60000</v>
      </c>
      <c r="W40" s="76">
        <v>100</v>
      </c>
      <c r="X40" s="49"/>
      <c r="Y40" s="49"/>
      <c r="Z40" s="49"/>
      <c r="AA40" s="49"/>
      <c r="AB40" s="49"/>
      <c r="AC40" s="62">
        <f t="shared" si="1"/>
        <v>24</v>
      </c>
      <c r="AD40" s="62">
        <f t="shared" si="0"/>
        <v>1150</v>
      </c>
      <c r="AE40" s="49"/>
      <c r="AF40" s="49"/>
      <c r="AG40" s="49"/>
      <c r="AH40" s="49"/>
      <c r="AI40" s="49"/>
      <c r="AJ40" s="49"/>
      <c r="AK40" s="49"/>
      <c r="AL40" s="49"/>
      <c r="AM40" s="49"/>
      <c r="AN40" s="49"/>
      <c r="AO40" s="49"/>
      <c r="AP40" s="49"/>
      <c r="AQ40" s="49"/>
      <c r="AR40" s="49"/>
      <c r="AS40" s="49"/>
    </row>
    <row r="41" spans="1:45">
      <c r="A41" s="49"/>
      <c r="B41" s="49"/>
      <c r="C41" s="49"/>
      <c r="D41" s="287">
        <v>3</v>
      </c>
      <c r="E41" s="62">
        <v>1200</v>
      </c>
      <c r="F41" s="62" t="s">
        <v>2092</v>
      </c>
      <c r="G41" s="62"/>
      <c r="H41" s="286">
        <v>15</v>
      </c>
      <c r="I41" s="62">
        <v>6</v>
      </c>
      <c r="J41" s="62">
        <v>1</v>
      </c>
      <c r="K41" s="288">
        <v>0.2</v>
      </c>
      <c r="L41" s="62"/>
      <c r="M41" s="288">
        <v>1.1000000000000001</v>
      </c>
      <c r="N41" s="288">
        <v>1.1000000000000001</v>
      </c>
      <c r="O41" s="49"/>
      <c r="P41" s="287" t="s">
        <v>2095</v>
      </c>
      <c r="Q41" s="62">
        <v>300</v>
      </c>
      <c r="R41" s="62">
        <v>400</v>
      </c>
      <c r="S41" s="62"/>
      <c r="T41" s="62">
        <v>20000</v>
      </c>
      <c r="U41" s="62">
        <v>35000</v>
      </c>
      <c r="V41" s="62">
        <f t="shared" si="2"/>
        <v>75000</v>
      </c>
      <c r="W41" s="76">
        <v>110</v>
      </c>
      <c r="X41" s="49"/>
      <c r="Y41" s="49"/>
      <c r="Z41" s="49"/>
      <c r="AA41" s="49"/>
      <c r="AB41" s="49"/>
      <c r="AC41" s="62">
        <f t="shared" si="1"/>
        <v>25</v>
      </c>
      <c r="AD41" s="62">
        <f t="shared" si="0"/>
        <v>1200</v>
      </c>
      <c r="AE41" s="49"/>
      <c r="AF41" s="49"/>
      <c r="AG41" s="49"/>
      <c r="AH41" s="49"/>
      <c r="AI41" s="49"/>
      <c r="AJ41" s="49"/>
      <c r="AK41" s="49"/>
      <c r="AL41" s="49"/>
      <c r="AM41" s="49"/>
      <c r="AN41" s="49"/>
      <c r="AO41" s="49"/>
      <c r="AP41" s="49"/>
      <c r="AQ41" s="49"/>
      <c r="AR41" s="49"/>
      <c r="AS41" s="49"/>
    </row>
    <row r="42" spans="1:45">
      <c r="A42" s="49"/>
      <c r="B42" s="49"/>
      <c r="C42" s="49"/>
      <c r="D42" s="287">
        <v>4</v>
      </c>
      <c r="E42" s="62">
        <v>1900</v>
      </c>
      <c r="F42" s="62" t="s">
        <v>2092</v>
      </c>
      <c r="G42" s="62"/>
      <c r="H42" s="286">
        <v>15</v>
      </c>
      <c r="I42" s="62">
        <v>7</v>
      </c>
      <c r="J42" s="62">
        <v>2</v>
      </c>
      <c r="K42" s="288">
        <v>0.2</v>
      </c>
      <c r="L42" s="62"/>
      <c r="M42" s="288">
        <v>1.2</v>
      </c>
      <c r="N42" s="288">
        <v>1.1000000000000001</v>
      </c>
      <c r="O42" s="49"/>
      <c r="P42" s="287" t="s">
        <v>2096</v>
      </c>
      <c r="Q42" s="62">
        <v>400</v>
      </c>
      <c r="R42" s="62">
        <v>500</v>
      </c>
      <c r="S42" s="62"/>
      <c r="T42" s="62">
        <v>25000</v>
      </c>
      <c r="U42" s="62">
        <v>40000</v>
      </c>
      <c r="V42" s="62">
        <f t="shared" si="2"/>
        <v>90000</v>
      </c>
      <c r="W42" s="76">
        <v>120</v>
      </c>
      <c r="X42" s="49"/>
      <c r="Y42" s="49"/>
      <c r="Z42" s="49"/>
      <c r="AA42" s="49"/>
      <c r="AB42" s="49"/>
      <c r="AC42" s="62">
        <f t="shared" si="1"/>
        <v>26</v>
      </c>
      <c r="AD42" s="62">
        <f t="shared" si="0"/>
        <v>1250</v>
      </c>
      <c r="AE42" s="49"/>
      <c r="AF42" s="49"/>
      <c r="AG42" s="49"/>
      <c r="AH42" s="49"/>
      <c r="AI42" s="49"/>
      <c r="AJ42" s="49"/>
      <c r="AK42" s="49"/>
      <c r="AL42" s="49"/>
      <c r="AM42" s="49"/>
      <c r="AN42" s="49"/>
      <c r="AO42" s="49"/>
      <c r="AP42" s="49"/>
      <c r="AQ42" s="49"/>
      <c r="AR42" s="49"/>
      <c r="AS42" s="49"/>
    </row>
    <row r="43" spans="1:45">
      <c r="A43" s="49"/>
      <c r="B43" s="49"/>
      <c r="C43" s="49"/>
      <c r="D43" s="287">
        <v>5</v>
      </c>
      <c r="E43" s="62">
        <v>3100</v>
      </c>
      <c r="F43" s="62" t="s">
        <v>2097</v>
      </c>
      <c r="G43" s="62"/>
      <c r="H43" s="286">
        <v>15</v>
      </c>
      <c r="I43" s="62">
        <v>7</v>
      </c>
      <c r="J43" s="62">
        <v>2</v>
      </c>
      <c r="K43" s="288">
        <v>0.2</v>
      </c>
      <c r="L43" s="289">
        <v>1</v>
      </c>
      <c r="M43" s="288">
        <v>1.2</v>
      </c>
      <c r="N43" s="288">
        <v>1.1499999999999999</v>
      </c>
      <c r="O43" s="49"/>
      <c r="P43" s="287" t="s">
        <v>2098</v>
      </c>
      <c r="Q43" s="62">
        <v>500</v>
      </c>
      <c r="R43" s="62">
        <v>600</v>
      </c>
      <c r="S43" s="62"/>
      <c r="T43" s="62">
        <v>30000</v>
      </c>
      <c r="U43" s="62">
        <v>45000</v>
      </c>
      <c r="V43" s="62">
        <f t="shared" si="2"/>
        <v>105000</v>
      </c>
      <c r="W43" s="76">
        <v>130</v>
      </c>
      <c r="X43" s="49"/>
      <c r="Y43" s="49"/>
      <c r="Z43" s="49"/>
      <c r="AA43" s="49"/>
      <c r="AB43" s="49"/>
      <c r="AC43" s="62">
        <f t="shared" si="1"/>
        <v>27</v>
      </c>
      <c r="AD43" s="62">
        <f t="shared" si="0"/>
        <v>1300</v>
      </c>
      <c r="AE43" s="49"/>
      <c r="AF43" s="49"/>
      <c r="AG43" s="49"/>
      <c r="AH43" s="49"/>
      <c r="AI43" s="49"/>
      <c r="AJ43" s="49"/>
      <c r="AK43" s="49"/>
      <c r="AL43" s="49"/>
      <c r="AM43" s="49"/>
      <c r="AN43" s="49"/>
      <c r="AO43" s="49"/>
      <c r="AP43" s="49"/>
      <c r="AQ43" s="49"/>
      <c r="AR43" s="49"/>
      <c r="AS43" s="49"/>
    </row>
    <row r="44" spans="1:45">
      <c r="A44" s="49"/>
      <c r="B44" s="49"/>
      <c r="C44" s="49"/>
      <c r="D44" s="287">
        <v>6</v>
      </c>
      <c r="E44" s="62">
        <v>3800</v>
      </c>
      <c r="F44" s="62" t="s">
        <v>2097</v>
      </c>
      <c r="G44" s="62"/>
      <c r="H44" s="286">
        <v>15</v>
      </c>
      <c r="I44" s="62">
        <v>7</v>
      </c>
      <c r="J44" s="62">
        <v>2</v>
      </c>
      <c r="K44" s="288">
        <v>0.35</v>
      </c>
      <c r="L44" s="289">
        <v>1</v>
      </c>
      <c r="M44" s="288">
        <v>1.3</v>
      </c>
      <c r="N44" s="288">
        <v>1.1499999999999999</v>
      </c>
      <c r="O44" s="49"/>
      <c r="P44" s="287" t="s">
        <v>2099</v>
      </c>
      <c r="Q44" s="62">
        <v>600</v>
      </c>
      <c r="R44" s="62">
        <v>700</v>
      </c>
      <c r="S44" s="62"/>
      <c r="T44" s="62">
        <v>35000</v>
      </c>
      <c r="U44" s="62">
        <v>50000</v>
      </c>
      <c r="V44" s="62">
        <f t="shared" si="2"/>
        <v>120000</v>
      </c>
      <c r="W44" s="76">
        <v>140</v>
      </c>
      <c r="X44" s="49"/>
      <c r="Y44" s="49"/>
      <c r="Z44" s="49"/>
      <c r="AA44" s="49"/>
      <c r="AB44" s="49"/>
      <c r="AC44" s="62">
        <f t="shared" si="1"/>
        <v>28</v>
      </c>
      <c r="AD44" s="62">
        <f t="shared" si="0"/>
        <v>1350</v>
      </c>
      <c r="AE44" s="49"/>
      <c r="AF44" s="49"/>
      <c r="AG44" s="49"/>
      <c r="AH44" s="49"/>
      <c r="AI44" s="49"/>
      <c r="AJ44" s="49"/>
      <c r="AK44" s="49"/>
      <c r="AL44" s="49"/>
      <c r="AM44" s="49"/>
      <c r="AN44" s="49"/>
      <c r="AO44" s="49"/>
      <c r="AP44" s="49"/>
      <c r="AQ44" s="49"/>
      <c r="AR44" s="49"/>
      <c r="AS44" s="49"/>
    </row>
    <row r="45" spans="1:45">
      <c r="A45" s="49"/>
      <c r="B45" s="49"/>
      <c r="C45" s="49"/>
      <c r="D45" s="287">
        <v>7</v>
      </c>
      <c r="E45" s="62">
        <v>4500</v>
      </c>
      <c r="F45" s="62" t="s">
        <v>2097</v>
      </c>
      <c r="G45" s="62"/>
      <c r="H45" s="286">
        <v>10</v>
      </c>
      <c r="I45" s="62">
        <v>7</v>
      </c>
      <c r="J45" s="62">
        <v>2</v>
      </c>
      <c r="K45" s="288">
        <v>0.35</v>
      </c>
      <c r="L45" s="289">
        <v>1</v>
      </c>
      <c r="M45" s="288">
        <v>1.3</v>
      </c>
      <c r="N45" s="288">
        <v>1.2</v>
      </c>
      <c r="O45" s="49"/>
      <c r="P45" s="287" t="s">
        <v>2100</v>
      </c>
      <c r="Q45" s="62">
        <v>700</v>
      </c>
      <c r="R45" s="62">
        <v>800</v>
      </c>
      <c r="S45" s="62"/>
      <c r="T45" s="62">
        <v>40000</v>
      </c>
      <c r="U45" s="62">
        <v>55000</v>
      </c>
      <c r="V45" s="62">
        <f t="shared" si="2"/>
        <v>135000</v>
      </c>
      <c r="W45" s="76">
        <v>150</v>
      </c>
      <c r="X45" s="49"/>
      <c r="Y45" s="49"/>
      <c r="Z45" s="49"/>
      <c r="AA45" s="49"/>
      <c r="AB45" s="49"/>
      <c r="AC45" s="62">
        <f t="shared" si="1"/>
        <v>29</v>
      </c>
      <c r="AD45" s="62">
        <f t="shared" si="0"/>
        <v>1400</v>
      </c>
      <c r="AE45" s="49"/>
      <c r="AF45" s="49"/>
      <c r="AG45" s="49"/>
      <c r="AH45" s="49"/>
      <c r="AI45" s="49"/>
      <c r="AJ45" s="49"/>
      <c r="AK45" s="49"/>
      <c r="AL45" s="49"/>
      <c r="AM45" s="49"/>
      <c r="AN45" s="49"/>
      <c r="AO45" s="49"/>
      <c r="AP45" s="49"/>
      <c r="AQ45" s="49"/>
      <c r="AR45" s="49"/>
      <c r="AS45" s="49"/>
    </row>
    <row r="46" spans="1:45">
      <c r="A46" s="49"/>
      <c r="B46" s="49"/>
      <c r="C46" s="49"/>
      <c r="D46" s="287">
        <v>8</v>
      </c>
      <c r="E46" s="62">
        <v>5200</v>
      </c>
      <c r="F46" s="62" t="s">
        <v>2097</v>
      </c>
      <c r="G46" s="62"/>
      <c r="H46" s="286">
        <v>10</v>
      </c>
      <c r="I46" s="62">
        <v>9</v>
      </c>
      <c r="J46" s="62">
        <v>3</v>
      </c>
      <c r="K46" s="288">
        <v>0.35</v>
      </c>
      <c r="L46" s="289">
        <v>1</v>
      </c>
      <c r="M46" s="288">
        <v>1.4</v>
      </c>
      <c r="N46" s="288">
        <v>1.2</v>
      </c>
      <c r="O46" s="49"/>
      <c r="P46" s="287" t="s">
        <v>2101</v>
      </c>
      <c r="Q46" s="62">
        <v>800</v>
      </c>
      <c r="R46" s="62">
        <v>900</v>
      </c>
      <c r="S46" s="62"/>
      <c r="T46" s="62">
        <v>45000</v>
      </c>
      <c r="U46" s="62">
        <v>60000</v>
      </c>
      <c r="V46" s="62">
        <f t="shared" si="2"/>
        <v>150000</v>
      </c>
      <c r="W46" s="76">
        <v>160</v>
      </c>
      <c r="X46" s="49"/>
      <c r="Y46" s="49"/>
      <c r="Z46" s="49"/>
      <c r="AA46" s="49"/>
      <c r="AB46" s="49"/>
      <c r="AC46" s="62">
        <f t="shared" si="1"/>
        <v>30</v>
      </c>
      <c r="AD46" s="62">
        <f t="shared" si="0"/>
        <v>1450</v>
      </c>
      <c r="AE46" s="49"/>
      <c r="AF46" s="49"/>
      <c r="AG46" s="49"/>
      <c r="AH46" s="49"/>
      <c r="AI46" s="49"/>
      <c r="AJ46" s="49"/>
      <c r="AK46" s="49"/>
      <c r="AL46" s="49"/>
      <c r="AM46" s="49"/>
      <c r="AN46" s="49"/>
      <c r="AO46" s="49"/>
      <c r="AP46" s="49"/>
      <c r="AQ46" s="49"/>
      <c r="AR46" s="49"/>
      <c r="AS46" s="49"/>
    </row>
    <row r="47" spans="1:45">
      <c r="A47" s="49"/>
      <c r="B47" s="49"/>
      <c r="C47" s="49"/>
      <c r="D47" s="287">
        <v>9</v>
      </c>
      <c r="E47" s="62">
        <v>5900</v>
      </c>
      <c r="F47" s="62" t="s">
        <v>2097</v>
      </c>
      <c r="G47" s="62"/>
      <c r="H47" s="286">
        <v>10</v>
      </c>
      <c r="I47" s="62">
        <v>9</v>
      </c>
      <c r="J47" s="62">
        <v>3</v>
      </c>
      <c r="K47" s="288">
        <v>0.5</v>
      </c>
      <c r="L47" s="289">
        <v>1</v>
      </c>
      <c r="M47" s="288">
        <v>1.4</v>
      </c>
      <c r="N47" s="288">
        <v>1.25</v>
      </c>
      <c r="O47" s="49"/>
      <c r="P47" s="287" t="s">
        <v>2102</v>
      </c>
      <c r="Q47" s="62">
        <v>900</v>
      </c>
      <c r="R47" s="62">
        <v>1000</v>
      </c>
      <c r="S47" s="62"/>
      <c r="T47" s="62">
        <v>50000</v>
      </c>
      <c r="U47" s="62">
        <v>70000</v>
      </c>
      <c r="V47" s="62">
        <f t="shared" si="2"/>
        <v>170000</v>
      </c>
      <c r="W47" s="76">
        <v>170</v>
      </c>
      <c r="X47" s="49"/>
      <c r="Y47" s="49"/>
      <c r="Z47" s="49"/>
      <c r="AA47" s="49"/>
      <c r="AB47" s="49"/>
      <c r="AC47" s="62">
        <f t="shared" si="1"/>
        <v>31</v>
      </c>
      <c r="AD47" s="62">
        <f t="shared" si="0"/>
        <v>1500</v>
      </c>
      <c r="AE47" s="49"/>
      <c r="AF47" s="49"/>
      <c r="AG47" s="49"/>
      <c r="AH47" s="49"/>
      <c r="AI47" s="49"/>
      <c r="AJ47" s="49"/>
      <c r="AK47" s="49"/>
      <c r="AL47" s="49"/>
      <c r="AM47" s="49"/>
      <c r="AN47" s="49"/>
      <c r="AO47" s="49"/>
      <c r="AP47" s="49"/>
      <c r="AQ47" s="49"/>
      <c r="AR47" s="49"/>
      <c r="AS47" s="49"/>
    </row>
    <row r="48" spans="1:45">
      <c r="A48" s="49"/>
      <c r="B48" s="49"/>
      <c r="C48" s="49"/>
      <c r="D48" s="287">
        <v>10</v>
      </c>
      <c r="E48" s="62">
        <v>7900</v>
      </c>
      <c r="F48" s="62" t="s">
        <v>2103</v>
      </c>
      <c r="G48" s="62"/>
      <c r="H48" s="286">
        <v>10</v>
      </c>
      <c r="I48" s="62">
        <v>9</v>
      </c>
      <c r="J48" s="62">
        <v>3</v>
      </c>
      <c r="K48" s="288">
        <v>0.5</v>
      </c>
      <c r="L48" s="289">
        <v>2</v>
      </c>
      <c r="M48" s="288">
        <v>1.5</v>
      </c>
      <c r="N48" s="288">
        <v>1.25</v>
      </c>
      <c r="O48" s="49"/>
      <c r="P48" s="287" t="s">
        <v>2104</v>
      </c>
      <c r="Q48" s="62">
        <v>1000</v>
      </c>
      <c r="R48" s="62">
        <v>1200</v>
      </c>
      <c r="S48" s="62"/>
      <c r="T48" s="62">
        <v>60000</v>
      </c>
      <c r="U48" s="62">
        <v>80000</v>
      </c>
      <c r="V48" s="62">
        <f t="shared" si="2"/>
        <v>200000</v>
      </c>
      <c r="W48" s="76">
        <v>180</v>
      </c>
      <c r="X48" s="49"/>
      <c r="Y48" s="49"/>
      <c r="Z48" s="49"/>
      <c r="AA48" s="49"/>
      <c r="AB48" s="49"/>
      <c r="AC48" s="62">
        <f t="shared" si="1"/>
        <v>32</v>
      </c>
      <c r="AD48" s="62">
        <f t="shared" si="0"/>
        <v>1550</v>
      </c>
      <c r="AE48" s="49"/>
      <c r="AF48" s="49"/>
      <c r="AG48" s="49"/>
      <c r="AH48" s="49"/>
      <c r="AI48" s="49"/>
      <c r="AJ48" s="49"/>
      <c r="AK48" s="49"/>
      <c r="AL48" s="49"/>
      <c r="AM48" s="49"/>
      <c r="AN48" s="49"/>
      <c r="AO48" s="49"/>
      <c r="AP48" s="49"/>
      <c r="AQ48" s="49"/>
      <c r="AR48" s="49"/>
      <c r="AS48" s="49"/>
    </row>
    <row r="49" spans="1:45">
      <c r="A49" s="49"/>
      <c r="B49" s="49"/>
      <c r="C49" s="49"/>
      <c r="D49" s="287">
        <v>11</v>
      </c>
      <c r="E49" s="62">
        <v>8600</v>
      </c>
      <c r="F49" s="62" t="s">
        <v>2103</v>
      </c>
      <c r="G49" s="62"/>
      <c r="H49" s="286">
        <v>10</v>
      </c>
      <c r="I49" s="62">
        <v>9</v>
      </c>
      <c r="J49" s="62">
        <v>3</v>
      </c>
      <c r="K49" s="288">
        <v>0.5</v>
      </c>
      <c r="L49" s="289">
        <v>2</v>
      </c>
      <c r="M49" s="288">
        <v>1.5</v>
      </c>
      <c r="N49" s="288">
        <v>1.25</v>
      </c>
      <c r="O49" s="49"/>
      <c r="P49" s="287" t="s">
        <v>2105</v>
      </c>
      <c r="Q49" s="62">
        <v>1200</v>
      </c>
      <c r="R49" s="62">
        <v>1400</v>
      </c>
      <c r="S49" s="62"/>
      <c r="T49" s="62">
        <v>65000</v>
      </c>
      <c r="U49" s="62">
        <v>85000</v>
      </c>
      <c r="V49" s="62">
        <f t="shared" si="2"/>
        <v>215000</v>
      </c>
      <c r="W49" s="76">
        <v>190</v>
      </c>
      <c r="X49" s="49"/>
      <c r="Y49" s="49"/>
      <c r="Z49" s="49"/>
      <c r="AA49" s="49"/>
      <c r="AB49" s="49"/>
      <c r="AC49" s="62">
        <f t="shared" si="1"/>
        <v>33</v>
      </c>
      <c r="AD49" s="62">
        <f t="shared" si="0"/>
        <v>1600</v>
      </c>
      <c r="AE49" s="49"/>
      <c r="AF49" s="49"/>
      <c r="AG49" s="49"/>
      <c r="AH49" s="49"/>
      <c r="AI49" s="49"/>
      <c r="AJ49" s="49"/>
      <c r="AK49" s="49"/>
      <c r="AL49" s="49"/>
      <c r="AM49" s="49"/>
      <c r="AN49" s="49"/>
      <c r="AO49" s="49"/>
      <c r="AP49" s="49"/>
      <c r="AQ49" s="49"/>
      <c r="AR49" s="49"/>
      <c r="AS49" s="49"/>
    </row>
    <row r="50" spans="1:45">
      <c r="A50" s="49"/>
      <c r="B50" s="49"/>
      <c r="C50" s="49"/>
      <c r="D50" s="287">
        <v>12</v>
      </c>
      <c r="E50" s="62">
        <v>9300</v>
      </c>
      <c r="F50" s="62" t="s">
        <v>2106</v>
      </c>
      <c r="G50" s="62"/>
      <c r="H50" s="286">
        <v>10</v>
      </c>
      <c r="I50" s="62">
        <v>9</v>
      </c>
      <c r="J50" s="62">
        <v>3</v>
      </c>
      <c r="K50" s="288">
        <v>0.5</v>
      </c>
      <c r="L50" s="289">
        <v>2</v>
      </c>
      <c r="M50" s="288">
        <v>1.5</v>
      </c>
      <c r="N50" s="288">
        <v>1.25</v>
      </c>
      <c r="O50" s="49"/>
      <c r="P50" s="287" t="s">
        <v>2107</v>
      </c>
      <c r="Q50" s="62">
        <v>1400</v>
      </c>
      <c r="R50" s="62">
        <v>1600</v>
      </c>
      <c r="S50" s="62"/>
      <c r="T50" s="62">
        <v>70000</v>
      </c>
      <c r="U50" s="62">
        <v>90000</v>
      </c>
      <c r="V50" s="62">
        <f t="shared" si="2"/>
        <v>230000</v>
      </c>
      <c r="W50" s="76">
        <v>195</v>
      </c>
      <c r="X50" s="49"/>
      <c r="Y50" s="49"/>
      <c r="Z50" s="49"/>
      <c r="AA50" s="49"/>
      <c r="AB50" s="49"/>
      <c r="AC50" s="62">
        <f t="shared" si="1"/>
        <v>34</v>
      </c>
      <c r="AD50" s="62">
        <f t="shared" ref="AD50:AD81" si="3">IFERROR(IF(AC50&lt;=200,IF(AC50=1,30,50*AC50-50),IF(AC50&lt;300,500*AC50-90500,1000*AC50-240000)),"")</f>
        <v>1650</v>
      </c>
      <c r="AE50" s="49"/>
      <c r="AF50" s="49"/>
      <c r="AG50" s="49"/>
      <c r="AH50" s="49"/>
      <c r="AI50" s="49"/>
      <c r="AJ50" s="49"/>
      <c r="AK50" s="49"/>
      <c r="AL50" s="49"/>
      <c r="AM50" s="49"/>
      <c r="AN50" s="49"/>
      <c r="AO50" s="49"/>
      <c r="AP50" s="49"/>
      <c r="AQ50" s="49"/>
      <c r="AR50" s="49"/>
      <c r="AS50" s="49"/>
    </row>
    <row r="51" spans="1:45">
      <c r="A51" s="49"/>
      <c r="B51" s="49"/>
      <c r="C51" s="49"/>
      <c r="D51" s="287">
        <v>13</v>
      </c>
      <c r="E51" s="62">
        <v>10000</v>
      </c>
      <c r="F51" s="62" t="s">
        <v>2106</v>
      </c>
      <c r="G51" s="62"/>
      <c r="H51" s="286">
        <v>10</v>
      </c>
      <c r="I51" s="62">
        <v>9</v>
      </c>
      <c r="J51" s="62">
        <v>3</v>
      </c>
      <c r="K51" s="288">
        <v>0.5</v>
      </c>
      <c r="L51" s="289">
        <v>2</v>
      </c>
      <c r="M51" s="288">
        <v>1.5</v>
      </c>
      <c r="N51" s="288">
        <v>1.25</v>
      </c>
      <c r="O51" s="49"/>
      <c r="P51" s="287" t="s">
        <v>2108</v>
      </c>
      <c r="Q51" s="62">
        <v>1600</v>
      </c>
      <c r="R51" s="62">
        <v>1800</v>
      </c>
      <c r="S51" s="62"/>
      <c r="T51" s="62">
        <v>75000</v>
      </c>
      <c r="U51" s="62">
        <v>100000</v>
      </c>
      <c r="V51" s="62">
        <f t="shared" si="2"/>
        <v>250000</v>
      </c>
      <c r="W51" s="76">
        <v>200</v>
      </c>
      <c r="X51" s="49"/>
      <c r="Y51" s="49"/>
      <c r="Z51" s="49"/>
      <c r="AA51" s="49"/>
      <c r="AB51" s="49"/>
      <c r="AC51" s="62">
        <f t="shared" ref="AC51:AC82" si="4">IFERROR(IF(AC50+1&gt;500,#N/A,AC50+1),"")</f>
        <v>35</v>
      </c>
      <c r="AD51" s="62">
        <f t="shared" si="3"/>
        <v>1700</v>
      </c>
      <c r="AE51" s="49"/>
      <c r="AF51" s="49"/>
      <c r="AG51" s="49"/>
      <c r="AH51" s="49"/>
      <c r="AI51" s="49"/>
      <c r="AJ51" s="49"/>
      <c r="AK51" s="49"/>
      <c r="AL51" s="49"/>
      <c r="AM51" s="49"/>
      <c r="AN51" s="49"/>
      <c r="AO51" s="49"/>
      <c r="AP51" s="49"/>
      <c r="AQ51" s="49"/>
      <c r="AR51" s="49"/>
      <c r="AS51" s="49"/>
    </row>
    <row r="52" spans="1:45">
      <c r="A52" s="49"/>
      <c r="B52" s="49"/>
      <c r="C52" s="49"/>
      <c r="D52" s="287">
        <v>14</v>
      </c>
      <c r="E52" s="62">
        <v>10700</v>
      </c>
      <c r="F52" s="62" t="s">
        <v>2109</v>
      </c>
      <c r="G52" s="62"/>
      <c r="H52" s="286">
        <v>10</v>
      </c>
      <c r="I52" s="62">
        <v>9</v>
      </c>
      <c r="J52" s="62">
        <v>3</v>
      </c>
      <c r="K52" s="288">
        <v>0.5</v>
      </c>
      <c r="L52" s="289">
        <v>2</v>
      </c>
      <c r="M52" s="288">
        <v>1.5</v>
      </c>
      <c r="N52" s="288">
        <v>1.25</v>
      </c>
      <c r="O52" s="49"/>
      <c r="P52" s="287" t="s">
        <v>2110</v>
      </c>
      <c r="Q52" s="62">
        <v>1800</v>
      </c>
      <c r="R52" s="62">
        <v>2000</v>
      </c>
      <c r="S52" s="62"/>
      <c r="T52" s="62">
        <v>80000</v>
      </c>
      <c r="U52" s="62">
        <v>110000</v>
      </c>
      <c r="V52" s="62">
        <f t="shared" si="2"/>
        <v>270000</v>
      </c>
      <c r="W52" s="76">
        <v>205</v>
      </c>
      <c r="X52" s="49"/>
      <c r="Y52" s="49"/>
      <c r="Z52" s="49"/>
      <c r="AA52" s="49"/>
      <c r="AB52" s="49"/>
      <c r="AC52" s="62">
        <f t="shared" si="4"/>
        <v>36</v>
      </c>
      <c r="AD52" s="62">
        <f t="shared" si="3"/>
        <v>1750</v>
      </c>
      <c r="AE52" s="49"/>
      <c r="AF52" s="49"/>
      <c r="AG52" s="49"/>
      <c r="AH52" s="49"/>
      <c r="AI52" s="49"/>
      <c r="AJ52" s="49"/>
      <c r="AK52" s="49"/>
      <c r="AL52" s="49"/>
      <c r="AM52" s="49"/>
      <c r="AN52" s="49"/>
      <c r="AO52" s="49"/>
      <c r="AP52" s="49"/>
      <c r="AQ52" s="49"/>
      <c r="AR52" s="49"/>
      <c r="AS52" s="49"/>
    </row>
    <row r="53" spans="1:45">
      <c r="A53" s="49"/>
      <c r="B53" s="49"/>
      <c r="C53" s="49"/>
      <c r="D53" s="287">
        <v>15</v>
      </c>
      <c r="E53" s="62">
        <v>15700</v>
      </c>
      <c r="F53" s="62" t="s">
        <v>2109</v>
      </c>
      <c r="G53" s="62"/>
      <c r="H53" s="286">
        <v>10</v>
      </c>
      <c r="I53" s="62">
        <v>9</v>
      </c>
      <c r="J53" s="62">
        <v>3</v>
      </c>
      <c r="K53" s="288">
        <v>0.5</v>
      </c>
      <c r="L53" s="289">
        <v>2</v>
      </c>
      <c r="M53" s="288">
        <v>1.5</v>
      </c>
      <c r="N53" s="288">
        <v>1.25</v>
      </c>
      <c r="O53" s="49"/>
      <c r="P53" s="287" t="s">
        <v>2111</v>
      </c>
      <c r="Q53" s="62">
        <v>2000</v>
      </c>
      <c r="R53" s="62">
        <v>2200</v>
      </c>
      <c r="S53" s="62"/>
      <c r="T53" s="62">
        <v>90000</v>
      </c>
      <c r="U53" s="62">
        <v>120000</v>
      </c>
      <c r="V53" s="62">
        <f t="shared" si="2"/>
        <v>300000</v>
      </c>
      <c r="W53" s="76">
        <v>210</v>
      </c>
      <c r="X53" s="49"/>
      <c r="Y53" s="49"/>
      <c r="Z53" s="49"/>
      <c r="AA53" s="49"/>
      <c r="AB53" s="49"/>
      <c r="AC53" s="62">
        <f t="shared" si="4"/>
        <v>37</v>
      </c>
      <c r="AD53" s="62">
        <f t="shared" si="3"/>
        <v>1800</v>
      </c>
      <c r="AE53" s="49"/>
      <c r="AF53" s="49"/>
      <c r="AG53" s="49"/>
      <c r="AH53" s="49"/>
      <c r="AI53" s="49"/>
      <c r="AJ53" s="49"/>
      <c r="AK53" s="49"/>
      <c r="AL53" s="49"/>
      <c r="AM53" s="49"/>
      <c r="AN53" s="49"/>
      <c r="AO53" s="49"/>
      <c r="AP53" s="49"/>
      <c r="AQ53" s="49"/>
      <c r="AR53" s="49"/>
      <c r="AS53" s="49"/>
    </row>
    <row r="54" spans="1:45">
      <c r="A54" s="49"/>
      <c r="B54" s="49"/>
      <c r="C54" s="49"/>
      <c r="D54" s="287">
        <v>16</v>
      </c>
      <c r="E54" s="62">
        <v>16400</v>
      </c>
      <c r="F54" s="62" t="s">
        <v>2112</v>
      </c>
      <c r="G54" s="62"/>
      <c r="H54" s="286">
        <v>10</v>
      </c>
      <c r="I54" s="62">
        <v>9</v>
      </c>
      <c r="J54" s="62">
        <v>3</v>
      </c>
      <c r="K54" s="288">
        <v>0.5</v>
      </c>
      <c r="L54" s="289">
        <v>2</v>
      </c>
      <c r="M54" s="288">
        <v>1.5</v>
      </c>
      <c r="N54" s="288">
        <v>1.25</v>
      </c>
      <c r="O54" s="49"/>
      <c r="P54" s="287" t="s">
        <v>2113</v>
      </c>
      <c r="Q54" s="62">
        <v>2200</v>
      </c>
      <c r="R54" s="62">
        <v>2400</v>
      </c>
      <c r="S54" s="62"/>
      <c r="T54" s="62">
        <v>95000</v>
      </c>
      <c r="U54" s="62">
        <v>125000</v>
      </c>
      <c r="V54" s="62">
        <f t="shared" si="2"/>
        <v>315000</v>
      </c>
      <c r="W54" s="76">
        <v>215</v>
      </c>
      <c r="X54" s="49"/>
      <c r="Y54" s="49"/>
      <c r="Z54" s="49"/>
      <c r="AA54" s="49"/>
      <c r="AB54" s="49"/>
      <c r="AC54" s="62">
        <f t="shared" si="4"/>
        <v>38</v>
      </c>
      <c r="AD54" s="62">
        <f t="shared" si="3"/>
        <v>1850</v>
      </c>
      <c r="AE54" s="49"/>
      <c r="AF54" s="49"/>
      <c r="AG54" s="49"/>
      <c r="AH54" s="49"/>
      <c r="AI54" s="49"/>
      <c r="AJ54" s="49"/>
      <c r="AK54" s="49"/>
      <c r="AL54" s="49"/>
      <c r="AM54" s="49"/>
      <c r="AN54" s="49"/>
      <c r="AO54" s="49"/>
      <c r="AP54" s="49"/>
      <c r="AQ54" s="49"/>
      <c r="AR54" s="49"/>
      <c r="AS54" s="49"/>
    </row>
    <row r="55" spans="1:45">
      <c r="A55" s="49"/>
      <c r="B55" s="49"/>
      <c r="C55" s="49"/>
      <c r="D55" s="287">
        <v>17</v>
      </c>
      <c r="E55" s="62">
        <v>17100</v>
      </c>
      <c r="F55" s="62" t="s">
        <v>2112</v>
      </c>
      <c r="G55" s="62"/>
      <c r="H55" s="286">
        <v>10</v>
      </c>
      <c r="I55" s="62">
        <v>9</v>
      </c>
      <c r="J55" s="62">
        <v>3</v>
      </c>
      <c r="K55" s="288">
        <v>0.5</v>
      </c>
      <c r="L55" s="289">
        <v>2</v>
      </c>
      <c r="M55" s="288">
        <v>1.5</v>
      </c>
      <c r="N55" s="288">
        <v>1.25</v>
      </c>
      <c r="O55" s="49"/>
      <c r="P55" s="287" t="s">
        <v>2114</v>
      </c>
      <c r="Q55" s="62">
        <v>2400</v>
      </c>
      <c r="R55" s="62">
        <v>2600</v>
      </c>
      <c r="S55" s="62"/>
      <c r="T55" s="62">
        <v>100000</v>
      </c>
      <c r="U55" s="62">
        <v>130000</v>
      </c>
      <c r="V55" s="62">
        <f t="shared" si="2"/>
        <v>330000</v>
      </c>
      <c r="W55" s="76">
        <v>220</v>
      </c>
      <c r="X55" s="49"/>
      <c r="Y55" s="49"/>
      <c r="Z55" s="49"/>
      <c r="AA55" s="49"/>
      <c r="AB55" s="49"/>
      <c r="AC55" s="62">
        <f t="shared" si="4"/>
        <v>39</v>
      </c>
      <c r="AD55" s="62">
        <f t="shared" si="3"/>
        <v>1900</v>
      </c>
      <c r="AE55" s="49"/>
      <c r="AF55" s="49"/>
      <c r="AG55" s="49"/>
      <c r="AH55" s="49"/>
      <c r="AI55" s="49"/>
      <c r="AJ55" s="49"/>
      <c r="AK55" s="49"/>
      <c r="AL55" s="49"/>
      <c r="AM55" s="49"/>
      <c r="AN55" s="49"/>
      <c r="AO55" s="49"/>
      <c r="AP55" s="49"/>
      <c r="AQ55" s="49"/>
      <c r="AR55" s="49"/>
      <c r="AS55" s="49"/>
    </row>
    <row r="56" spans="1:45">
      <c r="A56" s="49"/>
      <c r="B56" s="49"/>
      <c r="C56" s="49"/>
      <c r="D56" s="287">
        <v>18</v>
      </c>
      <c r="E56" s="62">
        <v>17800</v>
      </c>
      <c r="F56" s="62" t="s">
        <v>2115</v>
      </c>
      <c r="G56" s="62"/>
      <c r="H56" s="286">
        <v>10</v>
      </c>
      <c r="I56" s="62">
        <v>9</v>
      </c>
      <c r="J56" s="62">
        <v>3</v>
      </c>
      <c r="K56" s="288">
        <v>0.5</v>
      </c>
      <c r="L56" s="289">
        <v>2</v>
      </c>
      <c r="M56" s="288">
        <v>1.5</v>
      </c>
      <c r="N56" s="288">
        <v>1.25</v>
      </c>
      <c r="O56" s="49"/>
      <c r="P56" s="287" t="s">
        <v>2116</v>
      </c>
      <c r="Q56" s="62">
        <v>2600</v>
      </c>
      <c r="R56" s="62">
        <v>2800</v>
      </c>
      <c r="S56" s="62"/>
      <c r="T56" s="62">
        <v>105000</v>
      </c>
      <c r="U56" s="62">
        <v>140000</v>
      </c>
      <c r="V56" s="62">
        <f t="shared" si="2"/>
        <v>350000</v>
      </c>
      <c r="W56" s="76">
        <v>225</v>
      </c>
      <c r="X56" s="49"/>
      <c r="Y56" s="49"/>
      <c r="Z56" s="49"/>
      <c r="AA56" s="49"/>
      <c r="AB56" s="49"/>
      <c r="AC56" s="62">
        <f t="shared" si="4"/>
        <v>40</v>
      </c>
      <c r="AD56" s="62">
        <f t="shared" si="3"/>
        <v>1950</v>
      </c>
      <c r="AE56" s="49"/>
      <c r="AF56" s="49"/>
      <c r="AG56" s="49"/>
      <c r="AH56" s="49"/>
      <c r="AI56" s="49"/>
      <c r="AJ56" s="49"/>
      <c r="AK56" s="49"/>
      <c r="AL56" s="49"/>
      <c r="AM56" s="49"/>
      <c r="AN56" s="49"/>
      <c r="AO56" s="49"/>
      <c r="AP56" s="49"/>
      <c r="AQ56" s="49"/>
      <c r="AR56" s="49"/>
      <c r="AS56" s="49"/>
    </row>
    <row r="57" spans="1:45">
      <c r="A57" s="49"/>
      <c r="B57" s="49"/>
      <c r="C57" s="49"/>
      <c r="D57" s="287">
        <v>19</v>
      </c>
      <c r="E57" s="62">
        <v>18500</v>
      </c>
      <c r="F57" s="62" t="s">
        <v>2115</v>
      </c>
      <c r="G57" s="62"/>
      <c r="H57" s="286">
        <v>10</v>
      </c>
      <c r="I57" s="62">
        <v>9</v>
      </c>
      <c r="J57" s="62">
        <v>3</v>
      </c>
      <c r="K57" s="288">
        <v>0.5</v>
      </c>
      <c r="L57" s="289">
        <v>2</v>
      </c>
      <c r="M57" s="288">
        <v>1.5</v>
      </c>
      <c r="N57" s="288">
        <v>1.25</v>
      </c>
      <c r="O57" s="49"/>
      <c r="P57" s="287" t="s">
        <v>2117</v>
      </c>
      <c r="Q57" s="62">
        <v>2800</v>
      </c>
      <c r="R57" s="62">
        <v>3000</v>
      </c>
      <c r="S57" s="62"/>
      <c r="T57" s="62">
        <v>110000</v>
      </c>
      <c r="U57" s="62">
        <v>150000</v>
      </c>
      <c r="V57" s="62">
        <f t="shared" si="2"/>
        <v>370000</v>
      </c>
      <c r="W57" s="76">
        <v>230</v>
      </c>
      <c r="X57" s="49"/>
      <c r="Y57" s="49"/>
      <c r="Z57" s="49"/>
      <c r="AA57" s="49"/>
      <c r="AB57" s="49"/>
      <c r="AC57" s="62">
        <f t="shared" si="4"/>
        <v>41</v>
      </c>
      <c r="AD57" s="62">
        <f t="shared" si="3"/>
        <v>2000</v>
      </c>
      <c r="AE57" s="49"/>
      <c r="AF57" s="49"/>
      <c r="AG57" s="49"/>
      <c r="AH57" s="49"/>
      <c r="AI57" s="49"/>
      <c r="AJ57" s="49"/>
      <c r="AK57" s="49"/>
      <c r="AL57" s="49"/>
      <c r="AM57" s="49"/>
      <c r="AN57" s="49"/>
      <c r="AO57" s="49"/>
      <c r="AP57" s="49"/>
      <c r="AQ57" s="49"/>
      <c r="AR57" s="49"/>
      <c r="AS57" s="49"/>
    </row>
    <row r="58" spans="1:45">
      <c r="A58" s="49"/>
      <c r="B58" s="49"/>
      <c r="C58" s="49"/>
      <c r="D58" s="287">
        <v>20</v>
      </c>
      <c r="E58" s="62">
        <v>23500</v>
      </c>
      <c r="F58" s="62" t="s">
        <v>2070</v>
      </c>
      <c r="G58" s="62"/>
      <c r="H58" s="286">
        <v>10</v>
      </c>
      <c r="I58" s="62">
        <v>9</v>
      </c>
      <c r="J58" s="62">
        <v>3</v>
      </c>
      <c r="K58" s="288">
        <v>0.5</v>
      </c>
      <c r="L58" s="289">
        <v>2</v>
      </c>
      <c r="M58" s="288">
        <v>1.5</v>
      </c>
      <c r="N58" s="288">
        <v>1.25</v>
      </c>
      <c r="O58" s="49"/>
      <c r="P58" s="287" t="s">
        <v>2118</v>
      </c>
      <c r="Q58" s="62">
        <v>3000</v>
      </c>
      <c r="R58" s="62">
        <v>3200</v>
      </c>
      <c r="S58" s="62"/>
      <c r="T58" s="62">
        <v>120000</v>
      </c>
      <c r="U58" s="62">
        <v>160000</v>
      </c>
      <c r="V58" s="62">
        <f t="shared" si="2"/>
        <v>400000</v>
      </c>
      <c r="W58" s="76">
        <v>235</v>
      </c>
      <c r="X58" s="49"/>
      <c r="Y58" s="49"/>
      <c r="Z58" s="49"/>
      <c r="AA58" s="49"/>
      <c r="AB58" s="49"/>
      <c r="AC58" s="62">
        <f t="shared" si="4"/>
        <v>42</v>
      </c>
      <c r="AD58" s="62">
        <f t="shared" si="3"/>
        <v>2050</v>
      </c>
      <c r="AE58" s="49"/>
      <c r="AF58" s="49"/>
      <c r="AG58" s="49"/>
      <c r="AH58" s="49"/>
      <c r="AI58" s="49"/>
      <c r="AJ58" s="49"/>
      <c r="AK58" s="49"/>
      <c r="AL58" s="49"/>
      <c r="AM58" s="49"/>
      <c r="AN58" s="49"/>
      <c r="AO58" s="49"/>
      <c r="AP58" s="49"/>
      <c r="AQ58" s="49"/>
      <c r="AR58" s="49"/>
      <c r="AS58" s="49"/>
    </row>
    <row r="59" spans="1:45">
      <c r="A59" s="49"/>
      <c r="B59" s="49"/>
      <c r="C59" s="49"/>
      <c r="D59" s="287">
        <v>21</v>
      </c>
      <c r="E59" s="62">
        <v>24200</v>
      </c>
      <c r="F59" s="62" t="s">
        <v>2070</v>
      </c>
      <c r="G59" s="62"/>
      <c r="H59" s="286">
        <v>10</v>
      </c>
      <c r="I59" s="62">
        <v>9</v>
      </c>
      <c r="J59" s="62">
        <v>3</v>
      </c>
      <c r="K59" s="288">
        <v>0.5</v>
      </c>
      <c r="L59" s="289">
        <v>2</v>
      </c>
      <c r="M59" s="288">
        <v>1.5</v>
      </c>
      <c r="N59" s="288">
        <v>1.25</v>
      </c>
      <c r="O59" s="49"/>
      <c r="P59" s="287" t="s">
        <v>2119</v>
      </c>
      <c r="Q59" s="62">
        <v>3200</v>
      </c>
      <c r="R59" s="62">
        <v>3400</v>
      </c>
      <c r="S59" s="62"/>
      <c r="T59" s="62">
        <v>125000</v>
      </c>
      <c r="U59" s="62">
        <v>165000</v>
      </c>
      <c r="V59" s="62">
        <f t="shared" si="2"/>
        <v>415000</v>
      </c>
      <c r="W59" s="76">
        <v>240</v>
      </c>
      <c r="X59" s="49"/>
      <c r="Y59" s="49"/>
      <c r="Z59" s="49"/>
      <c r="AA59" s="49"/>
      <c r="AB59" s="49"/>
      <c r="AC59" s="62">
        <f t="shared" si="4"/>
        <v>43</v>
      </c>
      <c r="AD59" s="62">
        <f t="shared" si="3"/>
        <v>2100</v>
      </c>
      <c r="AE59" s="49"/>
      <c r="AF59" s="49"/>
      <c r="AG59" s="49"/>
      <c r="AH59" s="49"/>
      <c r="AI59" s="49"/>
      <c r="AJ59" s="49"/>
      <c r="AK59" s="49"/>
      <c r="AL59" s="49"/>
      <c r="AM59" s="49"/>
      <c r="AN59" s="49"/>
      <c r="AO59" s="49"/>
      <c r="AP59" s="49"/>
      <c r="AQ59" s="49"/>
      <c r="AR59" s="49"/>
      <c r="AS59" s="49"/>
    </row>
    <row r="60" spans="1:45">
      <c r="A60" s="49"/>
      <c r="B60" s="49"/>
      <c r="C60" s="49"/>
      <c r="D60" s="287">
        <v>22</v>
      </c>
      <c r="E60" s="62">
        <v>24900</v>
      </c>
      <c r="F60" s="62" t="s">
        <v>2070</v>
      </c>
      <c r="G60" s="62"/>
      <c r="H60" s="286">
        <v>10</v>
      </c>
      <c r="I60" s="62">
        <v>9</v>
      </c>
      <c r="J60" s="62">
        <v>3</v>
      </c>
      <c r="K60" s="288">
        <v>0.5</v>
      </c>
      <c r="L60" s="289">
        <v>2</v>
      </c>
      <c r="M60" s="288">
        <v>1.5</v>
      </c>
      <c r="N60" s="288">
        <v>1.25</v>
      </c>
      <c r="O60" s="49"/>
      <c r="P60" s="287" t="s">
        <v>2120</v>
      </c>
      <c r="Q60" s="62">
        <v>3400</v>
      </c>
      <c r="R60" s="62">
        <v>3600</v>
      </c>
      <c r="S60" s="62"/>
      <c r="T60" s="62">
        <v>130000</v>
      </c>
      <c r="U60" s="62">
        <v>170000</v>
      </c>
      <c r="V60" s="62">
        <f t="shared" si="2"/>
        <v>430000</v>
      </c>
      <c r="W60" s="76">
        <v>245</v>
      </c>
      <c r="X60" s="49"/>
      <c r="Y60" s="49"/>
      <c r="Z60" s="49"/>
      <c r="AA60" s="49"/>
      <c r="AB60" s="49"/>
      <c r="AC60" s="62">
        <f t="shared" si="4"/>
        <v>44</v>
      </c>
      <c r="AD60" s="62">
        <f t="shared" si="3"/>
        <v>2150</v>
      </c>
      <c r="AE60" s="49"/>
      <c r="AF60" s="49"/>
      <c r="AG60" s="49"/>
      <c r="AH60" s="49"/>
      <c r="AI60" s="49"/>
      <c r="AJ60" s="49"/>
      <c r="AK60" s="49"/>
      <c r="AL60" s="49"/>
      <c r="AM60" s="49"/>
      <c r="AN60" s="49"/>
      <c r="AO60" s="49"/>
      <c r="AP60" s="49"/>
      <c r="AQ60" s="49"/>
      <c r="AR60" s="49"/>
      <c r="AS60" s="49"/>
    </row>
    <row r="61" spans="1:45">
      <c r="A61" s="49"/>
      <c r="B61" s="49"/>
      <c r="C61" s="49"/>
      <c r="D61" s="287">
        <v>23</v>
      </c>
      <c r="E61" s="62">
        <v>25600</v>
      </c>
      <c r="F61" s="62" t="s">
        <v>2070</v>
      </c>
      <c r="G61" s="62"/>
      <c r="H61" s="286">
        <v>10</v>
      </c>
      <c r="I61" s="62">
        <v>9</v>
      </c>
      <c r="J61" s="62">
        <v>3</v>
      </c>
      <c r="K61" s="288">
        <v>0.5</v>
      </c>
      <c r="L61" s="289">
        <v>2</v>
      </c>
      <c r="M61" s="288">
        <v>1.5</v>
      </c>
      <c r="N61" s="288">
        <v>1.25</v>
      </c>
      <c r="O61" s="49"/>
      <c r="P61" s="287" t="s">
        <v>2121</v>
      </c>
      <c r="Q61" s="62">
        <v>3600</v>
      </c>
      <c r="R61" s="62">
        <v>3800</v>
      </c>
      <c r="S61" s="62"/>
      <c r="T61" s="62">
        <v>135000</v>
      </c>
      <c r="U61" s="62">
        <v>180000</v>
      </c>
      <c r="V61" s="62">
        <f t="shared" si="2"/>
        <v>450000</v>
      </c>
      <c r="W61" s="76">
        <v>250</v>
      </c>
      <c r="X61" s="49"/>
      <c r="Y61" s="49"/>
      <c r="Z61" s="49"/>
      <c r="AA61" s="49"/>
      <c r="AB61" s="49"/>
      <c r="AC61" s="62">
        <f t="shared" si="4"/>
        <v>45</v>
      </c>
      <c r="AD61" s="62">
        <f t="shared" si="3"/>
        <v>2200</v>
      </c>
      <c r="AE61" s="49"/>
      <c r="AF61" s="49"/>
      <c r="AG61" s="49"/>
      <c r="AH61" s="49"/>
      <c r="AI61" s="49"/>
      <c r="AJ61" s="49"/>
      <c r="AK61" s="49"/>
      <c r="AL61" s="49"/>
      <c r="AM61" s="49"/>
      <c r="AN61" s="49"/>
      <c r="AO61" s="49"/>
      <c r="AP61" s="49"/>
      <c r="AQ61" s="49"/>
      <c r="AR61" s="49"/>
      <c r="AS61" s="49"/>
    </row>
    <row r="62" spans="1:45">
      <c r="A62" s="49"/>
      <c r="B62" s="49"/>
      <c r="C62" s="49"/>
      <c r="D62" s="287">
        <v>24</v>
      </c>
      <c r="E62" s="62">
        <v>26300</v>
      </c>
      <c r="F62" s="62" t="s">
        <v>2070</v>
      </c>
      <c r="G62" s="62"/>
      <c r="H62" s="286">
        <v>10</v>
      </c>
      <c r="I62" s="62">
        <v>9</v>
      </c>
      <c r="J62" s="62">
        <v>3</v>
      </c>
      <c r="K62" s="288">
        <v>0.5</v>
      </c>
      <c r="L62" s="289">
        <v>2</v>
      </c>
      <c r="M62" s="288">
        <v>1.5</v>
      </c>
      <c r="N62" s="288">
        <v>1.25</v>
      </c>
      <c r="O62" s="49"/>
      <c r="P62" s="287" t="s">
        <v>2122</v>
      </c>
      <c r="Q62" s="62">
        <v>3800</v>
      </c>
      <c r="R62" s="62">
        <v>4000</v>
      </c>
      <c r="S62" s="62"/>
      <c r="T62" s="62">
        <v>140000</v>
      </c>
      <c r="U62" s="62">
        <v>190000</v>
      </c>
      <c r="V62" s="62">
        <f t="shared" si="2"/>
        <v>470000</v>
      </c>
      <c r="W62" s="76">
        <v>255</v>
      </c>
      <c r="X62" s="49"/>
      <c r="Y62" s="49"/>
      <c r="Z62" s="49"/>
      <c r="AA62" s="49"/>
      <c r="AB62" s="49"/>
      <c r="AC62" s="62">
        <f t="shared" si="4"/>
        <v>46</v>
      </c>
      <c r="AD62" s="62">
        <f t="shared" si="3"/>
        <v>2250</v>
      </c>
      <c r="AE62" s="49"/>
      <c r="AF62" s="49"/>
      <c r="AG62" s="49"/>
      <c r="AH62" s="49"/>
      <c r="AI62" s="49"/>
      <c r="AJ62" s="49"/>
      <c r="AK62" s="49"/>
      <c r="AL62" s="49"/>
      <c r="AM62" s="49"/>
      <c r="AN62" s="49"/>
      <c r="AO62" s="49"/>
      <c r="AP62" s="49"/>
      <c r="AQ62" s="49"/>
      <c r="AR62" s="49"/>
      <c r="AS62" s="49"/>
    </row>
    <row r="63" spans="1:45">
      <c r="A63" s="49"/>
      <c r="B63" s="49"/>
      <c r="C63" s="49"/>
      <c r="D63" s="287">
        <v>25</v>
      </c>
      <c r="E63" s="62">
        <v>31300</v>
      </c>
      <c r="F63" s="62" t="s">
        <v>2070</v>
      </c>
      <c r="G63" s="62"/>
      <c r="H63" s="286">
        <v>10</v>
      </c>
      <c r="I63" s="62">
        <v>9</v>
      </c>
      <c r="J63" s="62">
        <v>3</v>
      </c>
      <c r="K63" s="288">
        <v>0.5</v>
      </c>
      <c r="L63" s="289">
        <v>2</v>
      </c>
      <c r="M63" s="288">
        <v>1.5</v>
      </c>
      <c r="N63" s="288">
        <v>1.25</v>
      </c>
      <c r="O63" s="49"/>
      <c r="P63" s="287" t="s">
        <v>2123</v>
      </c>
      <c r="Q63" s="62">
        <v>4000</v>
      </c>
      <c r="R63" s="62">
        <v>4200</v>
      </c>
      <c r="S63" s="62"/>
      <c r="T63" s="62">
        <v>145000</v>
      </c>
      <c r="U63" s="62">
        <v>195000</v>
      </c>
      <c r="V63" s="62">
        <f t="shared" si="2"/>
        <v>485000</v>
      </c>
      <c r="W63" s="76">
        <v>260</v>
      </c>
      <c r="X63" s="49"/>
      <c r="Y63" s="49"/>
      <c r="Z63" s="49"/>
      <c r="AA63" s="49"/>
      <c r="AB63" s="49"/>
      <c r="AC63" s="62">
        <f t="shared" si="4"/>
        <v>47</v>
      </c>
      <c r="AD63" s="62">
        <f t="shared" si="3"/>
        <v>2300</v>
      </c>
      <c r="AE63" s="49"/>
      <c r="AF63" s="49"/>
      <c r="AG63" s="49"/>
      <c r="AH63" s="49"/>
      <c r="AI63" s="49"/>
      <c r="AJ63" s="49"/>
      <c r="AK63" s="49"/>
      <c r="AL63" s="49"/>
      <c r="AM63" s="49"/>
      <c r="AN63" s="49"/>
      <c r="AO63" s="49"/>
      <c r="AP63" s="49"/>
      <c r="AQ63" s="49"/>
      <c r="AR63" s="49"/>
      <c r="AS63" s="49"/>
    </row>
    <row r="64" spans="1:45">
      <c r="A64" s="49"/>
      <c r="B64" s="49"/>
      <c r="C64" s="49"/>
      <c r="D64" s="287">
        <v>26</v>
      </c>
      <c r="E64" s="62">
        <v>32000</v>
      </c>
      <c r="F64" s="62" t="s">
        <v>2070</v>
      </c>
      <c r="G64" s="62"/>
      <c r="H64" s="286">
        <v>10</v>
      </c>
      <c r="I64" s="62">
        <v>9</v>
      </c>
      <c r="J64" s="62">
        <v>3</v>
      </c>
      <c r="K64" s="288">
        <v>0.5</v>
      </c>
      <c r="L64" s="289">
        <v>2</v>
      </c>
      <c r="M64" s="288">
        <v>1.5</v>
      </c>
      <c r="N64" s="288">
        <v>1.25</v>
      </c>
      <c r="O64" s="49"/>
      <c r="P64" s="287" t="s">
        <v>2124</v>
      </c>
      <c r="Q64" s="62">
        <v>4200</v>
      </c>
      <c r="R64" s="62">
        <v>4400</v>
      </c>
      <c r="S64" s="62"/>
      <c r="T64" s="62">
        <v>150000</v>
      </c>
      <c r="U64" s="62">
        <v>200000</v>
      </c>
      <c r="V64" s="62">
        <f t="shared" si="2"/>
        <v>500000</v>
      </c>
      <c r="W64" s="76">
        <v>265</v>
      </c>
      <c r="X64" s="49"/>
      <c r="Y64" s="49"/>
      <c r="Z64" s="49"/>
      <c r="AA64" s="49"/>
      <c r="AB64" s="49"/>
      <c r="AC64" s="62">
        <f t="shared" si="4"/>
        <v>48</v>
      </c>
      <c r="AD64" s="62">
        <f t="shared" si="3"/>
        <v>2350</v>
      </c>
      <c r="AE64" s="49"/>
      <c r="AF64" s="49"/>
      <c r="AG64" s="49"/>
      <c r="AH64" s="49"/>
      <c r="AI64" s="49"/>
      <c r="AJ64" s="49"/>
      <c r="AK64" s="49"/>
      <c r="AL64" s="49"/>
      <c r="AM64" s="49"/>
      <c r="AN64" s="49"/>
      <c r="AO64" s="49"/>
      <c r="AP64" s="49"/>
      <c r="AQ64" s="49"/>
      <c r="AR64" s="49"/>
      <c r="AS64" s="49"/>
    </row>
    <row r="65" spans="1:45">
      <c r="A65" s="49"/>
      <c r="B65" s="49"/>
      <c r="C65" s="49"/>
      <c r="D65" s="287">
        <v>27</v>
      </c>
      <c r="E65" s="62">
        <v>32700</v>
      </c>
      <c r="F65" s="62" t="s">
        <v>2070</v>
      </c>
      <c r="G65" s="62"/>
      <c r="H65" s="286">
        <v>10</v>
      </c>
      <c r="I65" s="62">
        <v>9</v>
      </c>
      <c r="J65" s="62">
        <v>3</v>
      </c>
      <c r="K65" s="288">
        <v>0.5</v>
      </c>
      <c r="L65" s="289">
        <v>2</v>
      </c>
      <c r="M65" s="288">
        <v>1.5</v>
      </c>
      <c r="N65" s="288">
        <v>1.25</v>
      </c>
      <c r="O65" s="49"/>
      <c r="P65" s="287" t="s">
        <v>2125</v>
      </c>
      <c r="Q65" s="62">
        <v>4400</v>
      </c>
      <c r="R65" s="62">
        <v>4600</v>
      </c>
      <c r="S65" s="62"/>
      <c r="T65" s="62">
        <v>155000</v>
      </c>
      <c r="U65" s="62">
        <v>205000</v>
      </c>
      <c r="V65" s="62">
        <f t="shared" si="2"/>
        <v>515000</v>
      </c>
      <c r="W65" s="76">
        <v>270</v>
      </c>
      <c r="X65" s="49"/>
      <c r="Y65" s="49"/>
      <c r="Z65" s="49"/>
      <c r="AA65" s="49"/>
      <c r="AB65" s="49"/>
      <c r="AC65" s="62">
        <f t="shared" si="4"/>
        <v>49</v>
      </c>
      <c r="AD65" s="62">
        <f t="shared" si="3"/>
        <v>2400</v>
      </c>
      <c r="AE65" s="49"/>
      <c r="AF65" s="49"/>
      <c r="AG65" s="49"/>
      <c r="AH65" s="49"/>
      <c r="AI65" s="49"/>
      <c r="AJ65" s="49"/>
      <c r="AK65" s="49"/>
      <c r="AL65" s="49"/>
      <c r="AM65" s="49"/>
      <c r="AN65" s="49"/>
      <c r="AO65" s="49"/>
      <c r="AP65" s="49"/>
      <c r="AQ65" s="49"/>
      <c r="AR65" s="49"/>
      <c r="AS65" s="49"/>
    </row>
    <row r="66" spans="1:45">
      <c r="A66" s="49"/>
      <c r="B66" s="49"/>
      <c r="C66" s="49"/>
      <c r="D66" s="287">
        <v>28</v>
      </c>
      <c r="E66" s="62">
        <v>33400</v>
      </c>
      <c r="F66" s="62" t="s">
        <v>2070</v>
      </c>
      <c r="G66" s="62"/>
      <c r="H66" s="286">
        <v>10</v>
      </c>
      <c r="I66" s="62">
        <v>9</v>
      </c>
      <c r="J66" s="62">
        <v>3</v>
      </c>
      <c r="K66" s="288">
        <v>0.5</v>
      </c>
      <c r="L66" s="289">
        <v>2</v>
      </c>
      <c r="M66" s="288">
        <v>1.5</v>
      </c>
      <c r="N66" s="288">
        <v>1.25</v>
      </c>
      <c r="O66" s="49"/>
      <c r="P66" s="287" t="s">
        <v>2126</v>
      </c>
      <c r="Q66" s="62">
        <v>4600</v>
      </c>
      <c r="R66" s="62">
        <v>4800</v>
      </c>
      <c r="S66" s="62"/>
      <c r="T66" s="62">
        <v>160000</v>
      </c>
      <c r="U66" s="62">
        <v>215000</v>
      </c>
      <c r="V66" s="62">
        <f t="shared" si="2"/>
        <v>535000</v>
      </c>
      <c r="W66" s="76">
        <v>275</v>
      </c>
      <c r="X66" s="49"/>
      <c r="Y66" s="49"/>
      <c r="Z66" s="49"/>
      <c r="AA66" s="49"/>
      <c r="AB66" s="49"/>
      <c r="AC66" s="62">
        <f t="shared" si="4"/>
        <v>50</v>
      </c>
      <c r="AD66" s="62">
        <f t="shared" si="3"/>
        <v>2450</v>
      </c>
      <c r="AE66" s="49"/>
      <c r="AF66" s="49"/>
      <c r="AG66" s="49"/>
      <c r="AH66" s="49"/>
      <c r="AI66" s="49"/>
      <c r="AJ66" s="49"/>
      <c r="AK66" s="49"/>
      <c r="AL66" s="49"/>
      <c r="AM66" s="49"/>
      <c r="AN66" s="49"/>
      <c r="AO66" s="49"/>
      <c r="AP66" s="49"/>
      <c r="AQ66" s="49"/>
      <c r="AR66" s="49"/>
      <c r="AS66" s="49"/>
    </row>
    <row r="67" spans="1:45">
      <c r="A67" s="49"/>
      <c r="B67" s="49"/>
      <c r="C67" s="49"/>
      <c r="D67" s="287">
        <v>29</v>
      </c>
      <c r="E67" s="62">
        <v>34100</v>
      </c>
      <c r="F67" s="62" t="s">
        <v>2070</v>
      </c>
      <c r="G67" s="62"/>
      <c r="H67" s="286">
        <v>10</v>
      </c>
      <c r="I67" s="62">
        <v>9</v>
      </c>
      <c r="J67" s="62">
        <v>3</v>
      </c>
      <c r="K67" s="288">
        <v>0.5</v>
      </c>
      <c r="L67" s="289">
        <v>2</v>
      </c>
      <c r="M67" s="288">
        <v>1.5</v>
      </c>
      <c r="N67" s="288">
        <v>1.25</v>
      </c>
      <c r="O67" s="49"/>
      <c r="P67" s="287" t="s">
        <v>2127</v>
      </c>
      <c r="Q67" s="62">
        <v>4800</v>
      </c>
      <c r="R67" s="62">
        <v>5000</v>
      </c>
      <c r="S67" s="62"/>
      <c r="T67" s="62">
        <v>165000</v>
      </c>
      <c r="U67" s="62">
        <v>225000</v>
      </c>
      <c r="V67" s="62">
        <f t="shared" si="2"/>
        <v>555000</v>
      </c>
      <c r="W67" s="76">
        <v>280</v>
      </c>
      <c r="X67" s="49"/>
      <c r="Y67" s="49"/>
      <c r="Z67" s="49"/>
      <c r="AA67" s="49"/>
      <c r="AB67" s="49"/>
      <c r="AC67" s="62">
        <f t="shared" si="4"/>
        <v>51</v>
      </c>
      <c r="AD67" s="62">
        <f t="shared" si="3"/>
        <v>2500</v>
      </c>
      <c r="AE67" s="49"/>
      <c r="AF67" s="49"/>
      <c r="AG67" s="49"/>
      <c r="AH67" s="49"/>
      <c r="AI67" s="49"/>
      <c r="AJ67" s="49"/>
      <c r="AK67" s="49"/>
      <c r="AL67" s="49"/>
      <c r="AM67" s="49"/>
      <c r="AN67" s="49"/>
      <c r="AO67" s="49"/>
      <c r="AP67" s="49"/>
      <c r="AQ67" s="49"/>
      <c r="AR67" s="49"/>
      <c r="AS67" s="49"/>
    </row>
    <row r="68" spans="1:45">
      <c r="A68" s="49"/>
      <c r="B68" s="49"/>
      <c r="C68" s="49"/>
      <c r="D68" s="287">
        <v>30</v>
      </c>
      <c r="E68" s="62">
        <v>39100</v>
      </c>
      <c r="F68" s="62" t="s">
        <v>2070</v>
      </c>
      <c r="G68" s="62"/>
      <c r="H68" s="286">
        <v>10</v>
      </c>
      <c r="I68" s="62">
        <v>9</v>
      </c>
      <c r="J68" s="62">
        <v>3</v>
      </c>
      <c r="K68" s="288">
        <v>0.5</v>
      </c>
      <c r="L68" s="289">
        <v>2</v>
      </c>
      <c r="M68" s="288">
        <v>1.5</v>
      </c>
      <c r="N68" s="288">
        <v>1.25</v>
      </c>
      <c r="O68" s="49"/>
      <c r="P68" s="287" t="s">
        <v>2128</v>
      </c>
      <c r="Q68" s="62">
        <v>5000</v>
      </c>
      <c r="R68" s="62">
        <v>5200</v>
      </c>
      <c r="S68" s="62"/>
      <c r="T68" s="62">
        <v>170000</v>
      </c>
      <c r="U68" s="62">
        <v>230000</v>
      </c>
      <c r="V68" s="62">
        <f t="shared" si="2"/>
        <v>570000</v>
      </c>
      <c r="W68" s="76">
        <v>285</v>
      </c>
      <c r="X68" s="49"/>
      <c r="Y68" s="49"/>
      <c r="Z68" s="49"/>
      <c r="AA68" s="49"/>
      <c r="AB68" s="49"/>
      <c r="AC68" s="62">
        <f t="shared" si="4"/>
        <v>52</v>
      </c>
      <c r="AD68" s="62">
        <f t="shared" si="3"/>
        <v>2550</v>
      </c>
      <c r="AE68" s="49"/>
      <c r="AF68" s="49"/>
      <c r="AG68" s="49"/>
      <c r="AH68" s="49"/>
      <c r="AI68" s="49"/>
      <c r="AJ68" s="49"/>
      <c r="AK68" s="49"/>
      <c r="AL68" s="49"/>
      <c r="AM68" s="49"/>
      <c r="AN68" s="49"/>
      <c r="AO68" s="49"/>
      <c r="AP68" s="49"/>
      <c r="AQ68" s="49"/>
      <c r="AR68" s="49"/>
      <c r="AS68" s="49"/>
    </row>
    <row r="69" spans="1:45">
      <c r="A69" s="49"/>
      <c r="B69" s="49"/>
      <c r="C69" s="49"/>
      <c r="D69" s="287">
        <v>31</v>
      </c>
      <c r="E69" s="62">
        <v>39800</v>
      </c>
      <c r="F69" s="62" t="s">
        <v>2070</v>
      </c>
      <c r="G69" s="62"/>
      <c r="H69" s="286">
        <v>10</v>
      </c>
      <c r="I69" s="62">
        <v>9</v>
      </c>
      <c r="J69" s="62">
        <v>3</v>
      </c>
      <c r="K69" s="288">
        <v>0.5</v>
      </c>
      <c r="L69" s="289">
        <v>2</v>
      </c>
      <c r="M69" s="288">
        <v>1.5</v>
      </c>
      <c r="N69" s="288">
        <v>1.25</v>
      </c>
      <c r="O69" s="49"/>
      <c r="P69" s="287" t="s">
        <v>2129</v>
      </c>
      <c r="Q69" s="62">
        <v>5200</v>
      </c>
      <c r="R69" s="62">
        <v>5400</v>
      </c>
      <c r="S69" s="62"/>
      <c r="T69" s="62">
        <v>175000</v>
      </c>
      <c r="U69" s="62">
        <v>240000</v>
      </c>
      <c r="V69" s="62">
        <f t="shared" si="2"/>
        <v>590000</v>
      </c>
      <c r="W69" s="76">
        <v>290</v>
      </c>
      <c r="X69" s="49"/>
      <c r="Y69" s="49"/>
      <c r="Z69" s="49"/>
      <c r="AA69" s="49"/>
      <c r="AB69" s="49"/>
      <c r="AC69" s="62">
        <f t="shared" si="4"/>
        <v>53</v>
      </c>
      <c r="AD69" s="62">
        <f t="shared" si="3"/>
        <v>2600</v>
      </c>
      <c r="AE69" s="49"/>
      <c r="AF69" s="49"/>
      <c r="AG69" s="49"/>
      <c r="AH69" s="49"/>
      <c r="AI69" s="49"/>
      <c r="AJ69" s="49"/>
      <c r="AK69" s="49"/>
      <c r="AL69" s="49"/>
      <c r="AM69" s="49"/>
      <c r="AN69" s="49"/>
      <c r="AO69" s="49"/>
      <c r="AP69" s="49"/>
      <c r="AQ69" s="49"/>
      <c r="AR69" s="49"/>
      <c r="AS69" s="49"/>
    </row>
    <row r="70" spans="1:45">
      <c r="A70" s="49"/>
      <c r="B70" s="49"/>
      <c r="C70" s="49"/>
      <c r="D70" s="287">
        <v>32</v>
      </c>
      <c r="E70" s="62">
        <v>40500</v>
      </c>
      <c r="F70" s="62" t="s">
        <v>2070</v>
      </c>
      <c r="G70" s="62"/>
      <c r="H70" s="286">
        <v>10</v>
      </c>
      <c r="I70" s="62">
        <v>9</v>
      </c>
      <c r="J70" s="62">
        <v>3</v>
      </c>
      <c r="K70" s="288">
        <v>0.5</v>
      </c>
      <c r="L70" s="289">
        <v>2</v>
      </c>
      <c r="M70" s="288">
        <v>1.5</v>
      </c>
      <c r="N70" s="288">
        <v>1.25</v>
      </c>
      <c r="O70" s="49"/>
      <c r="P70" s="287" t="s">
        <v>2130</v>
      </c>
      <c r="Q70" s="62">
        <v>5400</v>
      </c>
      <c r="R70" s="62">
        <v>5600</v>
      </c>
      <c r="S70" s="62"/>
      <c r="T70" s="62">
        <v>180000</v>
      </c>
      <c r="U70" s="62">
        <v>245000</v>
      </c>
      <c r="V70" s="62">
        <f t="shared" si="2"/>
        <v>605000</v>
      </c>
      <c r="W70" s="76">
        <v>295</v>
      </c>
      <c r="X70" s="49"/>
      <c r="Y70" s="49"/>
      <c r="Z70" s="49"/>
      <c r="AA70" s="49"/>
      <c r="AB70" s="49"/>
      <c r="AC70" s="62">
        <f t="shared" si="4"/>
        <v>54</v>
      </c>
      <c r="AD70" s="62">
        <f t="shared" si="3"/>
        <v>2650</v>
      </c>
      <c r="AE70" s="49"/>
      <c r="AF70" s="49"/>
      <c r="AG70" s="49"/>
      <c r="AH70" s="49"/>
      <c r="AI70" s="49"/>
      <c r="AJ70" s="49"/>
      <c r="AK70" s="49"/>
      <c r="AL70" s="49"/>
      <c r="AM70" s="49"/>
      <c r="AN70" s="49"/>
      <c r="AO70" s="49"/>
      <c r="AP70" s="49"/>
      <c r="AQ70" s="49"/>
      <c r="AR70" s="49"/>
      <c r="AS70" s="49"/>
    </row>
    <row r="71" spans="1:45">
      <c r="A71" s="49"/>
      <c r="B71" s="49"/>
      <c r="C71" s="49"/>
      <c r="D71" s="287">
        <v>33</v>
      </c>
      <c r="E71" s="62">
        <v>41200</v>
      </c>
      <c r="F71" s="62" t="s">
        <v>2070</v>
      </c>
      <c r="G71" s="62"/>
      <c r="H71" s="286">
        <v>10</v>
      </c>
      <c r="I71" s="62">
        <v>9</v>
      </c>
      <c r="J71" s="62">
        <v>3</v>
      </c>
      <c r="K71" s="288">
        <v>0.5</v>
      </c>
      <c r="L71" s="289">
        <v>2</v>
      </c>
      <c r="M71" s="288">
        <v>1.5</v>
      </c>
      <c r="N71" s="288">
        <v>1.25</v>
      </c>
      <c r="O71" s="49"/>
      <c r="P71" s="287" t="s">
        <v>2131</v>
      </c>
      <c r="Q71" s="62">
        <v>5600</v>
      </c>
      <c r="R71" s="62">
        <v>5800</v>
      </c>
      <c r="S71" s="62"/>
      <c r="T71" s="62">
        <v>185000</v>
      </c>
      <c r="U71" s="62">
        <v>255000</v>
      </c>
      <c r="V71" s="62">
        <f t="shared" si="2"/>
        <v>625000</v>
      </c>
      <c r="W71" s="76">
        <v>300</v>
      </c>
      <c r="X71" s="49"/>
      <c r="Y71" s="49"/>
      <c r="Z71" s="49"/>
      <c r="AA71" s="49"/>
      <c r="AB71" s="49"/>
      <c r="AC71" s="62">
        <f t="shared" si="4"/>
        <v>55</v>
      </c>
      <c r="AD71" s="62">
        <f t="shared" si="3"/>
        <v>2700</v>
      </c>
      <c r="AE71" s="49"/>
      <c r="AF71" s="49"/>
      <c r="AG71" s="49"/>
      <c r="AH71" s="49"/>
      <c r="AI71" s="49"/>
      <c r="AJ71" s="49"/>
      <c r="AK71" s="49"/>
      <c r="AL71" s="49"/>
      <c r="AM71" s="49"/>
      <c r="AN71" s="49"/>
      <c r="AO71" s="49"/>
      <c r="AP71" s="49"/>
      <c r="AQ71" s="49"/>
      <c r="AR71" s="49"/>
      <c r="AS71" s="49"/>
    </row>
    <row r="72" spans="1:45">
      <c r="A72" s="49"/>
      <c r="B72" s="49"/>
      <c r="C72" s="49"/>
      <c r="D72" s="287">
        <v>34</v>
      </c>
      <c r="E72" s="62">
        <v>41900</v>
      </c>
      <c r="F72" s="62" t="s">
        <v>2070</v>
      </c>
      <c r="G72" s="62"/>
      <c r="H72" s="286">
        <v>10</v>
      </c>
      <c r="I72" s="62">
        <v>9</v>
      </c>
      <c r="J72" s="62">
        <v>3</v>
      </c>
      <c r="K72" s="288">
        <v>0.5</v>
      </c>
      <c r="L72" s="289">
        <v>2</v>
      </c>
      <c r="M72" s="288">
        <v>1.5</v>
      </c>
      <c r="N72" s="288">
        <v>1.25</v>
      </c>
      <c r="O72" s="49"/>
      <c r="P72" s="287" t="s">
        <v>2132</v>
      </c>
      <c r="Q72" s="62">
        <v>5800</v>
      </c>
      <c r="R72" s="62">
        <v>6000</v>
      </c>
      <c r="S72" s="62"/>
      <c r="T72" s="62">
        <v>190000</v>
      </c>
      <c r="U72" s="62">
        <v>260000</v>
      </c>
      <c r="V72" s="62">
        <f t="shared" si="2"/>
        <v>640000</v>
      </c>
      <c r="W72" s="76">
        <v>305</v>
      </c>
      <c r="X72" s="49"/>
      <c r="Y72" s="49"/>
      <c r="Z72" s="49"/>
      <c r="AA72" s="49"/>
      <c r="AB72" s="49"/>
      <c r="AC72" s="62">
        <f t="shared" si="4"/>
        <v>56</v>
      </c>
      <c r="AD72" s="62">
        <f t="shared" si="3"/>
        <v>2750</v>
      </c>
      <c r="AE72" s="49"/>
      <c r="AF72" s="49"/>
      <c r="AG72" s="49"/>
      <c r="AH72" s="49"/>
      <c r="AI72" s="49"/>
      <c r="AJ72" s="49"/>
      <c r="AK72" s="49"/>
      <c r="AL72" s="49"/>
      <c r="AM72" s="49"/>
      <c r="AN72" s="49"/>
      <c r="AO72" s="49"/>
      <c r="AP72" s="49"/>
      <c r="AQ72" s="49"/>
      <c r="AR72" s="49"/>
      <c r="AS72" s="49"/>
    </row>
    <row r="73" spans="1:45">
      <c r="A73" s="49"/>
      <c r="B73" s="49"/>
      <c r="C73" s="49"/>
      <c r="D73" s="287">
        <v>35</v>
      </c>
      <c r="E73" s="62">
        <v>46900</v>
      </c>
      <c r="F73" s="62" t="s">
        <v>2070</v>
      </c>
      <c r="G73" s="62"/>
      <c r="H73" s="286">
        <v>10</v>
      </c>
      <c r="I73" s="62">
        <v>9</v>
      </c>
      <c r="J73" s="62">
        <v>3</v>
      </c>
      <c r="K73" s="288">
        <v>0.5</v>
      </c>
      <c r="L73" s="289">
        <v>2</v>
      </c>
      <c r="M73" s="288">
        <v>1.5</v>
      </c>
      <c r="N73" s="288">
        <v>1.25</v>
      </c>
      <c r="O73" s="49"/>
      <c r="P73" s="287" t="s">
        <v>2133</v>
      </c>
      <c r="Q73" s="62">
        <v>6000</v>
      </c>
      <c r="R73" s="62">
        <v>1000000</v>
      </c>
      <c r="S73" s="62"/>
      <c r="T73" s="62">
        <v>200000</v>
      </c>
      <c r="U73" s="62">
        <v>275000</v>
      </c>
      <c r="V73" s="62">
        <f t="shared" si="2"/>
        <v>675000</v>
      </c>
      <c r="W73" s="76">
        <v>310</v>
      </c>
      <c r="X73" s="49"/>
      <c r="Y73" s="49"/>
      <c r="Z73" s="49"/>
      <c r="AA73" s="49"/>
      <c r="AB73" s="49"/>
      <c r="AC73" s="62">
        <f t="shared" si="4"/>
        <v>57</v>
      </c>
      <c r="AD73" s="62">
        <f t="shared" si="3"/>
        <v>2800</v>
      </c>
      <c r="AE73" s="49"/>
      <c r="AF73" s="49"/>
      <c r="AG73" s="49"/>
      <c r="AH73" s="49"/>
      <c r="AI73" s="49"/>
      <c r="AJ73" s="49"/>
      <c r="AK73" s="49"/>
      <c r="AL73" s="49"/>
      <c r="AM73" s="49"/>
      <c r="AN73" s="49"/>
      <c r="AO73" s="49"/>
      <c r="AP73" s="49"/>
      <c r="AQ73" s="49"/>
      <c r="AR73" s="49"/>
      <c r="AS73" s="49"/>
    </row>
    <row r="74" spans="1:45">
      <c r="A74" s="49"/>
      <c r="B74" s="49"/>
      <c r="C74" s="49"/>
      <c r="D74" s="287">
        <v>36</v>
      </c>
      <c r="E74" s="62">
        <v>47600</v>
      </c>
      <c r="F74" s="62" t="s">
        <v>2070</v>
      </c>
      <c r="G74" s="62"/>
      <c r="H74" s="286">
        <v>10</v>
      </c>
      <c r="I74" s="62">
        <v>9</v>
      </c>
      <c r="J74" s="62">
        <v>3</v>
      </c>
      <c r="K74" s="288">
        <v>0.5</v>
      </c>
      <c r="L74" s="289">
        <v>2</v>
      </c>
      <c r="M74" s="288">
        <v>1.5</v>
      </c>
      <c r="N74" s="288">
        <v>1.25</v>
      </c>
      <c r="O74" s="49"/>
      <c r="P74" s="49"/>
      <c r="Q74" s="296">
        <v>100000</v>
      </c>
      <c r="R74" s="49"/>
      <c r="S74" s="49"/>
      <c r="T74" s="49"/>
      <c r="U74" s="49"/>
      <c r="V74" s="49"/>
      <c r="W74" s="49"/>
      <c r="X74" s="49"/>
      <c r="Y74" s="49"/>
      <c r="Z74" s="49"/>
      <c r="AA74" s="49"/>
      <c r="AB74" s="49"/>
      <c r="AC74" s="62">
        <f t="shared" si="4"/>
        <v>58</v>
      </c>
      <c r="AD74" s="62">
        <f t="shared" si="3"/>
        <v>2850</v>
      </c>
      <c r="AE74" s="49"/>
      <c r="AF74" s="49"/>
      <c r="AG74" s="49"/>
      <c r="AH74" s="49"/>
      <c r="AI74" s="49"/>
      <c r="AJ74" s="49"/>
      <c r="AK74" s="49"/>
      <c r="AL74" s="49"/>
      <c r="AM74" s="49"/>
      <c r="AN74" s="49"/>
      <c r="AO74" s="49"/>
      <c r="AP74" s="49"/>
      <c r="AQ74" s="49"/>
      <c r="AR74" s="49"/>
      <c r="AS74" s="49"/>
    </row>
    <row r="75" spans="1:45">
      <c r="A75" s="49"/>
      <c r="B75" s="49"/>
      <c r="C75" s="49"/>
      <c r="D75" s="287">
        <v>37</v>
      </c>
      <c r="E75" s="62">
        <v>48300</v>
      </c>
      <c r="F75" s="62" t="s">
        <v>2070</v>
      </c>
      <c r="G75" s="62"/>
      <c r="H75" s="286">
        <v>10</v>
      </c>
      <c r="I75" s="62">
        <v>9</v>
      </c>
      <c r="J75" s="62">
        <v>3</v>
      </c>
      <c r="K75" s="288">
        <v>0.5</v>
      </c>
      <c r="L75" s="289">
        <v>2</v>
      </c>
      <c r="M75" s="288">
        <v>1.5</v>
      </c>
      <c r="N75" s="288">
        <v>1.25</v>
      </c>
      <c r="O75" s="49"/>
      <c r="P75" s="49"/>
      <c r="Q75" s="49"/>
      <c r="R75" s="49"/>
      <c r="S75" s="49"/>
      <c r="T75" s="49"/>
      <c r="U75" s="49"/>
      <c r="V75" s="49"/>
      <c r="W75" s="49"/>
      <c r="X75" s="49"/>
      <c r="Y75" s="49"/>
      <c r="Z75" s="49"/>
      <c r="AA75" s="49"/>
      <c r="AB75" s="49"/>
      <c r="AC75" s="62">
        <f t="shared" si="4"/>
        <v>59</v>
      </c>
      <c r="AD75" s="62">
        <f t="shared" si="3"/>
        <v>2900</v>
      </c>
      <c r="AE75" s="49"/>
      <c r="AF75" s="49"/>
      <c r="AG75" s="49"/>
      <c r="AH75" s="49"/>
      <c r="AI75" s="49"/>
      <c r="AJ75" s="49"/>
      <c r="AK75" s="49"/>
      <c r="AL75" s="49"/>
      <c r="AM75" s="49"/>
      <c r="AN75" s="49"/>
      <c r="AO75" s="49"/>
      <c r="AP75" s="49"/>
      <c r="AQ75" s="49"/>
      <c r="AR75" s="49"/>
      <c r="AS75" s="49"/>
    </row>
    <row r="76" spans="1:45">
      <c r="A76" s="49"/>
      <c r="B76" s="49"/>
      <c r="C76" s="49"/>
      <c r="D76" s="287">
        <v>38</v>
      </c>
      <c r="E76" s="62">
        <v>49000</v>
      </c>
      <c r="F76" s="62" t="s">
        <v>2070</v>
      </c>
      <c r="G76" s="62"/>
      <c r="H76" s="286">
        <v>10</v>
      </c>
      <c r="I76" s="62">
        <v>9</v>
      </c>
      <c r="J76" s="62">
        <v>3</v>
      </c>
      <c r="K76" s="288">
        <v>0.5</v>
      </c>
      <c r="L76" s="289">
        <v>2</v>
      </c>
      <c r="M76" s="288">
        <v>1.5</v>
      </c>
      <c r="N76" s="288">
        <v>1.25</v>
      </c>
      <c r="O76" s="49"/>
      <c r="P76" s="49"/>
      <c r="Q76" s="49"/>
      <c r="R76" s="49"/>
      <c r="S76" s="49"/>
      <c r="T76" s="49"/>
      <c r="U76" s="49"/>
      <c r="V76" s="49"/>
      <c r="W76" s="49"/>
      <c r="X76" s="49"/>
      <c r="Y76" s="49"/>
      <c r="Z76" s="49"/>
      <c r="AA76" s="49"/>
      <c r="AB76" s="49"/>
      <c r="AC76" s="62">
        <f t="shared" si="4"/>
        <v>60</v>
      </c>
      <c r="AD76" s="62">
        <f t="shared" si="3"/>
        <v>2950</v>
      </c>
      <c r="AE76" s="49"/>
      <c r="AF76" s="49"/>
      <c r="AG76" s="49"/>
      <c r="AH76" s="49"/>
      <c r="AI76" s="49"/>
      <c r="AJ76" s="49"/>
      <c r="AK76" s="49"/>
      <c r="AL76" s="49"/>
      <c r="AM76" s="49"/>
      <c r="AN76" s="49"/>
      <c r="AO76" s="49"/>
      <c r="AP76" s="49"/>
      <c r="AQ76" s="49"/>
      <c r="AR76" s="49"/>
      <c r="AS76" s="49"/>
    </row>
    <row r="77" spans="1:45">
      <c r="A77" s="49"/>
      <c r="B77" s="49"/>
      <c r="C77" s="49"/>
      <c r="D77" s="287">
        <v>39</v>
      </c>
      <c r="E77" s="62">
        <v>49700</v>
      </c>
      <c r="F77" s="62" t="s">
        <v>2070</v>
      </c>
      <c r="G77" s="62"/>
      <c r="H77" s="286">
        <v>10</v>
      </c>
      <c r="I77" s="62">
        <v>9</v>
      </c>
      <c r="J77" s="62">
        <v>3</v>
      </c>
      <c r="K77" s="288">
        <v>0.5</v>
      </c>
      <c r="L77" s="289">
        <v>2</v>
      </c>
      <c r="M77" s="288">
        <v>1.5</v>
      </c>
      <c r="N77" s="288">
        <v>1.25</v>
      </c>
      <c r="O77" s="49"/>
      <c r="P77" s="49"/>
      <c r="Q77" s="49"/>
      <c r="R77" s="49"/>
      <c r="S77" s="49"/>
      <c r="T77" s="49"/>
      <c r="U77" s="49"/>
      <c r="V77" s="49"/>
      <c r="W77" s="49"/>
      <c r="X77" s="49"/>
      <c r="Y77" s="49"/>
      <c r="Z77" s="49"/>
      <c r="AA77" s="49"/>
      <c r="AB77" s="49"/>
      <c r="AC77" s="62">
        <f t="shared" si="4"/>
        <v>61</v>
      </c>
      <c r="AD77" s="62">
        <f t="shared" si="3"/>
        <v>3000</v>
      </c>
      <c r="AE77" s="49"/>
      <c r="AF77" s="49"/>
      <c r="AG77" s="49"/>
      <c r="AH77" s="49"/>
      <c r="AI77" s="49"/>
      <c r="AJ77" s="49"/>
      <c r="AK77" s="49"/>
      <c r="AL77" s="49"/>
      <c r="AM77" s="49"/>
      <c r="AN77" s="49"/>
      <c r="AO77" s="49"/>
      <c r="AP77" s="49"/>
      <c r="AQ77" s="49"/>
      <c r="AR77" s="49"/>
      <c r="AS77" s="49"/>
    </row>
    <row r="78" spans="1:45">
      <c r="A78" s="49"/>
      <c r="B78" s="49"/>
      <c r="C78" s="49"/>
      <c r="D78" s="287">
        <v>40</v>
      </c>
      <c r="E78" s="62">
        <v>54700</v>
      </c>
      <c r="F78" s="62" t="s">
        <v>2070</v>
      </c>
      <c r="G78" s="62"/>
      <c r="H78" s="286">
        <v>10</v>
      </c>
      <c r="I78" s="62">
        <v>9</v>
      </c>
      <c r="J78" s="62">
        <v>3</v>
      </c>
      <c r="K78" s="288">
        <v>0.5</v>
      </c>
      <c r="L78" s="289">
        <v>2</v>
      </c>
      <c r="M78" s="288">
        <v>1.5</v>
      </c>
      <c r="N78" s="288">
        <v>1.25</v>
      </c>
      <c r="O78" s="49"/>
      <c r="P78" s="49"/>
      <c r="Q78" s="49"/>
      <c r="R78" s="49"/>
      <c r="S78" s="49"/>
      <c r="T78" s="49"/>
      <c r="U78" s="49"/>
      <c r="V78" s="49"/>
      <c r="W78" s="49"/>
      <c r="X78" s="49"/>
      <c r="Y78" s="49"/>
      <c r="Z78" s="49"/>
      <c r="AA78" s="49"/>
      <c r="AB78" s="49"/>
      <c r="AC78" s="62">
        <f t="shared" si="4"/>
        <v>62</v>
      </c>
      <c r="AD78" s="62">
        <f t="shared" si="3"/>
        <v>3050</v>
      </c>
      <c r="AE78" s="49"/>
      <c r="AF78" s="49"/>
      <c r="AG78" s="49"/>
      <c r="AH78" s="49"/>
      <c r="AI78" s="49"/>
      <c r="AJ78" s="49"/>
      <c r="AK78" s="49"/>
      <c r="AL78" s="49"/>
      <c r="AM78" s="49"/>
      <c r="AN78" s="49"/>
      <c r="AO78" s="49"/>
      <c r="AP78" s="49"/>
      <c r="AQ78" s="49"/>
      <c r="AR78" s="49"/>
      <c r="AS78" s="49"/>
    </row>
    <row r="79" spans="1:45">
      <c r="A79" s="49"/>
      <c r="B79" s="49"/>
      <c r="C79" s="49"/>
      <c r="D79" s="287">
        <v>41</v>
      </c>
      <c r="E79" s="62">
        <v>55400</v>
      </c>
      <c r="F79" s="62" t="s">
        <v>2070</v>
      </c>
      <c r="G79" s="62"/>
      <c r="H79" s="286">
        <v>10</v>
      </c>
      <c r="I79" s="62">
        <v>9</v>
      </c>
      <c r="J79" s="62">
        <v>3</v>
      </c>
      <c r="K79" s="288">
        <v>0.5</v>
      </c>
      <c r="L79" s="289">
        <v>2</v>
      </c>
      <c r="M79" s="288">
        <v>1.5</v>
      </c>
      <c r="N79" s="288">
        <v>1.25</v>
      </c>
      <c r="O79" s="49"/>
      <c r="P79" s="49"/>
      <c r="Q79" s="49"/>
      <c r="R79" s="49"/>
      <c r="S79" s="49"/>
      <c r="T79" s="49"/>
      <c r="U79" s="49"/>
      <c r="V79" s="49"/>
      <c r="W79" s="49"/>
      <c r="X79" s="49"/>
      <c r="Y79" s="49"/>
      <c r="Z79" s="49"/>
      <c r="AA79" s="49"/>
      <c r="AB79" s="49"/>
      <c r="AC79" s="62">
        <f t="shared" si="4"/>
        <v>63</v>
      </c>
      <c r="AD79" s="62">
        <f t="shared" si="3"/>
        <v>3100</v>
      </c>
      <c r="AE79" s="49"/>
      <c r="AF79" s="49"/>
      <c r="AG79" s="49"/>
      <c r="AH79" s="49"/>
      <c r="AI79" s="49"/>
      <c r="AJ79" s="49"/>
      <c r="AK79" s="49"/>
      <c r="AL79" s="49"/>
      <c r="AM79" s="49"/>
      <c r="AN79" s="49"/>
      <c r="AO79" s="49"/>
      <c r="AP79" s="49"/>
      <c r="AQ79" s="49"/>
      <c r="AR79" s="49"/>
      <c r="AS79" s="49"/>
    </row>
    <row r="80" spans="1:45">
      <c r="A80" s="49"/>
      <c r="B80" s="49"/>
      <c r="C80" s="49"/>
      <c r="D80" s="287">
        <v>42</v>
      </c>
      <c r="E80" s="62">
        <v>56100</v>
      </c>
      <c r="F80" s="62" t="s">
        <v>2070</v>
      </c>
      <c r="G80" s="62"/>
      <c r="H80" s="286">
        <v>10</v>
      </c>
      <c r="I80" s="62">
        <v>9</v>
      </c>
      <c r="J80" s="62">
        <v>3</v>
      </c>
      <c r="K80" s="288">
        <v>0.5</v>
      </c>
      <c r="L80" s="289">
        <v>2</v>
      </c>
      <c r="M80" s="288">
        <v>1.5</v>
      </c>
      <c r="N80" s="288">
        <v>1.25</v>
      </c>
      <c r="O80" s="49"/>
      <c r="P80" s="49"/>
      <c r="Q80" s="49"/>
      <c r="R80" s="49"/>
      <c r="S80" s="49"/>
      <c r="T80" s="49"/>
      <c r="U80" s="49"/>
      <c r="V80" s="49"/>
      <c r="W80" s="49"/>
      <c r="X80" s="49"/>
      <c r="Y80" s="49"/>
      <c r="Z80" s="49"/>
      <c r="AA80" s="49"/>
      <c r="AB80" s="49"/>
      <c r="AC80" s="62">
        <f t="shared" si="4"/>
        <v>64</v>
      </c>
      <c r="AD80" s="62">
        <f t="shared" si="3"/>
        <v>3150</v>
      </c>
      <c r="AE80" s="49"/>
      <c r="AF80" s="49"/>
      <c r="AG80" s="49"/>
      <c r="AH80" s="49"/>
      <c r="AI80" s="49"/>
      <c r="AJ80" s="49"/>
      <c r="AK80" s="49"/>
      <c r="AL80" s="49"/>
      <c r="AM80" s="49"/>
      <c r="AN80" s="49"/>
      <c r="AO80" s="49"/>
      <c r="AP80" s="49"/>
      <c r="AQ80" s="49"/>
      <c r="AR80" s="49"/>
      <c r="AS80" s="49"/>
    </row>
    <row r="81" spans="1:45">
      <c r="A81" s="49"/>
      <c r="B81" s="49"/>
      <c r="C81" s="49"/>
      <c r="D81" s="287">
        <v>43</v>
      </c>
      <c r="E81" s="62">
        <v>56800</v>
      </c>
      <c r="F81" s="62" t="s">
        <v>2070</v>
      </c>
      <c r="G81" s="62"/>
      <c r="H81" s="286">
        <v>10</v>
      </c>
      <c r="I81" s="62">
        <v>9</v>
      </c>
      <c r="J81" s="62">
        <v>3</v>
      </c>
      <c r="K81" s="288">
        <v>0.5</v>
      </c>
      <c r="L81" s="289">
        <v>2</v>
      </c>
      <c r="M81" s="288">
        <v>1.5</v>
      </c>
      <c r="N81" s="288">
        <v>1.25</v>
      </c>
      <c r="O81" s="49"/>
      <c r="P81" s="49"/>
      <c r="Q81" s="49"/>
      <c r="R81" s="49"/>
      <c r="S81" s="49"/>
      <c r="T81" s="49"/>
      <c r="U81" s="49"/>
      <c r="V81" s="49"/>
      <c r="W81" s="49"/>
      <c r="X81" s="49"/>
      <c r="Y81" s="49"/>
      <c r="Z81" s="49"/>
      <c r="AA81" s="49"/>
      <c r="AB81" s="49"/>
      <c r="AC81" s="62">
        <f t="shared" si="4"/>
        <v>65</v>
      </c>
      <c r="AD81" s="62">
        <f t="shared" si="3"/>
        <v>3200</v>
      </c>
      <c r="AE81" s="49"/>
      <c r="AF81" s="49"/>
      <c r="AG81" s="49"/>
      <c r="AH81" s="49"/>
      <c r="AI81" s="49"/>
      <c r="AJ81" s="49"/>
      <c r="AK81" s="49"/>
      <c r="AL81" s="49"/>
      <c r="AM81" s="49"/>
      <c r="AN81" s="49"/>
      <c r="AO81" s="49"/>
      <c r="AP81" s="49"/>
      <c r="AQ81" s="49"/>
      <c r="AR81" s="49"/>
      <c r="AS81" s="49"/>
    </row>
    <row r="82" spans="1:45">
      <c r="A82" s="49"/>
      <c r="B82" s="49"/>
      <c r="C82" s="49"/>
      <c r="D82" s="287">
        <v>44</v>
      </c>
      <c r="E82" s="62">
        <v>57500</v>
      </c>
      <c r="F82" s="62" t="s">
        <v>2070</v>
      </c>
      <c r="G82" s="62"/>
      <c r="H82" s="286">
        <v>10</v>
      </c>
      <c r="I82" s="62">
        <v>9</v>
      </c>
      <c r="J82" s="62">
        <v>3</v>
      </c>
      <c r="K82" s="288">
        <v>0.5</v>
      </c>
      <c r="L82" s="289">
        <v>2</v>
      </c>
      <c r="M82" s="288">
        <v>1.5</v>
      </c>
      <c r="N82" s="288">
        <v>1.25</v>
      </c>
      <c r="O82" s="49"/>
      <c r="P82" s="49"/>
      <c r="Q82" s="49"/>
      <c r="R82" s="49"/>
      <c r="S82" s="49"/>
      <c r="T82" s="49"/>
      <c r="U82" s="49"/>
      <c r="V82" s="49"/>
      <c r="W82" s="49"/>
      <c r="X82" s="49"/>
      <c r="Y82" s="49"/>
      <c r="Z82" s="49"/>
      <c r="AA82" s="49"/>
      <c r="AB82" s="49"/>
      <c r="AC82" s="62">
        <f t="shared" si="4"/>
        <v>66</v>
      </c>
      <c r="AD82" s="62">
        <f t="shared" ref="AD82:AD117" si="5">IFERROR(IF(AC82&lt;=200,IF(AC82=1,30,50*AC82-50),IF(AC82&lt;300,500*AC82-90500,1000*AC82-240000)),"")</f>
        <v>3250</v>
      </c>
      <c r="AE82" s="49"/>
      <c r="AF82" s="49"/>
      <c r="AG82" s="49"/>
      <c r="AH82" s="49"/>
      <c r="AI82" s="49"/>
      <c r="AJ82" s="49"/>
      <c r="AK82" s="49"/>
      <c r="AL82" s="49"/>
      <c r="AM82" s="49"/>
      <c r="AN82" s="49"/>
      <c r="AO82" s="49"/>
      <c r="AP82" s="49"/>
      <c r="AQ82" s="49"/>
      <c r="AR82" s="49"/>
      <c r="AS82" s="49"/>
    </row>
    <row r="83" spans="1:45">
      <c r="A83" s="49"/>
      <c r="B83" s="49"/>
      <c r="C83" s="49"/>
      <c r="D83" s="287">
        <v>45</v>
      </c>
      <c r="E83" s="62">
        <v>62500</v>
      </c>
      <c r="F83" s="62" t="s">
        <v>2070</v>
      </c>
      <c r="G83" s="62"/>
      <c r="H83" s="286">
        <v>10</v>
      </c>
      <c r="I83" s="62">
        <v>9</v>
      </c>
      <c r="J83" s="62">
        <v>3</v>
      </c>
      <c r="K83" s="288">
        <v>0.5</v>
      </c>
      <c r="L83" s="289">
        <v>2</v>
      </c>
      <c r="M83" s="288">
        <v>1.5</v>
      </c>
      <c r="N83" s="288">
        <v>1.25</v>
      </c>
      <c r="O83" s="49"/>
      <c r="P83" s="49"/>
      <c r="Q83" s="49"/>
      <c r="R83" s="49"/>
      <c r="S83" s="49"/>
      <c r="T83" s="49"/>
      <c r="U83" s="49"/>
      <c r="V83" s="49"/>
      <c r="W83" s="49"/>
      <c r="X83" s="49"/>
      <c r="Y83" s="49"/>
      <c r="Z83" s="49"/>
      <c r="AA83" s="49"/>
      <c r="AB83" s="49"/>
      <c r="AC83" s="62">
        <f t="shared" ref="AC83:AC117" si="6">IFERROR(IF(AC82+1&gt;500,#N/A,AC82+1),"")</f>
        <v>67</v>
      </c>
      <c r="AD83" s="62">
        <f t="shared" si="5"/>
        <v>3300</v>
      </c>
      <c r="AE83" s="49"/>
      <c r="AF83" s="49"/>
      <c r="AG83" s="49"/>
      <c r="AH83" s="49"/>
      <c r="AI83" s="49"/>
      <c r="AJ83" s="49"/>
      <c r="AK83" s="49"/>
      <c r="AL83" s="49"/>
      <c r="AM83" s="49"/>
      <c r="AN83" s="49"/>
      <c r="AO83" s="49"/>
      <c r="AP83" s="49"/>
      <c r="AQ83" s="49"/>
      <c r="AR83" s="49"/>
      <c r="AS83" s="49"/>
    </row>
    <row r="84" spans="1:45">
      <c r="A84" s="49"/>
      <c r="B84" s="49"/>
      <c r="C84" s="49"/>
      <c r="D84" s="287">
        <v>46</v>
      </c>
      <c r="E84" s="62">
        <v>63200</v>
      </c>
      <c r="F84" s="62" t="s">
        <v>2070</v>
      </c>
      <c r="G84" s="62"/>
      <c r="H84" s="286">
        <v>10</v>
      </c>
      <c r="I84" s="62">
        <v>9</v>
      </c>
      <c r="J84" s="62">
        <v>3</v>
      </c>
      <c r="K84" s="288">
        <v>0.5</v>
      </c>
      <c r="L84" s="289">
        <v>2</v>
      </c>
      <c r="M84" s="288">
        <v>1.5</v>
      </c>
      <c r="N84" s="288">
        <v>1.25</v>
      </c>
      <c r="O84" s="49"/>
      <c r="P84" s="49"/>
      <c r="Q84" s="49"/>
      <c r="R84" s="49"/>
      <c r="S84" s="49"/>
      <c r="T84" s="49"/>
      <c r="U84" s="49"/>
      <c r="V84" s="49"/>
      <c r="W84" s="49"/>
      <c r="X84" s="49"/>
      <c r="Y84" s="49"/>
      <c r="Z84" s="49"/>
      <c r="AA84" s="49"/>
      <c r="AB84" s="49"/>
      <c r="AC84" s="62">
        <f t="shared" si="6"/>
        <v>68</v>
      </c>
      <c r="AD84" s="62">
        <f t="shared" si="5"/>
        <v>3350</v>
      </c>
      <c r="AE84" s="49"/>
      <c r="AF84" s="49"/>
      <c r="AG84" s="49"/>
      <c r="AH84" s="49"/>
      <c r="AI84" s="49"/>
      <c r="AJ84" s="49"/>
      <c r="AK84" s="49"/>
      <c r="AL84" s="49"/>
      <c r="AM84" s="49"/>
      <c r="AN84" s="49"/>
      <c r="AO84" s="49"/>
      <c r="AP84" s="49"/>
      <c r="AQ84" s="49"/>
      <c r="AR84" s="49"/>
      <c r="AS84" s="49"/>
    </row>
    <row r="85" spans="1:45">
      <c r="A85" s="49"/>
      <c r="B85" s="49"/>
      <c r="C85" s="49"/>
      <c r="D85" s="287">
        <v>47</v>
      </c>
      <c r="E85" s="62">
        <v>63900</v>
      </c>
      <c r="F85" s="62" t="s">
        <v>2070</v>
      </c>
      <c r="G85" s="62"/>
      <c r="H85" s="286">
        <v>10</v>
      </c>
      <c r="I85" s="62">
        <v>9</v>
      </c>
      <c r="J85" s="62">
        <v>3</v>
      </c>
      <c r="K85" s="288">
        <v>0.5</v>
      </c>
      <c r="L85" s="289">
        <v>2</v>
      </c>
      <c r="M85" s="288">
        <v>1.5</v>
      </c>
      <c r="N85" s="288">
        <v>1.25</v>
      </c>
      <c r="O85" s="49"/>
      <c r="P85" s="49"/>
      <c r="Q85" s="49"/>
      <c r="R85" s="49"/>
      <c r="S85" s="49"/>
      <c r="T85" s="49"/>
      <c r="U85" s="49"/>
      <c r="V85" s="49"/>
      <c r="W85" s="49"/>
      <c r="X85" s="49"/>
      <c r="Y85" s="49"/>
      <c r="Z85" s="49"/>
      <c r="AA85" s="49"/>
      <c r="AB85" s="49"/>
      <c r="AC85" s="62">
        <f t="shared" si="6"/>
        <v>69</v>
      </c>
      <c r="AD85" s="62">
        <f t="shared" si="5"/>
        <v>3400</v>
      </c>
      <c r="AE85" s="49"/>
      <c r="AF85" s="49"/>
      <c r="AG85" s="49"/>
      <c r="AH85" s="49"/>
      <c r="AI85" s="49"/>
      <c r="AJ85" s="49"/>
      <c r="AK85" s="49"/>
      <c r="AL85" s="49"/>
      <c r="AM85" s="49"/>
      <c r="AN85" s="49"/>
      <c r="AO85" s="49"/>
      <c r="AP85" s="49"/>
      <c r="AQ85" s="49"/>
      <c r="AR85" s="49"/>
      <c r="AS85" s="49"/>
    </row>
    <row r="86" spans="1:45">
      <c r="A86" s="49"/>
      <c r="B86" s="49"/>
      <c r="C86" s="49"/>
      <c r="D86" s="287">
        <v>48</v>
      </c>
      <c r="E86" s="62">
        <v>64600</v>
      </c>
      <c r="F86" s="62" t="s">
        <v>2070</v>
      </c>
      <c r="G86" s="62"/>
      <c r="H86" s="286">
        <v>10</v>
      </c>
      <c r="I86" s="62">
        <v>9</v>
      </c>
      <c r="J86" s="62">
        <v>3</v>
      </c>
      <c r="K86" s="288">
        <v>0.5</v>
      </c>
      <c r="L86" s="289">
        <v>2</v>
      </c>
      <c r="M86" s="288">
        <v>1.5</v>
      </c>
      <c r="N86" s="288">
        <v>1.25</v>
      </c>
      <c r="O86" s="49"/>
      <c r="P86" s="49"/>
      <c r="Q86" s="49"/>
      <c r="R86" s="49"/>
      <c r="S86" s="49"/>
      <c r="T86" s="49"/>
      <c r="U86" s="49"/>
      <c r="V86" s="49"/>
      <c r="W86" s="49"/>
      <c r="X86" s="49"/>
      <c r="Y86" s="49"/>
      <c r="Z86" s="49"/>
      <c r="AA86" s="49"/>
      <c r="AB86" s="49"/>
      <c r="AC86" s="62">
        <f t="shared" si="6"/>
        <v>70</v>
      </c>
      <c r="AD86" s="62">
        <f t="shared" si="5"/>
        <v>3450</v>
      </c>
      <c r="AE86" s="49"/>
      <c r="AF86" s="49"/>
      <c r="AG86" s="49"/>
      <c r="AH86" s="49"/>
      <c r="AI86" s="49"/>
      <c r="AJ86" s="49"/>
      <c r="AK86" s="49"/>
      <c r="AL86" s="49"/>
      <c r="AM86" s="49"/>
      <c r="AN86" s="49"/>
      <c r="AO86" s="49"/>
      <c r="AP86" s="49"/>
      <c r="AQ86" s="49"/>
      <c r="AR86" s="49"/>
      <c r="AS86" s="49"/>
    </row>
    <row r="87" spans="1:45">
      <c r="A87" s="49"/>
      <c r="B87" s="49"/>
      <c r="C87" s="49"/>
      <c r="D87" s="287">
        <v>49</v>
      </c>
      <c r="E87" s="62">
        <v>65300</v>
      </c>
      <c r="F87" s="62" t="s">
        <v>2070</v>
      </c>
      <c r="G87" s="62"/>
      <c r="H87" s="286">
        <v>10</v>
      </c>
      <c r="I87" s="62">
        <v>9</v>
      </c>
      <c r="J87" s="62">
        <v>3</v>
      </c>
      <c r="K87" s="288">
        <v>0.5</v>
      </c>
      <c r="L87" s="289">
        <v>2</v>
      </c>
      <c r="M87" s="288">
        <v>1.5</v>
      </c>
      <c r="N87" s="288">
        <v>1.25</v>
      </c>
      <c r="O87" s="49"/>
      <c r="P87" s="49"/>
      <c r="Q87" s="49"/>
      <c r="R87" s="49"/>
      <c r="S87" s="49"/>
      <c r="T87" s="49"/>
      <c r="U87" s="49"/>
      <c r="V87" s="49"/>
      <c r="W87" s="49"/>
      <c r="X87" s="49"/>
      <c r="Y87" s="49"/>
      <c r="Z87" s="49"/>
      <c r="AA87" s="49"/>
      <c r="AB87" s="49"/>
      <c r="AC87" s="62">
        <f t="shared" si="6"/>
        <v>71</v>
      </c>
      <c r="AD87" s="62">
        <f t="shared" si="5"/>
        <v>3500</v>
      </c>
      <c r="AE87" s="49"/>
      <c r="AF87" s="49"/>
      <c r="AG87" s="49"/>
      <c r="AH87" s="49"/>
      <c r="AI87" s="49"/>
      <c r="AJ87" s="49"/>
      <c r="AK87" s="49"/>
      <c r="AL87" s="49"/>
      <c r="AM87" s="49"/>
      <c r="AN87" s="49"/>
      <c r="AO87" s="49"/>
      <c r="AP87" s="49"/>
      <c r="AQ87" s="49"/>
      <c r="AR87" s="49"/>
      <c r="AS87" s="49"/>
    </row>
    <row r="88" spans="1:45">
      <c r="A88" s="49"/>
      <c r="B88" s="49"/>
      <c r="C88" s="49"/>
      <c r="D88" s="287">
        <v>50</v>
      </c>
      <c r="E88" s="62">
        <v>70300</v>
      </c>
      <c r="F88" s="62" t="s">
        <v>2070</v>
      </c>
      <c r="G88" s="62"/>
      <c r="H88" s="286">
        <v>10</v>
      </c>
      <c r="I88" s="62">
        <v>9</v>
      </c>
      <c r="J88" s="62">
        <v>3</v>
      </c>
      <c r="K88" s="288">
        <v>0.5</v>
      </c>
      <c r="L88" s="289">
        <v>2</v>
      </c>
      <c r="M88" s="288">
        <v>1.5</v>
      </c>
      <c r="N88" s="288">
        <v>1.25</v>
      </c>
      <c r="O88" s="49"/>
      <c r="P88" s="49"/>
      <c r="Q88" s="49"/>
      <c r="R88" s="49"/>
      <c r="S88" s="49"/>
      <c r="T88" s="49"/>
      <c r="U88" s="49"/>
      <c r="V88" s="49"/>
      <c r="W88" s="49"/>
      <c r="X88" s="49"/>
      <c r="Y88" s="49"/>
      <c r="Z88" s="49"/>
      <c r="AA88" s="49"/>
      <c r="AB88" s="49"/>
      <c r="AC88" s="62">
        <f t="shared" si="6"/>
        <v>72</v>
      </c>
      <c r="AD88" s="62">
        <f t="shared" si="5"/>
        <v>3550</v>
      </c>
      <c r="AE88" s="49"/>
      <c r="AF88" s="49"/>
      <c r="AG88" s="49"/>
      <c r="AH88" s="49"/>
      <c r="AI88" s="49"/>
      <c r="AJ88" s="49"/>
      <c r="AK88" s="49"/>
      <c r="AL88" s="49"/>
      <c r="AM88" s="49"/>
      <c r="AN88" s="49"/>
      <c r="AO88" s="49"/>
      <c r="AP88" s="49"/>
      <c r="AQ88" s="49"/>
      <c r="AR88" s="49"/>
      <c r="AS88" s="49"/>
    </row>
    <row r="89" spans="1:45">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62">
        <f t="shared" si="6"/>
        <v>73</v>
      </c>
      <c r="AD89" s="62">
        <f t="shared" si="5"/>
        <v>3600</v>
      </c>
      <c r="AE89" s="49"/>
      <c r="AF89" s="49"/>
      <c r="AG89" s="49"/>
      <c r="AH89" s="49"/>
      <c r="AI89" s="49"/>
      <c r="AJ89" s="49"/>
      <c r="AK89" s="49"/>
      <c r="AL89" s="49"/>
      <c r="AM89" s="49"/>
      <c r="AN89" s="49"/>
      <c r="AO89" s="49"/>
      <c r="AP89" s="49"/>
      <c r="AQ89" s="49"/>
      <c r="AR89" s="49"/>
      <c r="AS89" s="49"/>
    </row>
    <row r="90" spans="1:45">
      <c r="A90" s="49"/>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62">
        <f t="shared" si="6"/>
        <v>74</v>
      </c>
      <c r="AD90" s="62">
        <f t="shared" si="5"/>
        <v>3650</v>
      </c>
      <c r="AE90" s="49"/>
      <c r="AF90" s="49"/>
      <c r="AG90" s="49"/>
      <c r="AH90" s="49"/>
      <c r="AI90" s="49"/>
      <c r="AJ90" s="49"/>
      <c r="AK90" s="49"/>
      <c r="AL90" s="49"/>
      <c r="AM90" s="49"/>
      <c r="AN90" s="49"/>
      <c r="AO90" s="49"/>
      <c r="AP90" s="49"/>
      <c r="AQ90" s="49"/>
      <c r="AR90" s="49"/>
      <c r="AS90" s="49"/>
    </row>
    <row r="91" spans="1:45">
      <c r="A91" s="49"/>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62">
        <f t="shared" si="6"/>
        <v>75</v>
      </c>
      <c r="AD91" s="62">
        <f t="shared" si="5"/>
        <v>3700</v>
      </c>
      <c r="AE91" s="49"/>
      <c r="AF91" s="49"/>
      <c r="AG91" s="49"/>
      <c r="AH91" s="49"/>
      <c r="AI91" s="49"/>
      <c r="AJ91" s="49"/>
      <c r="AK91" s="49"/>
      <c r="AL91" s="49"/>
      <c r="AM91" s="49"/>
      <c r="AN91" s="49"/>
      <c r="AO91" s="49"/>
      <c r="AP91" s="49"/>
      <c r="AQ91" s="49"/>
      <c r="AR91" s="49"/>
      <c r="AS91" s="49"/>
    </row>
    <row r="92" spans="1:45">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62">
        <f t="shared" si="6"/>
        <v>76</v>
      </c>
      <c r="AD92" s="62">
        <f t="shared" si="5"/>
        <v>3750</v>
      </c>
      <c r="AE92" s="49"/>
      <c r="AF92" s="49"/>
      <c r="AG92" s="49"/>
      <c r="AH92" s="49"/>
      <c r="AI92" s="49"/>
      <c r="AJ92" s="49"/>
      <c r="AK92" s="49"/>
      <c r="AL92" s="49"/>
      <c r="AM92" s="49"/>
      <c r="AN92" s="49"/>
      <c r="AO92" s="49"/>
      <c r="AP92" s="49"/>
      <c r="AQ92" s="49"/>
      <c r="AR92" s="49"/>
      <c r="AS92" s="49"/>
    </row>
    <row r="93" spans="1:45">
      <c r="A93" s="49"/>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62">
        <f t="shared" si="6"/>
        <v>77</v>
      </c>
      <c r="AD93" s="62">
        <f t="shared" si="5"/>
        <v>3800</v>
      </c>
      <c r="AE93" s="49"/>
      <c r="AF93" s="49"/>
      <c r="AG93" s="49"/>
      <c r="AH93" s="49"/>
      <c r="AI93" s="49"/>
      <c r="AJ93" s="49"/>
      <c r="AK93" s="49"/>
      <c r="AL93" s="49"/>
      <c r="AM93" s="49"/>
      <c r="AN93" s="49"/>
      <c r="AO93" s="49"/>
      <c r="AP93" s="49"/>
      <c r="AQ93" s="49"/>
      <c r="AR93" s="49"/>
      <c r="AS93" s="49"/>
    </row>
    <row r="94" spans="1:45">
      <c r="A94" s="49"/>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62">
        <f t="shared" si="6"/>
        <v>78</v>
      </c>
      <c r="AD94" s="62">
        <f t="shared" si="5"/>
        <v>3850</v>
      </c>
      <c r="AE94" s="49"/>
      <c r="AF94" s="49"/>
      <c r="AG94" s="49"/>
      <c r="AH94" s="49"/>
      <c r="AI94" s="49"/>
      <c r="AJ94" s="49"/>
      <c r="AK94" s="49"/>
      <c r="AL94" s="49"/>
      <c r="AM94" s="49"/>
      <c r="AN94" s="49"/>
      <c r="AO94" s="49"/>
      <c r="AP94" s="49"/>
      <c r="AQ94" s="49"/>
      <c r="AR94" s="49"/>
      <c r="AS94" s="49"/>
    </row>
    <row r="95" spans="1:45" ht="14.25" customHeight="1">
      <c r="A95" s="49"/>
      <c r="B95" s="49"/>
      <c r="C95" s="49"/>
      <c r="D95" s="236"/>
      <c r="E95" s="236"/>
      <c r="F95" s="236"/>
      <c r="G95" s="49"/>
      <c r="H95" s="49"/>
      <c r="I95" s="49"/>
      <c r="J95" s="49"/>
      <c r="K95" s="49"/>
      <c r="L95" s="49"/>
      <c r="M95" s="49"/>
      <c r="N95" s="49"/>
      <c r="O95" s="49"/>
      <c r="P95" s="49"/>
      <c r="Q95" s="49"/>
      <c r="R95" s="49"/>
      <c r="S95" s="49"/>
      <c r="T95" s="49"/>
      <c r="U95" s="49"/>
      <c r="V95" s="49"/>
      <c r="W95" s="49"/>
      <c r="X95" s="49"/>
      <c r="Y95" s="49"/>
      <c r="Z95" s="49"/>
      <c r="AA95" s="49"/>
      <c r="AB95" s="49"/>
      <c r="AC95" s="62">
        <f t="shared" si="6"/>
        <v>79</v>
      </c>
      <c r="AD95" s="62">
        <f t="shared" si="5"/>
        <v>3900</v>
      </c>
      <c r="AE95" s="49"/>
      <c r="AF95" s="49"/>
      <c r="AG95" s="49"/>
      <c r="AH95" s="49"/>
      <c r="AI95" s="49"/>
      <c r="AJ95" s="49"/>
      <c r="AK95" s="49"/>
      <c r="AL95" s="49"/>
      <c r="AM95" s="49"/>
      <c r="AN95" s="49"/>
      <c r="AO95" s="49"/>
      <c r="AP95" s="49"/>
      <c r="AQ95" s="49"/>
      <c r="AR95" s="49"/>
      <c r="AS95" s="49"/>
    </row>
    <row r="96" spans="1:45" ht="14.25" customHeight="1">
      <c r="A96" s="49"/>
      <c r="B96" s="49"/>
      <c r="C96" s="49"/>
      <c r="D96" s="236"/>
      <c r="E96" s="236"/>
      <c r="F96" s="236"/>
      <c r="G96" s="49"/>
      <c r="H96" s="49"/>
      <c r="I96" s="49"/>
      <c r="J96" s="49"/>
      <c r="K96" s="49"/>
      <c r="L96" s="49"/>
      <c r="M96" s="49"/>
      <c r="N96" s="49"/>
      <c r="O96" s="49"/>
      <c r="P96" s="49"/>
      <c r="Q96" s="49"/>
      <c r="R96" s="49"/>
      <c r="S96" s="49"/>
      <c r="T96" s="49"/>
      <c r="U96" s="49"/>
      <c r="V96" s="49"/>
      <c r="W96" s="49"/>
      <c r="X96" s="49"/>
      <c r="Y96" s="49"/>
      <c r="Z96" s="49"/>
      <c r="AA96" s="49"/>
      <c r="AB96" s="49"/>
      <c r="AC96" s="62">
        <f t="shared" si="6"/>
        <v>80</v>
      </c>
      <c r="AD96" s="62">
        <f t="shared" si="5"/>
        <v>3950</v>
      </c>
      <c r="AE96" s="49"/>
      <c r="AF96" s="49"/>
      <c r="AG96" s="49"/>
      <c r="AH96" s="49"/>
      <c r="AI96" s="49"/>
      <c r="AJ96" s="49"/>
      <c r="AK96" s="49"/>
      <c r="AL96" s="49"/>
      <c r="AM96" s="49"/>
      <c r="AN96" s="49"/>
      <c r="AO96" s="49"/>
      <c r="AP96" s="49"/>
      <c r="AQ96" s="49"/>
      <c r="AR96" s="49"/>
      <c r="AS96" s="49"/>
    </row>
    <row r="97" spans="1:45">
      <c r="A97" s="49"/>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62">
        <f t="shared" si="6"/>
        <v>81</v>
      </c>
      <c r="AD97" s="62">
        <f t="shared" si="5"/>
        <v>4000</v>
      </c>
      <c r="AE97" s="49"/>
      <c r="AF97" s="49"/>
      <c r="AG97" s="49"/>
      <c r="AH97" s="49"/>
      <c r="AI97" s="49"/>
      <c r="AJ97" s="49"/>
      <c r="AK97" s="49"/>
      <c r="AL97" s="49"/>
      <c r="AM97" s="49"/>
      <c r="AN97" s="49"/>
      <c r="AO97" s="49"/>
      <c r="AP97" s="49"/>
      <c r="AQ97" s="49"/>
      <c r="AR97" s="49"/>
      <c r="AS97" s="49"/>
    </row>
    <row r="98" spans="1:45">
      <c r="A98" s="49"/>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62">
        <f t="shared" si="6"/>
        <v>82</v>
      </c>
      <c r="AD98" s="62">
        <f t="shared" si="5"/>
        <v>4050</v>
      </c>
      <c r="AE98" s="49"/>
      <c r="AF98" s="49"/>
      <c r="AG98" s="49"/>
      <c r="AH98" s="49"/>
      <c r="AI98" s="49"/>
      <c r="AJ98" s="49"/>
      <c r="AK98" s="49"/>
      <c r="AL98" s="49"/>
      <c r="AM98" s="49"/>
      <c r="AN98" s="49"/>
      <c r="AO98" s="49"/>
      <c r="AP98" s="49"/>
      <c r="AQ98" s="49"/>
      <c r="AR98" s="49"/>
      <c r="AS98" s="49"/>
    </row>
    <row r="99" spans="1:45">
      <c r="A99" s="49"/>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62">
        <f t="shared" si="6"/>
        <v>83</v>
      </c>
      <c r="AD99" s="62">
        <f t="shared" si="5"/>
        <v>4100</v>
      </c>
      <c r="AE99" s="49"/>
      <c r="AF99" s="49"/>
      <c r="AG99" s="49"/>
      <c r="AH99" s="49"/>
      <c r="AI99" s="49"/>
      <c r="AJ99" s="49"/>
      <c r="AK99" s="49"/>
      <c r="AL99" s="49"/>
      <c r="AM99" s="49"/>
      <c r="AN99" s="49"/>
      <c r="AO99" s="49"/>
      <c r="AP99" s="49"/>
      <c r="AQ99" s="49"/>
      <c r="AR99" s="49"/>
      <c r="AS99" s="49"/>
    </row>
    <row r="100" spans="1:45">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62">
        <f t="shared" si="6"/>
        <v>84</v>
      </c>
      <c r="AD100" s="62">
        <f t="shared" si="5"/>
        <v>4150</v>
      </c>
      <c r="AE100" s="49"/>
      <c r="AF100" s="49"/>
      <c r="AG100" s="49"/>
      <c r="AH100" s="49"/>
      <c r="AI100" s="49"/>
      <c r="AJ100" s="49"/>
      <c r="AK100" s="49"/>
      <c r="AL100" s="49"/>
      <c r="AM100" s="49"/>
      <c r="AN100" s="49"/>
      <c r="AO100" s="49"/>
      <c r="AP100" s="49"/>
      <c r="AQ100" s="49"/>
      <c r="AR100" s="49"/>
      <c r="AS100" s="49"/>
    </row>
    <row r="101" spans="1:45">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62">
        <f t="shared" si="6"/>
        <v>85</v>
      </c>
      <c r="AD101" s="62">
        <f t="shared" si="5"/>
        <v>4200</v>
      </c>
      <c r="AE101" s="49"/>
      <c r="AF101" s="49"/>
      <c r="AG101" s="49"/>
      <c r="AH101" s="49"/>
      <c r="AI101" s="49"/>
      <c r="AJ101" s="49"/>
      <c r="AK101" s="49"/>
      <c r="AL101" s="49"/>
      <c r="AM101" s="49"/>
      <c r="AN101" s="49"/>
      <c r="AO101" s="49"/>
      <c r="AP101" s="49"/>
      <c r="AQ101" s="49"/>
      <c r="AR101" s="49"/>
      <c r="AS101" s="49"/>
    </row>
    <row r="102" spans="1:45">
      <c r="A102" s="49"/>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62">
        <f t="shared" si="6"/>
        <v>86</v>
      </c>
      <c r="AD102" s="62">
        <f t="shared" si="5"/>
        <v>4250</v>
      </c>
      <c r="AE102" s="49"/>
      <c r="AF102" s="49"/>
      <c r="AG102" s="49"/>
      <c r="AH102" s="49"/>
      <c r="AI102" s="49"/>
      <c r="AJ102" s="49"/>
      <c r="AK102" s="49"/>
      <c r="AL102" s="49"/>
      <c r="AM102" s="49"/>
      <c r="AN102" s="49"/>
      <c r="AO102" s="49"/>
      <c r="AP102" s="49"/>
      <c r="AQ102" s="49"/>
      <c r="AR102" s="49"/>
      <c r="AS102" s="49"/>
    </row>
    <row r="103" spans="1:45">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62">
        <f t="shared" si="6"/>
        <v>87</v>
      </c>
      <c r="AD103" s="62">
        <f t="shared" si="5"/>
        <v>4300</v>
      </c>
      <c r="AE103" s="49"/>
      <c r="AF103" s="49"/>
      <c r="AG103" s="49"/>
      <c r="AH103" s="49"/>
      <c r="AI103" s="49"/>
      <c r="AJ103" s="49"/>
      <c r="AK103" s="49"/>
      <c r="AL103" s="49"/>
      <c r="AM103" s="49"/>
      <c r="AN103" s="49"/>
      <c r="AO103" s="49"/>
      <c r="AP103" s="49"/>
      <c r="AQ103" s="49"/>
      <c r="AR103" s="49"/>
      <c r="AS103" s="49"/>
    </row>
    <row r="104" spans="1:45">
      <c r="A104" s="49"/>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62">
        <f t="shared" si="6"/>
        <v>88</v>
      </c>
      <c r="AD104" s="62">
        <f t="shared" si="5"/>
        <v>4350</v>
      </c>
      <c r="AE104" s="49"/>
      <c r="AF104" s="49"/>
      <c r="AG104" s="49"/>
      <c r="AH104" s="49"/>
      <c r="AI104" s="49"/>
      <c r="AJ104" s="49"/>
      <c r="AK104" s="49"/>
      <c r="AL104" s="49"/>
      <c r="AM104" s="49"/>
      <c r="AN104" s="49"/>
      <c r="AO104" s="49"/>
      <c r="AP104" s="49"/>
      <c r="AQ104" s="49"/>
      <c r="AR104" s="49"/>
      <c r="AS104" s="49"/>
    </row>
    <row r="105" spans="1:45">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62">
        <f t="shared" si="6"/>
        <v>89</v>
      </c>
      <c r="AD105" s="62">
        <f t="shared" si="5"/>
        <v>4400</v>
      </c>
      <c r="AE105" s="49"/>
      <c r="AF105" s="49"/>
      <c r="AG105" s="49"/>
      <c r="AH105" s="49"/>
      <c r="AI105" s="49"/>
      <c r="AJ105" s="49"/>
      <c r="AK105" s="49"/>
      <c r="AL105" s="49"/>
      <c r="AM105" s="49"/>
      <c r="AN105" s="49"/>
      <c r="AO105" s="49"/>
      <c r="AP105" s="49"/>
      <c r="AQ105" s="49"/>
      <c r="AR105" s="49"/>
      <c r="AS105" s="49"/>
    </row>
    <row r="106" spans="1:45">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62">
        <f t="shared" si="6"/>
        <v>90</v>
      </c>
      <c r="AD106" s="62">
        <f t="shared" si="5"/>
        <v>4450</v>
      </c>
      <c r="AE106" s="49"/>
      <c r="AF106" s="49"/>
      <c r="AG106" s="49"/>
      <c r="AH106" s="49"/>
      <c r="AI106" s="49"/>
      <c r="AJ106" s="49"/>
      <c r="AK106" s="49"/>
      <c r="AL106" s="49"/>
      <c r="AM106" s="49"/>
      <c r="AN106" s="49"/>
      <c r="AO106" s="49"/>
      <c r="AP106" s="49"/>
      <c r="AQ106" s="49"/>
      <c r="AR106" s="49"/>
      <c r="AS106" s="49"/>
    </row>
    <row r="107" spans="1:45">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62">
        <f t="shared" si="6"/>
        <v>91</v>
      </c>
      <c r="AD107" s="62">
        <f t="shared" si="5"/>
        <v>4500</v>
      </c>
      <c r="AE107" s="49"/>
      <c r="AF107" s="49"/>
      <c r="AG107" s="49"/>
      <c r="AH107" s="49"/>
      <c r="AI107" s="49"/>
      <c r="AJ107" s="49"/>
      <c r="AK107" s="49"/>
      <c r="AL107" s="49"/>
      <c r="AM107" s="49"/>
      <c r="AN107" s="49"/>
      <c r="AO107" s="49"/>
      <c r="AP107" s="49"/>
      <c r="AQ107" s="49"/>
      <c r="AR107" s="49"/>
      <c r="AS107" s="49"/>
    </row>
    <row r="108" spans="1:45">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62">
        <f t="shared" si="6"/>
        <v>92</v>
      </c>
      <c r="AD108" s="62">
        <f t="shared" si="5"/>
        <v>4550</v>
      </c>
      <c r="AE108" s="49"/>
      <c r="AF108" s="49"/>
      <c r="AG108" s="49"/>
      <c r="AH108" s="49"/>
      <c r="AI108" s="49"/>
      <c r="AJ108" s="49"/>
      <c r="AK108" s="49"/>
      <c r="AL108" s="49"/>
      <c r="AM108" s="49"/>
      <c r="AN108" s="49"/>
      <c r="AO108" s="49"/>
      <c r="AP108" s="49"/>
      <c r="AQ108" s="49"/>
      <c r="AR108" s="49"/>
      <c r="AS108" s="49"/>
    </row>
    <row r="109" spans="1:45">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62">
        <f t="shared" si="6"/>
        <v>93</v>
      </c>
      <c r="AD109" s="62">
        <f t="shared" si="5"/>
        <v>4600</v>
      </c>
      <c r="AE109" s="49"/>
      <c r="AF109" s="49"/>
      <c r="AG109" s="49"/>
      <c r="AH109" s="49"/>
      <c r="AI109" s="49"/>
      <c r="AJ109" s="49"/>
      <c r="AK109" s="49"/>
      <c r="AL109" s="49"/>
      <c r="AM109" s="49"/>
      <c r="AN109" s="49"/>
      <c r="AO109" s="49"/>
      <c r="AP109" s="49"/>
      <c r="AQ109" s="49"/>
      <c r="AR109" s="49"/>
      <c r="AS109" s="49"/>
    </row>
    <row r="110" spans="1:45">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62">
        <f t="shared" si="6"/>
        <v>94</v>
      </c>
      <c r="AD110" s="62">
        <f t="shared" si="5"/>
        <v>4650</v>
      </c>
      <c r="AE110" s="49"/>
      <c r="AF110" s="49"/>
      <c r="AG110" s="49"/>
      <c r="AH110" s="49"/>
      <c r="AI110" s="49"/>
      <c r="AJ110" s="49"/>
      <c r="AK110" s="49"/>
      <c r="AL110" s="49"/>
      <c r="AM110" s="49"/>
      <c r="AN110" s="49"/>
      <c r="AO110" s="49"/>
      <c r="AP110" s="49"/>
      <c r="AQ110" s="49"/>
      <c r="AR110" s="49"/>
      <c r="AS110" s="49"/>
    </row>
    <row r="111" spans="1:45">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62">
        <f t="shared" si="6"/>
        <v>95</v>
      </c>
      <c r="AD111" s="62">
        <f t="shared" si="5"/>
        <v>4700</v>
      </c>
      <c r="AE111" s="49"/>
      <c r="AF111" s="49"/>
      <c r="AG111" s="49"/>
      <c r="AH111" s="49"/>
      <c r="AI111" s="49"/>
      <c r="AJ111" s="49"/>
      <c r="AK111" s="49"/>
      <c r="AL111" s="49"/>
      <c r="AM111" s="49"/>
      <c r="AN111" s="49"/>
      <c r="AO111" s="49"/>
      <c r="AP111" s="49"/>
      <c r="AQ111" s="49"/>
      <c r="AR111" s="49"/>
      <c r="AS111" s="49"/>
    </row>
    <row r="112" spans="1:45">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62">
        <f t="shared" si="6"/>
        <v>96</v>
      </c>
      <c r="AD112" s="62">
        <f t="shared" si="5"/>
        <v>4750</v>
      </c>
      <c r="AE112" s="49"/>
      <c r="AF112" s="49"/>
      <c r="AG112" s="49"/>
      <c r="AH112" s="49"/>
      <c r="AI112" s="49"/>
      <c r="AJ112" s="49"/>
      <c r="AK112" s="49"/>
      <c r="AL112" s="49"/>
      <c r="AM112" s="49"/>
      <c r="AN112" s="49"/>
      <c r="AO112" s="49"/>
      <c r="AP112" s="49"/>
      <c r="AQ112" s="49"/>
      <c r="AR112" s="49"/>
      <c r="AS112" s="49"/>
    </row>
    <row r="113" spans="1:45">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62">
        <f t="shared" si="6"/>
        <v>97</v>
      </c>
      <c r="AD113" s="62">
        <f t="shared" si="5"/>
        <v>4800</v>
      </c>
      <c r="AE113" s="49"/>
      <c r="AF113" s="49"/>
      <c r="AG113" s="49"/>
      <c r="AH113" s="49"/>
      <c r="AI113" s="49"/>
      <c r="AJ113" s="49"/>
      <c r="AK113" s="49"/>
      <c r="AL113" s="49"/>
      <c r="AM113" s="49"/>
      <c r="AN113" s="49"/>
      <c r="AO113" s="49"/>
      <c r="AP113" s="49"/>
      <c r="AQ113" s="49"/>
      <c r="AR113" s="49"/>
      <c r="AS113" s="49"/>
    </row>
    <row r="114" spans="1:45">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62">
        <f t="shared" si="6"/>
        <v>98</v>
      </c>
      <c r="AD114" s="62">
        <f t="shared" si="5"/>
        <v>4850</v>
      </c>
      <c r="AE114" s="49"/>
      <c r="AF114" s="49"/>
      <c r="AG114" s="49"/>
      <c r="AH114" s="49"/>
      <c r="AI114" s="49"/>
      <c r="AJ114" s="49"/>
      <c r="AK114" s="49"/>
      <c r="AL114" s="49"/>
      <c r="AM114" s="49"/>
      <c r="AN114" s="49"/>
      <c r="AO114" s="49"/>
      <c r="AP114" s="49"/>
      <c r="AQ114" s="49"/>
      <c r="AR114" s="49"/>
      <c r="AS114" s="49"/>
    </row>
    <row r="115" spans="1:45">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62">
        <f t="shared" si="6"/>
        <v>99</v>
      </c>
      <c r="AD115" s="62">
        <f t="shared" si="5"/>
        <v>4900</v>
      </c>
      <c r="AE115" s="49"/>
      <c r="AF115" s="49"/>
      <c r="AG115" s="49"/>
      <c r="AH115" s="49"/>
      <c r="AI115" s="49"/>
      <c r="AJ115" s="49"/>
      <c r="AK115" s="49"/>
      <c r="AL115" s="49"/>
      <c r="AM115" s="49"/>
      <c r="AN115" s="49"/>
      <c r="AO115" s="49"/>
      <c r="AP115" s="49"/>
      <c r="AQ115" s="49"/>
      <c r="AR115" s="49"/>
      <c r="AS115" s="49"/>
    </row>
    <row r="116" spans="1:45">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62">
        <f t="shared" si="6"/>
        <v>100</v>
      </c>
      <c r="AD116" s="62">
        <f t="shared" si="5"/>
        <v>4950</v>
      </c>
      <c r="AE116" s="49"/>
      <c r="AF116" s="49"/>
      <c r="AG116" s="49"/>
      <c r="AH116" s="49"/>
      <c r="AI116" s="49"/>
      <c r="AJ116" s="49"/>
      <c r="AK116" s="49"/>
      <c r="AL116" s="49"/>
      <c r="AM116" s="49"/>
      <c r="AN116" s="49"/>
      <c r="AO116" s="49"/>
      <c r="AP116" s="49"/>
      <c r="AQ116" s="49"/>
      <c r="AR116" s="49"/>
      <c r="AS116" s="49"/>
    </row>
    <row r="117" spans="1:45">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62">
        <f t="shared" si="6"/>
        <v>101</v>
      </c>
      <c r="AD117" s="62">
        <f t="shared" si="5"/>
        <v>5000</v>
      </c>
      <c r="AE117" s="49"/>
      <c r="AF117" s="49"/>
      <c r="AG117" s="49"/>
      <c r="AH117" s="49"/>
      <c r="AI117" s="49"/>
      <c r="AJ117" s="49"/>
      <c r="AK117" s="49"/>
      <c r="AL117" s="49"/>
      <c r="AM117" s="49"/>
      <c r="AN117" s="49"/>
      <c r="AO117" s="49"/>
      <c r="AP117" s="49"/>
      <c r="AQ117" s="49"/>
      <c r="AR117" s="49"/>
      <c r="AS117" s="49"/>
    </row>
    <row r="118" spans="1:45">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row>
    <row r="119" spans="1:45">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row>
    <row r="120" spans="1:45">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row>
    <row r="121" spans="1:45">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row>
    <row r="122" spans="1:45">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row>
    <row r="123" spans="1:45">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row>
    <row r="124" spans="1:45">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row>
    <row r="125" spans="1:45">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row>
    <row r="126" spans="1:45">
      <c r="A126" s="295"/>
      <c r="B126" s="295"/>
      <c r="C126" s="295"/>
      <c r="D126" s="295"/>
      <c r="E126" s="295"/>
      <c r="F126" s="295"/>
      <c r="G126" s="295"/>
      <c r="H126" s="295"/>
      <c r="I126" s="295"/>
      <c r="J126" s="295"/>
      <c r="K126" s="295"/>
      <c r="L126" s="295"/>
      <c r="M126" s="295"/>
      <c r="N126" s="295"/>
      <c r="O126" s="295"/>
    </row>
    <row r="127" spans="1:45">
      <c r="A127" s="295"/>
      <c r="B127" s="295"/>
      <c r="C127" s="295"/>
      <c r="D127" s="295"/>
      <c r="E127" s="295"/>
      <c r="F127" s="295"/>
      <c r="G127" s="295"/>
      <c r="H127" s="295"/>
      <c r="I127" s="295"/>
      <c r="J127" s="295"/>
      <c r="K127" s="295"/>
      <c r="L127" s="295"/>
      <c r="M127" s="295"/>
      <c r="N127" s="295"/>
      <c r="O127" s="295"/>
    </row>
    <row r="128" spans="1:45">
      <c r="A128" s="295"/>
      <c r="B128" s="295"/>
      <c r="C128" s="295"/>
      <c r="D128" s="295"/>
      <c r="E128" s="295"/>
      <c r="F128" s="295"/>
      <c r="G128" s="295"/>
      <c r="H128" s="295"/>
      <c r="I128" s="295"/>
      <c r="J128" s="295"/>
      <c r="K128" s="295"/>
      <c r="L128" s="295"/>
      <c r="M128" s="295"/>
      <c r="N128" s="295"/>
      <c r="O128" s="295"/>
    </row>
    <row r="129" spans="1:15">
      <c r="A129" s="295"/>
      <c r="B129" s="295"/>
      <c r="C129" s="295"/>
      <c r="D129" s="295"/>
      <c r="E129" s="295"/>
      <c r="F129" s="295"/>
      <c r="G129" s="295"/>
      <c r="H129" s="295"/>
      <c r="I129" s="295"/>
      <c r="J129" s="295"/>
      <c r="K129" s="295"/>
      <c r="L129" s="295"/>
      <c r="M129" s="295"/>
      <c r="N129" s="295"/>
      <c r="O129" s="295"/>
    </row>
    <row r="130" spans="1:15">
      <c r="A130" s="295"/>
      <c r="B130" s="295"/>
      <c r="C130" s="295"/>
      <c r="D130" s="295"/>
      <c r="E130" s="295"/>
      <c r="F130" s="295"/>
      <c r="G130" s="295"/>
      <c r="H130" s="295"/>
      <c r="I130" s="295"/>
      <c r="J130" s="295"/>
      <c r="K130" s="295"/>
      <c r="L130" s="295"/>
      <c r="M130" s="295"/>
      <c r="N130" s="295"/>
      <c r="O130" s="295"/>
    </row>
    <row r="131" spans="1:15">
      <c r="A131" s="295"/>
      <c r="B131" s="295"/>
      <c r="C131" s="295"/>
      <c r="D131" s="295"/>
      <c r="E131" s="295"/>
      <c r="F131" s="295"/>
      <c r="G131" s="295"/>
      <c r="H131" s="295"/>
      <c r="I131" s="295"/>
      <c r="J131" s="295"/>
      <c r="K131" s="295"/>
      <c r="L131" s="295"/>
      <c r="M131" s="295"/>
      <c r="N131" s="295"/>
      <c r="O131" s="295"/>
    </row>
    <row r="132" spans="1:15">
      <c r="A132" s="295"/>
      <c r="B132" s="295"/>
      <c r="C132" s="295"/>
      <c r="D132" s="295"/>
      <c r="E132" s="295"/>
      <c r="F132" s="295"/>
      <c r="G132" s="295"/>
      <c r="H132" s="295"/>
      <c r="I132" s="295"/>
      <c r="J132" s="295"/>
      <c r="K132" s="295"/>
      <c r="L132" s="295"/>
      <c r="M132" s="295"/>
      <c r="N132" s="295"/>
      <c r="O132" s="295"/>
    </row>
    <row r="133" spans="1:15">
      <c r="A133" s="295"/>
      <c r="B133" s="295"/>
      <c r="C133" s="295"/>
      <c r="D133" s="295"/>
      <c r="E133" s="295"/>
      <c r="F133" s="295"/>
      <c r="G133" s="295"/>
      <c r="H133" s="295"/>
      <c r="I133" s="295"/>
      <c r="J133" s="295"/>
      <c r="K133" s="295"/>
      <c r="L133" s="295"/>
      <c r="M133" s="295"/>
      <c r="N133" s="295"/>
      <c r="O133" s="295"/>
    </row>
    <row r="134" spans="1:15">
      <c r="A134" s="295"/>
      <c r="B134" s="295"/>
      <c r="C134" s="295"/>
      <c r="D134" s="295"/>
      <c r="E134" s="295"/>
      <c r="F134" s="295"/>
      <c r="G134" s="295"/>
      <c r="H134" s="295"/>
      <c r="I134" s="295"/>
      <c r="J134" s="295"/>
      <c r="K134" s="295"/>
      <c r="L134" s="295"/>
      <c r="M134" s="295"/>
      <c r="N134" s="295"/>
      <c r="O134" s="295"/>
    </row>
    <row r="135" spans="1:15">
      <c r="A135" s="295"/>
      <c r="B135" s="295"/>
      <c r="C135" s="295"/>
      <c r="D135" s="295"/>
      <c r="E135" s="295"/>
      <c r="F135" s="295"/>
      <c r="G135" s="295"/>
      <c r="H135" s="295"/>
      <c r="I135" s="295"/>
      <c r="J135" s="295"/>
      <c r="K135" s="295"/>
      <c r="L135" s="295"/>
      <c r="M135" s="295"/>
      <c r="N135" s="295"/>
      <c r="O135" s="295"/>
    </row>
    <row r="136" spans="1:15">
      <c r="A136" s="295"/>
      <c r="B136" s="295"/>
      <c r="C136" s="295"/>
      <c r="D136" s="295"/>
      <c r="E136" s="295"/>
      <c r="F136" s="295"/>
      <c r="G136" s="295"/>
      <c r="H136" s="295"/>
      <c r="I136" s="295"/>
      <c r="J136" s="295"/>
      <c r="K136" s="295"/>
      <c r="L136" s="295"/>
      <c r="M136" s="295"/>
      <c r="N136" s="295"/>
      <c r="O136" s="295"/>
    </row>
    <row r="137" spans="1:15">
      <c r="A137" s="295"/>
      <c r="B137" s="295"/>
      <c r="C137" s="295"/>
      <c r="D137" s="295"/>
      <c r="E137" s="295"/>
      <c r="F137" s="295"/>
      <c r="G137" s="295"/>
      <c r="H137" s="295"/>
      <c r="I137" s="295"/>
      <c r="J137" s="295"/>
      <c r="K137" s="295"/>
      <c r="L137" s="295"/>
      <c r="M137" s="295"/>
      <c r="N137" s="295"/>
      <c r="O137" s="295"/>
    </row>
    <row r="138" spans="1:15">
      <c r="A138" s="295"/>
      <c r="B138" s="295"/>
      <c r="C138" s="295"/>
      <c r="D138" s="295"/>
      <c r="E138" s="295"/>
      <c r="F138" s="295"/>
      <c r="G138" s="295"/>
      <c r="H138" s="295"/>
      <c r="I138" s="295"/>
      <c r="J138" s="295"/>
      <c r="K138" s="295"/>
      <c r="L138" s="295"/>
      <c r="M138" s="295"/>
      <c r="N138" s="295"/>
      <c r="O138" s="295"/>
    </row>
    <row r="139" spans="1:15">
      <c r="A139" s="295"/>
      <c r="B139" s="295"/>
      <c r="C139" s="295"/>
      <c r="D139" s="295"/>
      <c r="E139" s="295"/>
      <c r="F139" s="295"/>
      <c r="G139" s="295"/>
      <c r="H139" s="295"/>
      <c r="I139" s="295"/>
      <c r="J139" s="295"/>
      <c r="K139" s="295"/>
      <c r="L139" s="295"/>
      <c r="M139" s="295"/>
      <c r="N139" s="295"/>
      <c r="O139" s="295"/>
    </row>
    <row r="140" spans="1:15">
      <c r="A140" s="295"/>
      <c r="B140" s="295"/>
      <c r="C140" s="295"/>
      <c r="D140" s="295"/>
      <c r="E140" s="295"/>
      <c r="F140" s="295"/>
      <c r="G140" s="295"/>
      <c r="H140" s="295"/>
      <c r="I140" s="295"/>
      <c r="J140" s="295"/>
      <c r="K140" s="295"/>
      <c r="L140" s="295"/>
      <c r="M140" s="295"/>
      <c r="N140" s="295"/>
      <c r="O140" s="295"/>
    </row>
    <row r="141" spans="1:15">
      <c r="A141" s="295"/>
      <c r="B141" s="295"/>
      <c r="C141" s="295"/>
      <c r="D141" s="295"/>
      <c r="E141" s="295"/>
      <c r="F141" s="295"/>
      <c r="G141" s="295"/>
      <c r="H141" s="295"/>
      <c r="I141" s="295"/>
      <c r="J141" s="295"/>
      <c r="K141" s="295"/>
      <c r="L141" s="295"/>
      <c r="M141" s="295"/>
      <c r="N141" s="295"/>
      <c r="O141" s="295"/>
    </row>
    <row r="142" spans="1:15">
      <c r="A142" s="295"/>
      <c r="B142" s="295"/>
      <c r="C142" s="295"/>
      <c r="D142" s="295"/>
      <c r="E142" s="295"/>
      <c r="F142" s="295"/>
      <c r="G142" s="295"/>
      <c r="H142" s="295"/>
      <c r="I142" s="295"/>
      <c r="J142" s="295"/>
      <c r="K142" s="295"/>
      <c r="L142" s="295"/>
      <c r="M142" s="295"/>
      <c r="N142" s="295"/>
      <c r="O142" s="295"/>
    </row>
    <row r="143" spans="1:15">
      <c r="A143" s="295"/>
      <c r="B143" s="295"/>
      <c r="C143" s="295"/>
      <c r="D143" s="295"/>
      <c r="E143" s="295"/>
      <c r="F143" s="295"/>
      <c r="G143" s="295"/>
      <c r="H143" s="295"/>
      <c r="I143" s="295"/>
      <c r="J143" s="295"/>
      <c r="K143" s="295"/>
      <c r="L143" s="295"/>
      <c r="M143" s="295"/>
      <c r="N143" s="295"/>
      <c r="O143" s="295"/>
    </row>
    <row r="144" spans="1:15">
      <c r="A144" s="295"/>
      <c r="B144" s="295"/>
      <c r="C144" s="295"/>
      <c r="D144" s="295"/>
      <c r="E144" s="295"/>
      <c r="F144" s="295"/>
      <c r="G144" s="295"/>
      <c r="H144" s="295"/>
      <c r="I144" s="295"/>
      <c r="J144" s="295"/>
      <c r="K144" s="295"/>
      <c r="L144" s="295"/>
      <c r="M144" s="295"/>
      <c r="N144" s="295"/>
      <c r="O144" s="295"/>
    </row>
    <row r="145" spans="1:15">
      <c r="A145" s="295"/>
      <c r="B145" s="295"/>
      <c r="C145" s="295"/>
      <c r="D145" s="295"/>
      <c r="E145" s="295"/>
      <c r="F145" s="295"/>
      <c r="G145" s="295"/>
      <c r="H145" s="295"/>
      <c r="I145" s="295"/>
      <c r="J145" s="295"/>
      <c r="K145" s="295"/>
      <c r="L145" s="295"/>
      <c r="M145" s="295"/>
      <c r="N145" s="295"/>
      <c r="O145" s="295"/>
    </row>
    <row r="146" spans="1:15">
      <c r="A146" s="295"/>
      <c r="B146" s="295"/>
      <c r="C146" s="295"/>
      <c r="D146" s="295"/>
      <c r="E146" s="295"/>
      <c r="F146" s="295"/>
      <c r="G146" s="295"/>
      <c r="H146" s="295"/>
      <c r="I146" s="295"/>
      <c r="J146" s="295"/>
      <c r="K146" s="295"/>
      <c r="L146" s="295"/>
      <c r="M146" s="295"/>
      <c r="N146" s="295"/>
      <c r="O146" s="295"/>
    </row>
    <row r="147" spans="1:15">
      <c r="A147" s="295"/>
      <c r="B147" s="295"/>
      <c r="C147" s="295"/>
      <c r="D147" s="295"/>
      <c r="E147" s="295"/>
      <c r="F147" s="295"/>
      <c r="G147" s="295"/>
      <c r="H147" s="295"/>
      <c r="I147" s="295"/>
      <c r="J147" s="295"/>
      <c r="K147" s="295"/>
      <c r="L147" s="295"/>
      <c r="M147" s="295"/>
      <c r="N147" s="295"/>
      <c r="O147" s="295"/>
    </row>
    <row r="148" spans="1:15">
      <c r="A148" s="295"/>
      <c r="B148" s="295"/>
      <c r="C148" s="295"/>
      <c r="D148" s="295"/>
      <c r="E148" s="295"/>
      <c r="F148" s="295"/>
      <c r="G148" s="295"/>
      <c r="H148" s="295"/>
      <c r="I148" s="295"/>
      <c r="J148" s="295"/>
      <c r="K148" s="295"/>
      <c r="L148" s="295"/>
      <c r="M148" s="295"/>
      <c r="N148" s="295"/>
      <c r="O148" s="295"/>
    </row>
    <row r="149" spans="1:15">
      <c r="A149" s="295"/>
      <c r="B149" s="295"/>
      <c r="C149" s="295"/>
      <c r="D149" s="295"/>
      <c r="E149" s="295"/>
      <c r="F149" s="295"/>
      <c r="G149" s="295"/>
      <c r="H149" s="295"/>
      <c r="I149" s="295"/>
      <c r="J149" s="295"/>
      <c r="K149" s="295"/>
      <c r="L149" s="295"/>
      <c r="M149" s="295"/>
      <c r="N149" s="295"/>
      <c r="O149" s="295"/>
    </row>
    <row r="150" spans="1:15">
      <c r="A150" s="295"/>
      <c r="B150" s="295"/>
      <c r="C150" s="295"/>
      <c r="D150" s="295"/>
      <c r="E150" s="295"/>
      <c r="F150" s="295"/>
      <c r="G150" s="295"/>
      <c r="H150" s="295"/>
      <c r="I150" s="295"/>
      <c r="J150" s="295"/>
      <c r="K150" s="295"/>
      <c r="L150" s="295"/>
      <c r="M150" s="295"/>
      <c r="N150" s="295"/>
      <c r="O150" s="295"/>
    </row>
    <row r="151" spans="1:15">
      <c r="A151" s="295"/>
      <c r="B151" s="295"/>
      <c r="C151" s="295"/>
      <c r="D151" s="295"/>
      <c r="E151" s="295"/>
      <c r="F151" s="295"/>
      <c r="G151" s="295"/>
      <c r="H151" s="295"/>
      <c r="I151" s="295"/>
      <c r="J151" s="295"/>
      <c r="K151" s="295"/>
      <c r="L151" s="295"/>
      <c r="M151" s="295"/>
      <c r="N151" s="295"/>
      <c r="O151" s="295"/>
    </row>
    <row r="152" spans="1:15">
      <c r="A152" s="295"/>
      <c r="B152" s="295"/>
      <c r="C152" s="295"/>
      <c r="D152" s="295"/>
      <c r="E152" s="295"/>
      <c r="F152" s="295"/>
      <c r="G152" s="295"/>
      <c r="H152" s="295"/>
      <c r="I152" s="295"/>
      <c r="J152" s="295"/>
      <c r="K152" s="295"/>
      <c r="L152" s="295"/>
      <c r="M152" s="295"/>
      <c r="N152" s="295"/>
      <c r="O152" s="295"/>
    </row>
    <row r="153" spans="1:15">
      <c r="A153" s="295"/>
      <c r="B153" s="295"/>
      <c r="C153" s="295"/>
      <c r="D153" s="295"/>
      <c r="E153" s="295"/>
      <c r="F153" s="295"/>
      <c r="G153" s="295"/>
      <c r="H153" s="295"/>
      <c r="I153" s="295"/>
      <c r="J153" s="295"/>
      <c r="K153" s="295"/>
      <c r="L153" s="295"/>
      <c r="M153" s="295"/>
      <c r="N153" s="295"/>
      <c r="O153" s="295"/>
    </row>
    <row r="154" spans="1:15">
      <c r="A154" s="295"/>
      <c r="B154" s="295"/>
      <c r="C154" s="295"/>
      <c r="D154" s="295"/>
      <c r="E154" s="295"/>
      <c r="F154" s="295"/>
      <c r="G154" s="295"/>
      <c r="H154" s="295"/>
      <c r="I154" s="295"/>
      <c r="J154" s="295"/>
      <c r="K154" s="295"/>
      <c r="L154" s="295"/>
      <c r="M154" s="295"/>
      <c r="N154" s="295"/>
      <c r="O154" s="295"/>
    </row>
    <row r="155" spans="1:15">
      <c r="A155" s="295"/>
      <c r="B155" s="295"/>
      <c r="C155" s="295"/>
      <c r="D155" s="295"/>
      <c r="E155" s="295"/>
      <c r="F155" s="295"/>
      <c r="G155" s="295"/>
      <c r="H155" s="295"/>
      <c r="I155" s="295"/>
      <c r="J155" s="295"/>
      <c r="K155" s="295"/>
      <c r="L155" s="295"/>
      <c r="M155" s="295"/>
      <c r="N155" s="295"/>
      <c r="O155" s="295"/>
    </row>
    <row r="156" spans="1:15">
      <c r="A156" s="295"/>
      <c r="B156" s="295"/>
      <c r="C156" s="295"/>
      <c r="D156" s="295"/>
      <c r="E156" s="295"/>
      <c r="F156" s="295"/>
      <c r="G156" s="295"/>
      <c r="H156" s="295"/>
      <c r="I156" s="295"/>
      <c r="J156" s="295"/>
      <c r="K156" s="295"/>
      <c r="L156" s="295"/>
      <c r="M156" s="295"/>
      <c r="N156" s="295"/>
      <c r="O156" s="295"/>
    </row>
    <row r="157" spans="1:15">
      <c r="A157" s="295"/>
      <c r="B157" s="295"/>
      <c r="C157" s="295"/>
      <c r="D157" s="295"/>
      <c r="E157" s="295"/>
      <c r="F157" s="295"/>
      <c r="G157" s="295"/>
      <c r="H157" s="295"/>
      <c r="I157" s="295"/>
      <c r="J157" s="295"/>
      <c r="K157" s="295"/>
      <c r="L157" s="295"/>
      <c r="M157" s="295"/>
      <c r="N157" s="295"/>
      <c r="O157" s="295"/>
    </row>
    <row r="158" spans="1:15">
      <c r="A158" s="295"/>
      <c r="B158" s="295"/>
      <c r="C158" s="295"/>
      <c r="D158" s="295"/>
      <c r="E158" s="295"/>
      <c r="F158" s="295"/>
      <c r="G158" s="295"/>
      <c r="H158" s="295"/>
      <c r="I158" s="295"/>
      <c r="J158" s="295"/>
      <c r="K158" s="295"/>
      <c r="L158" s="295"/>
      <c r="M158" s="295"/>
      <c r="N158" s="295"/>
      <c r="O158" s="295"/>
    </row>
    <row r="159" spans="1:15">
      <c r="A159" s="295"/>
      <c r="B159" s="295"/>
      <c r="C159" s="295"/>
      <c r="D159" s="295"/>
      <c r="E159" s="295"/>
      <c r="F159" s="295"/>
      <c r="G159" s="295"/>
      <c r="H159" s="295"/>
      <c r="I159" s="295"/>
      <c r="J159" s="295"/>
      <c r="K159" s="295"/>
      <c r="L159" s="295"/>
      <c r="M159" s="295"/>
      <c r="N159" s="295"/>
      <c r="O159" s="295"/>
    </row>
    <row r="160" spans="1:15">
      <c r="A160" s="295"/>
      <c r="B160" s="295"/>
      <c r="C160" s="295"/>
      <c r="D160" s="295"/>
      <c r="E160" s="295"/>
      <c r="F160" s="295"/>
      <c r="G160" s="295"/>
      <c r="H160" s="295"/>
      <c r="I160" s="295"/>
      <c r="J160" s="295"/>
      <c r="K160" s="295"/>
      <c r="L160" s="295"/>
      <c r="M160" s="295"/>
      <c r="N160" s="295"/>
      <c r="O160" s="295"/>
    </row>
    <row r="161" spans="1:15">
      <c r="A161" s="295"/>
      <c r="B161" s="295"/>
      <c r="C161" s="295"/>
      <c r="D161" s="295"/>
      <c r="E161" s="295"/>
      <c r="F161" s="295"/>
      <c r="G161" s="295"/>
      <c r="H161" s="295"/>
      <c r="I161" s="295"/>
      <c r="J161" s="295"/>
      <c r="K161" s="295"/>
      <c r="L161" s="295"/>
      <c r="M161" s="295"/>
      <c r="N161" s="295"/>
      <c r="O161" s="295"/>
    </row>
    <row r="162" spans="1:15">
      <c r="A162" s="295"/>
      <c r="B162" s="295"/>
      <c r="C162" s="295"/>
      <c r="D162" s="295"/>
      <c r="E162" s="295"/>
      <c r="F162" s="295"/>
      <c r="G162" s="295"/>
      <c r="H162" s="295"/>
      <c r="I162" s="295"/>
      <c r="J162" s="295"/>
      <c r="K162" s="295"/>
      <c r="L162" s="295"/>
      <c r="M162" s="295"/>
      <c r="N162" s="295"/>
      <c r="O162" s="295"/>
    </row>
    <row r="163" spans="1:15">
      <c r="A163" s="295"/>
      <c r="B163" s="295"/>
      <c r="C163" s="295"/>
      <c r="D163" s="295"/>
      <c r="E163" s="295"/>
      <c r="F163" s="295"/>
      <c r="G163" s="295"/>
      <c r="H163" s="295"/>
      <c r="I163" s="295"/>
      <c r="J163" s="295"/>
      <c r="K163" s="295"/>
      <c r="L163" s="295"/>
      <c r="M163" s="295"/>
      <c r="N163" s="295"/>
      <c r="O163" s="295"/>
    </row>
    <row r="164" spans="1:15">
      <c r="A164" s="295"/>
      <c r="B164" s="295"/>
      <c r="C164" s="295"/>
      <c r="D164" s="295"/>
      <c r="E164" s="295"/>
      <c r="F164" s="295"/>
      <c r="G164" s="295"/>
      <c r="H164" s="295"/>
      <c r="I164" s="295"/>
      <c r="J164" s="295"/>
      <c r="K164" s="295"/>
      <c r="L164" s="295"/>
      <c r="M164" s="295"/>
      <c r="N164" s="295"/>
      <c r="O164" s="295"/>
    </row>
    <row r="165" spans="1:15">
      <c r="A165" s="295"/>
      <c r="B165" s="295"/>
      <c r="C165" s="295"/>
      <c r="D165" s="295"/>
      <c r="E165" s="295"/>
      <c r="F165" s="295"/>
      <c r="G165" s="295"/>
      <c r="H165" s="295"/>
      <c r="I165" s="295"/>
      <c r="J165" s="295"/>
      <c r="K165" s="295"/>
      <c r="L165" s="295"/>
      <c r="M165" s="295"/>
      <c r="N165" s="295"/>
      <c r="O165" s="295"/>
    </row>
    <row r="166" spans="1:15">
      <c r="A166" s="295"/>
      <c r="B166" s="295"/>
      <c r="C166" s="295"/>
      <c r="D166" s="295"/>
      <c r="E166" s="295"/>
      <c r="F166" s="295"/>
      <c r="G166" s="295"/>
      <c r="H166" s="295"/>
      <c r="I166" s="295"/>
      <c r="J166" s="295"/>
      <c r="K166" s="295"/>
      <c r="L166" s="295"/>
      <c r="M166" s="295"/>
      <c r="N166" s="295"/>
      <c r="O166" s="295"/>
    </row>
    <row r="167" spans="1:15">
      <c r="A167" s="295"/>
      <c r="B167" s="295"/>
      <c r="C167" s="295"/>
      <c r="D167" s="295"/>
      <c r="E167" s="295"/>
      <c r="F167" s="295"/>
      <c r="G167" s="295"/>
      <c r="H167" s="295"/>
      <c r="I167" s="295"/>
      <c r="J167" s="295"/>
      <c r="K167" s="295"/>
      <c r="L167" s="295"/>
      <c r="M167" s="295"/>
      <c r="N167" s="295"/>
      <c r="O167" s="295"/>
    </row>
    <row r="168" spans="1:15">
      <c r="A168" s="295"/>
      <c r="B168" s="295"/>
      <c r="C168" s="295"/>
      <c r="D168" s="295"/>
      <c r="E168" s="295"/>
      <c r="F168" s="295"/>
      <c r="G168" s="295"/>
      <c r="H168" s="295"/>
      <c r="I168" s="295"/>
      <c r="J168" s="295"/>
      <c r="K168" s="295"/>
      <c r="L168" s="295"/>
      <c r="M168" s="295"/>
      <c r="N168" s="295"/>
      <c r="O168" s="295"/>
    </row>
    <row r="169" spans="1:15">
      <c r="A169" s="295"/>
      <c r="B169" s="295"/>
      <c r="C169" s="295"/>
      <c r="D169" s="295"/>
      <c r="E169" s="295"/>
      <c r="F169" s="295"/>
      <c r="G169" s="295"/>
      <c r="H169" s="295"/>
      <c r="I169" s="295"/>
      <c r="J169" s="295"/>
      <c r="K169" s="295"/>
      <c r="L169" s="295"/>
      <c r="M169" s="295"/>
      <c r="N169" s="295"/>
      <c r="O169" s="295"/>
    </row>
    <row r="170" spans="1:15">
      <c r="A170" s="295"/>
      <c r="B170" s="295"/>
      <c r="C170" s="295"/>
      <c r="D170" s="295"/>
      <c r="E170" s="295"/>
      <c r="F170" s="295"/>
      <c r="G170" s="295"/>
      <c r="H170" s="295"/>
      <c r="I170" s="295"/>
      <c r="J170" s="295"/>
      <c r="K170" s="295"/>
      <c r="L170" s="295"/>
      <c r="M170" s="295"/>
      <c r="N170" s="295"/>
      <c r="O170" s="295"/>
    </row>
    <row r="171" spans="1:15">
      <c r="A171" s="295"/>
      <c r="B171" s="295"/>
      <c r="C171" s="295"/>
      <c r="D171" s="295"/>
      <c r="E171" s="295"/>
      <c r="F171" s="295"/>
      <c r="G171" s="295"/>
      <c r="H171" s="295"/>
      <c r="I171" s="295"/>
      <c r="J171" s="295"/>
      <c r="K171" s="295"/>
      <c r="L171" s="295"/>
      <c r="M171" s="295"/>
      <c r="N171" s="295"/>
      <c r="O171" s="295"/>
    </row>
    <row r="172" spans="1:15">
      <c r="A172" s="295"/>
      <c r="B172" s="295"/>
      <c r="C172" s="295"/>
      <c r="D172" s="295"/>
      <c r="E172" s="295"/>
      <c r="F172" s="295"/>
      <c r="G172" s="295"/>
      <c r="H172" s="295"/>
      <c r="I172" s="295"/>
      <c r="J172" s="295"/>
      <c r="K172" s="295"/>
      <c r="L172" s="295"/>
      <c r="M172" s="295"/>
      <c r="N172" s="295"/>
      <c r="O172" s="295"/>
    </row>
    <row r="173" spans="1:15">
      <c r="A173" s="295"/>
      <c r="B173" s="295"/>
      <c r="C173" s="295"/>
      <c r="D173" s="295"/>
      <c r="E173" s="295"/>
      <c r="F173" s="295"/>
      <c r="G173" s="295"/>
      <c r="H173" s="295"/>
      <c r="I173" s="295"/>
      <c r="J173" s="295"/>
      <c r="K173" s="295"/>
      <c r="L173" s="295"/>
      <c r="M173" s="295"/>
      <c r="N173" s="295"/>
      <c r="O173" s="295"/>
    </row>
    <row r="174" spans="1:15">
      <c r="A174" s="295"/>
      <c r="B174" s="295"/>
      <c r="C174" s="295"/>
      <c r="D174" s="295"/>
      <c r="E174" s="295"/>
      <c r="F174" s="295"/>
      <c r="G174" s="295"/>
      <c r="H174" s="295"/>
      <c r="I174" s="295"/>
      <c r="J174" s="295"/>
      <c r="K174" s="295"/>
      <c r="L174" s="295"/>
      <c r="M174" s="295"/>
      <c r="N174" s="295"/>
      <c r="O174" s="295"/>
    </row>
    <row r="175" spans="1:15">
      <c r="A175" s="295"/>
      <c r="B175" s="295"/>
      <c r="C175" s="295"/>
      <c r="D175" s="295"/>
      <c r="E175" s="295"/>
      <c r="F175" s="295"/>
      <c r="G175" s="295"/>
      <c r="H175" s="295"/>
      <c r="I175" s="295"/>
      <c r="J175" s="295"/>
      <c r="K175" s="295"/>
      <c r="L175" s="295"/>
      <c r="M175" s="295"/>
      <c r="N175" s="295"/>
      <c r="O175" s="295"/>
    </row>
    <row r="176" spans="1:15">
      <c r="A176" s="295"/>
      <c r="B176" s="295"/>
      <c r="C176" s="295"/>
      <c r="D176" s="295"/>
      <c r="E176" s="295"/>
      <c r="F176" s="295"/>
      <c r="G176" s="295"/>
      <c r="H176" s="295"/>
      <c r="I176" s="295"/>
      <c r="J176" s="295"/>
      <c r="K176" s="295"/>
      <c r="L176" s="295"/>
      <c r="M176" s="295"/>
      <c r="N176" s="295"/>
      <c r="O176" s="295"/>
    </row>
    <row r="177" spans="1:15">
      <c r="A177" s="295"/>
      <c r="B177" s="295"/>
      <c r="C177" s="295"/>
      <c r="D177" s="295"/>
      <c r="E177" s="295"/>
      <c r="F177" s="295"/>
      <c r="G177" s="295"/>
      <c r="H177" s="295"/>
      <c r="I177" s="295"/>
      <c r="J177" s="295"/>
      <c r="K177" s="295"/>
      <c r="L177" s="295"/>
      <c r="M177" s="295"/>
      <c r="N177" s="295"/>
      <c r="O177" s="295"/>
    </row>
    <row r="178" spans="1:15">
      <c r="A178" s="295"/>
      <c r="B178" s="295"/>
      <c r="C178" s="295"/>
      <c r="D178" s="295"/>
      <c r="E178" s="295"/>
      <c r="F178" s="295"/>
      <c r="G178" s="295"/>
      <c r="H178" s="295"/>
      <c r="I178" s="295"/>
      <c r="J178" s="295"/>
      <c r="K178" s="295"/>
      <c r="L178" s="295"/>
      <c r="M178" s="295"/>
      <c r="N178" s="295"/>
      <c r="O178" s="295"/>
    </row>
    <row r="179" spans="1:15">
      <c r="A179" s="295"/>
      <c r="B179" s="295"/>
      <c r="C179" s="295"/>
      <c r="D179" s="295"/>
      <c r="E179" s="295"/>
      <c r="F179" s="295"/>
      <c r="G179" s="295"/>
      <c r="H179" s="295"/>
      <c r="I179" s="295"/>
      <c r="J179" s="295"/>
      <c r="K179" s="295"/>
      <c r="L179" s="295"/>
      <c r="M179" s="295"/>
      <c r="N179" s="295"/>
      <c r="O179" s="295"/>
    </row>
    <row r="180" spans="1:15">
      <c r="A180" s="295"/>
      <c r="B180" s="295"/>
      <c r="C180" s="295"/>
      <c r="D180" s="295"/>
      <c r="E180" s="295"/>
      <c r="F180" s="295"/>
      <c r="G180" s="295"/>
      <c r="H180" s="295"/>
      <c r="I180" s="295"/>
      <c r="J180" s="295"/>
      <c r="K180" s="295"/>
      <c r="L180" s="295"/>
      <c r="M180" s="295"/>
      <c r="N180" s="295"/>
      <c r="O180" s="295"/>
    </row>
    <row r="181" spans="1:15">
      <c r="A181" s="295"/>
      <c r="B181" s="295"/>
      <c r="C181" s="295"/>
      <c r="D181" s="295"/>
      <c r="E181" s="295"/>
      <c r="F181" s="295"/>
      <c r="G181" s="295"/>
      <c r="H181" s="295"/>
      <c r="I181" s="295"/>
      <c r="J181" s="295"/>
      <c r="K181" s="295"/>
      <c r="L181" s="295"/>
      <c r="M181" s="295"/>
      <c r="N181" s="295"/>
      <c r="O181" s="295"/>
    </row>
    <row r="182" spans="1:15">
      <c r="A182" s="295"/>
      <c r="B182" s="295"/>
      <c r="C182" s="295"/>
      <c r="D182" s="295"/>
      <c r="E182" s="295"/>
      <c r="F182" s="295"/>
      <c r="G182" s="295"/>
      <c r="H182" s="295"/>
      <c r="I182" s="295"/>
      <c r="J182" s="295"/>
      <c r="K182" s="295"/>
      <c r="L182" s="295"/>
      <c r="M182" s="295"/>
      <c r="N182" s="295"/>
      <c r="O182" s="295"/>
    </row>
    <row r="183" spans="1:15">
      <c r="A183" s="295"/>
      <c r="B183" s="295"/>
      <c r="C183" s="295"/>
      <c r="D183" s="295"/>
      <c r="E183" s="295"/>
      <c r="F183" s="295"/>
      <c r="G183" s="295"/>
      <c r="H183" s="295"/>
      <c r="I183" s="295"/>
      <c r="J183" s="295"/>
      <c r="K183" s="295"/>
      <c r="L183" s="295"/>
      <c r="M183" s="295"/>
      <c r="N183" s="295"/>
      <c r="O183" s="295"/>
    </row>
    <row r="184" spans="1:15">
      <c r="A184" s="295"/>
      <c r="B184" s="295"/>
      <c r="C184" s="295"/>
      <c r="D184" s="295"/>
      <c r="E184" s="295"/>
      <c r="F184" s="295"/>
      <c r="G184" s="295"/>
      <c r="H184" s="295"/>
      <c r="I184" s="295"/>
      <c r="J184" s="295"/>
      <c r="K184" s="295"/>
      <c r="L184" s="295"/>
      <c r="M184" s="295"/>
      <c r="N184" s="295"/>
      <c r="O184" s="295"/>
    </row>
    <row r="185" spans="1:15">
      <c r="A185" s="295"/>
      <c r="B185" s="295"/>
      <c r="C185" s="295"/>
      <c r="D185" s="295"/>
      <c r="E185" s="295"/>
      <c r="F185" s="295"/>
      <c r="G185" s="295"/>
      <c r="H185" s="295"/>
      <c r="I185" s="295"/>
      <c r="J185" s="295"/>
      <c r="K185" s="295"/>
      <c r="L185" s="295"/>
      <c r="M185" s="295"/>
      <c r="N185" s="295"/>
      <c r="O185" s="295"/>
    </row>
    <row r="186" spans="1:15">
      <c r="A186" s="295"/>
      <c r="B186" s="295"/>
      <c r="C186" s="295"/>
      <c r="D186" s="295"/>
      <c r="E186" s="295"/>
      <c r="F186" s="295"/>
      <c r="G186" s="295"/>
      <c r="H186" s="295"/>
      <c r="I186" s="295"/>
      <c r="J186" s="295"/>
      <c r="K186" s="295"/>
      <c r="L186" s="295"/>
      <c r="M186" s="295"/>
      <c r="N186" s="295"/>
      <c r="O186" s="295"/>
    </row>
    <row r="187" spans="1:15">
      <c r="A187" s="295"/>
      <c r="B187" s="295"/>
      <c r="C187" s="295"/>
      <c r="D187" s="295"/>
      <c r="E187" s="295"/>
      <c r="F187" s="295"/>
      <c r="G187" s="295"/>
      <c r="H187" s="295"/>
      <c r="I187" s="295"/>
      <c r="J187" s="295"/>
      <c r="K187" s="295"/>
      <c r="L187" s="295"/>
      <c r="M187" s="295"/>
      <c r="N187" s="295"/>
      <c r="O187" s="295"/>
    </row>
    <row r="188" spans="1:15">
      <c r="A188" s="295"/>
      <c r="B188" s="295"/>
      <c r="C188" s="295"/>
      <c r="D188" s="295"/>
      <c r="E188" s="295"/>
      <c r="F188" s="295"/>
      <c r="G188" s="295"/>
      <c r="H188" s="295"/>
      <c r="I188" s="295"/>
      <c r="J188" s="295"/>
      <c r="K188" s="295"/>
      <c r="L188" s="295"/>
      <c r="M188" s="295"/>
      <c r="N188" s="295"/>
      <c r="O188" s="295"/>
    </row>
    <row r="189" spans="1:15">
      <c r="A189" s="295"/>
      <c r="B189" s="295"/>
      <c r="C189" s="295"/>
      <c r="D189" s="295"/>
      <c r="E189" s="295"/>
      <c r="F189" s="295"/>
      <c r="G189" s="295"/>
      <c r="H189" s="295"/>
      <c r="I189" s="295"/>
      <c r="J189" s="295"/>
      <c r="K189" s="295"/>
      <c r="L189" s="295"/>
      <c r="M189" s="295"/>
      <c r="N189" s="295"/>
      <c r="O189" s="295"/>
    </row>
    <row r="190" spans="1:15">
      <c r="A190" s="295"/>
      <c r="B190" s="295"/>
      <c r="C190" s="295"/>
      <c r="D190" s="295"/>
      <c r="E190" s="295"/>
      <c r="F190" s="295"/>
      <c r="G190" s="295"/>
      <c r="H190" s="295"/>
      <c r="I190" s="295"/>
      <c r="J190" s="295"/>
      <c r="K190" s="295"/>
      <c r="L190" s="295"/>
      <c r="M190" s="295"/>
      <c r="N190" s="295"/>
      <c r="O190" s="295"/>
    </row>
    <row r="191" spans="1:15">
      <c r="A191" s="295"/>
      <c r="B191" s="295"/>
      <c r="C191" s="295"/>
      <c r="D191" s="295"/>
      <c r="E191" s="295"/>
      <c r="F191" s="295"/>
      <c r="G191" s="295"/>
      <c r="H191" s="295"/>
      <c r="I191" s="295"/>
      <c r="J191" s="295"/>
      <c r="K191" s="295"/>
      <c r="L191" s="295"/>
      <c r="M191" s="295"/>
      <c r="N191" s="295"/>
      <c r="O191" s="295"/>
    </row>
    <row r="192" spans="1:15">
      <c r="A192" s="295"/>
      <c r="B192" s="295"/>
      <c r="C192" s="295"/>
      <c r="D192" s="295"/>
      <c r="E192" s="295"/>
      <c r="F192" s="295"/>
      <c r="G192" s="295"/>
      <c r="H192" s="295"/>
      <c r="I192" s="295"/>
      <c r="J192" s="295"/>
      <c r="K192" s="295"/>
      <c r="L192" s="295"/>
      <c r="M192" s="295"/>
      <c r="N192" s="295"/>
      <c r="O192" s="295"/>
    </row>
    <row r="193" spans="1:15">
      <c r="A193" s="295"/>
      <c r="B193" s="295"/>
      <c r="C193" s="295"/>
      <c r="D193" s="295"/>
      <c r="E193" s="295"/>
      <c r="F193" s="295"/>
      <c r="G193" s="295"/>
      <c r="H193" s="295"/>
      <c r="I193" s="295"/>
      <c r="J193" s="295"/>
      <c r="K193" s="295"/>
      <c r="L193" s="295"/>
      <c r="M193" s="295"/>
      <c r="N193" s="295"/>
      <c r="O193" s="295"/>
    </row>
    <row r="194" spans="1:15">
      <c r="A194" s="295"/>
      <c r="B194" s="295"/>
      <c r="C194" s="295"/>
      <c r="D194" s="295"/>
      <c r="E194" s="295"/>
      <c r="F194" s="295"/>
      <c r="G194" s="295"/>
      <c r="H194" s="295"/>
      <c r="I194" s="295"/>
      <c r="J194" s="295"/>
      <c r="K194" s="295"/>
      <c r="L194" s="295"/>
      <c r="M194" s="295"/>
      <c r="N194" s="295"/>
      <c r="O194" s="295"/>
    </row>
    <row r="195" spans="1:15">
      <c r="A195" s="295"/>
      <c r="B195" s="295"/>
      <c r="C195" s="295"/>
      <c r="D195" s="295"/>
      <c r="E195" s="295"/>
      <c r="F195" s="295"/>
      <c r="G195" s="295"/>
      <c r="H195" s="295"/>
      <c r="I195" s="295"/>
      <c r="J195" s="295"/>
      <c r="K195" s="295"/>
      <c r="L195" s="295"/>
      <c r="M195" s="295"/>
      <c r="N195" s="295"/>
      <c r="O195" s="295"/>
    </row>
    <row r="196" spans="1:15">
      <c r="A196" s="295"/>
      <c r="B196" s="295"/>
      <c r="C196" s="295"/>
      <c r="D196" s="295"/>
      <c r="E196" s="295"/>
      <c r="F196" s="295"/>
      <c r="G196" s="295"/>
      <c r="H196" s="295"/>
      <c r="I196" s="295"/>
      <c r="J196" s="295"/>
      <c r="K196" s="295"/>
      <c r="L196" s="295"/>
      <c r="M196" s="295"/>
      <c r="N196" s="295"/>
      <c r="O196" s="295"/>
    </row>
    <row r="197" spans="1:15">
      <c r="A197" s="295"/>
      <c r="B197" s="295"/>
      <c r="C197" s="295"/>
      <c r="D197" s="295"/>
      <c r="E197" s="295"/>
      <c r="F197" s="295"/>
      <c r="G197" s="295"/>
      <c r="H197" s="295"/>
      <c r="I197" s="295"/>
      <c r="J197" s="295"/>
      <c r="K197" s="295"/>
      <c r="L197" s="295"/>
      <c r="M197" s="295"/>
      <c r="N197" s="295"/>
      <c r="O197" s="295"/>
    </row>
    <row r="198" spans="1:15">
      <c r="A198" s="295"/>
      <c r="B198" s="295"/>
      <c r="C198" s="295"/>
      <c r="D198" s="295"/>
      <c r="E198" s="295"/>
      <c r="F198" s="295"/>
      <c r="G198" s="295"/>
      <c r="H198" s="295"/>
      <c r="I198" s="295"/>
      <c r="J198" s="295"/>
      <c r="K198" s="295"/>
      <c r="L198" s="295"/>
      <c r="M198" s="295"/>
      <c r="N198" s="295"/>
      <c r="O198" s="295"/>
    </row>
    <row r="199" spans="1:15">
      <c r="A199" s="295"/>
      <c r="B199" s="295"/>
      <c r="C199" s="295"/>
      <c r="D199" s="295"/>
      <c r="E199" s="295"/>
      <c r="F199" s="295"/>
      <c r="G199" s="295"/>
      <c r="H199" s="295"/>
      <c r="I199" s="295"/>
      <c r="J199" s="295"/>
      <c r="K199" s="295"/>
      <c r="L199" s="295"/>
      <c r="M199" s="295"/>
      <c r="N199" s="295"/>
      <c r="O199" s="295"/>
    </row>
    <row r="200" spans="1:15">
      <c r="A200" s="295"/>
      <c r="B200" s="295"/>
      <c r="C200" s="295"/>
      <c r="D200" s="295"/>
      <c r="E200" s="295"/>
      <c r="F200" s="295"/>
      <c r="G200" s="295"/>
      <c r="H200" s="295"/>
      <c r="I200" s="295"/>
      <c r="J200" s="295"/>
      <c r="K200" s="295"/>
      <c r="L200" s="295"/>
      <c r="M200" s="295"/>
      <c r="N200" s="295"/>
      <c r="O200" s="295"/>
    </row>
    <row r="201" spans="1:15">
      <c r="A201" s="295"/>
      <c r="B201" s="295"/>
      <c r="C201" s="295"/>
      <c r="D201" s="295"/>
      <c r="E201" s="295"/>
      <c r="F201" s="295"/>
      <c r="G201" s="295"/>
      <c r="H201" s="295"/>
      <c r="I201" s="295"/>
      <c r="J201" s="295"/>
      <c r="K201" s="295"/>
      <c r="L201" s="295"/>
      <c r="M201" s="295"/>
      <c r="N201" s="295"/>
      <c r="O201" s="295"/>
    </row>
    <row r="202" spans="1:15">
      <c r="A202" s="295"/>
      <c r="B202" s="295"/>
      <c r="C202" s="295"/>
      <c r="D202" s="295"/>
      <c r="E202" s="295"/>
      <c r="F202" s="295"/>
      <c r="G202" s="295"/>
      <c r="H202" s="295"/>
      <c r="I202" s="295"/>
      <c r="J202" s="295"/>
      <c r="K202" s="295"/>
      <c r="L202" s="295"/>
      <c r="M202" s="295"/>
      <c r="N202" s="295"/>
      <c r="O202" s="295"/>
    </row>
    <row r="203" spans="1:15">
      <c r="A203" s="295"/>
      <c r="B203" s="295"/>
      <c r="C203" s="295"/>
      <c r="D203" s="295"/>
      <c r="E203" s="295"/>
      <c r="F203" s="295"/>
      <c r="G203" s="295"/>
      <c r="H203" s="295"/>
      <c r="I203" s="295"/>
      <c r="J203" s="295"/>
      <c r="K203" s="295"/>
      <c r="L203" s="295"/>
      <c r="M203" s="295"/>
      <c r="N203" s="295"/>
      <c r="O203" s="295"/>
    </row>
    <row r="204" spans="1:15">
      <c r="A204" s="295"/>
      <c r="B204" s="295"/>
      <c r="C204" s="295"/>
      <c r="D204" s="295"/>
      <c r="E204" s="295"/>
      <c r="F204" s="295"/>
      <c r="G204" s="295"/>
      <c r="H204" s="295"/>
      <c r="I204" s="295"/>
      <c r="J204" s="295"/>
      <c r="K204" s="295"/>
      <c r="L204" s="295"/>
      <c r="M204" s="295"/>
      <c r="N204" s="295"/>
      <c r="O204" s="295"/>
    </row>
    <row r="205" spans="1:15">
      <c r="A205" s="295"/>
      <c r="B205" s="295"/>
      <c r="C205" s="295"/>
      <c r="D205" s="295"/>
      <c r="E205" s="295"/>
      <c r="F205" s="295"/>
      <c r="G205" s="295"/>
      <c r="H205" s="295"/>
      <c r="I205" s="295"/>
      <c r="J205" s="295"/>
      <c r="K205" s="295"/>
      <c r="L205" s="295"/>
      <c r="M205" s="295"/>
      <c r="N205" s="295"/>
      <c r="O205" s="295"/>
    </row>
    <row r="206" spans="1:15">
      <c r="A206" s="295"/>
      <c r="B206" s="295"/>
      <c r="C206" s="295"/>
      <c r="D206" s="295"/>
      <c r="E206" s="295"/>
      <c r="F206" s="295"/>
      <c r="G206" s="295"/>
      <c r="H206" s="295"/>
      <c r="I206" s="295"/>
      <c r="J206" s="295"/>
      <c r="K206" s="295"/>
      <c r="L206" s="295"/>
      <c r="M206" s="295"/>
      <c r="N206" s="295"/>
      <c r="O206" s="295"/>
    </row>
    <row r="207" spans="1:15">
      <c r="A207" s="295"/>
      <c r="B207" s="295"/>
      <c r="C207" s="295"/>
      <c r="D207" s="295"/>
      <c r="E207" s="295"/>
      <c r="F207" s="295"/>
      <c r="G207" s="295"/>
      <c r="H207" s="295"/>
      <c r="I207" s="295"/>
      <c r="J207" s="295"/>
      <c r="K207" s="295"/>
      <c r="L207" s="295"/>
      <c r="M207" s="295"/>
      <c r="N207" s="295"/>
      <c r="O207" s="295"/>
    </row>
    <row r="208" spans="1:15">
      <c r="A208" s="295"/>
      <c r="B208" s="295"/>
      <c r="C208" s="295"/>
      <c r="D208" s="295"/>
      <c r="E208" s="295"/>
      <c r="F208" s="295"/>
      <c r="G208" s="295"/>
      <c r="H208" s="295"/>
      <c r="I208" s="295"/>
      <c r="J208" s="295"/>
      <c r="K208" s="295"/>
      <c r="L208" s="295"/>
      <c r="M208" s="295"/>
      <c r="N208" s="295"/>
      <c r="O208" s="295"/>
    </row>
    <row r="209" spans="1:15">
      <c r="A209" s="295"/>
      <c r="B209" s="295"/>
      <c r="C209" s="295"/>
      <c r="D209" s="295"/>
      <c r="E209" s="295"/>
      <c r="F209" s="295"/>
      <c r="G209" s="295"/>
      <c r="H209" s="295"/>
      <c r="I209" s="295"/>
      <c r="J209" s="295"/>
      <c r="K209" s="295"/>
      <c r="L209" s="295"/>
      <c r="M209" s="295"/>
      <c r="N209" s="295"/>
      <c r="O209" s="295"/>
    </row>
    <row r="210" spans="1:15">
      <c r="A210" s="295"/>
      <c r="B210" s="295"/>
      <c r="C210" s="295"/>
      <c r="D210" s="295"/>
      <c r="E210" s="295"/>
      <c r="F210" s="295"/>
      <c r="G210" s="295"/>
      <c r="H210" s="295"/>
      <c r="I210" s="295"/>
      <c r="J210" s="295"/>
      <c r="K210" s="295"/>
      <c r="L210" s="295"/>
      <c r="M210" s="295"/>
      <c r="N210" s="295"/>
      <c r="O210" s="295"/>
    </row>
    <row r="211" spans="1:15">
      <c r="A211" s="295"/>
      <c r="B211" s="295"/>
      <c r="C211" s="295"/>
      <c r="D211" s="295"/>
      <c r="E211" s="295"/>
      <c r="F211" s="295"/>
      <c r="G211" s="295"/>
      <c r="H211" s="295"/>
      <c r="I211" s="295"/>
      <c r="J211" s="295"/>
      <c r="K211" s="295"/>
      <c r="L211" s="295"/>
      <c r="M211" s="295"/>
      <c r="N211" s="295"/>
      <c r="O211" s="295"/>
    </row>
    <row r="212" spans="1:15">
      <c r="A212" s="295"/>
      <c r="B212" s="295"/>
      <c r="C212" s="295"/>
      <c r="D212" s="295"/>
      <c r="E212" s="295"/>
      <c r="F212" s="295"/>
      <c r="G212" s="295"/>
      <c r="H212" s="295"/>
      <c r="I212" s="295"/>
      <c r="J212" s="295"/>
      <c r="K212" s="295"/>
      <c r="L212" s="295"/>
      <c r="M212" s="295"/>
      <c r="N212" s="295"/>
      <c r="O212" s="295"/>
    </row>
    <row r="213" spans="1:15">
      <c r="A213" s="295"/>
      <c r="B213" s="295"/>
      <c r="C213" s="295"/>
      <c r="D213" s="295"/>
      <c r="E213" s="295"/>
      <c r="F213" s="295"/>
      <c r="G213" s="295"/>
      <c r="H213" s="295"/>
      <c r="I213" s="295"/>
      <c r="J213" s="295"/>
      <c r="K213" s="295"/>
      <c r="L213" s="295"/>
      <c r="M213" s="295"/>
      <c r="N213" s="295"/>
      <c r="O213" s="295"/>
    </row>
    <row r="214" spans="1:15">
      <c r="A214" s="295"/>
      <c r="B214" s="295"/>
      <c r="C214" s="295"/>
      <c r="D214" s="295"/>
      <c r="E214" s="295"/>
      <c r="F214" s="295"/>
      <c r="G214" s="295"/>
      <c r="H214" s="295"/>
      <c r="I214" s="295"/>
      <c r="J214" s="295"/>
      <c r="K214" s="295"/>
      <c r="L214" s="295"/>
      <c r="M214" s="295"/>
      <c r="N214" s="295"/>
      <c r="O214" s="295"/>
    </row>
    <row r="215" spans="1:15">
      <c r="A215" s="295"/>
      <c r="B215" s="295"/>
      <c r="C215" s="295"/>
      <c r="D215" s="295"/>
      <c r="E215" s="295"/>
      <c r="F215" s="295"/>
      <c r="G215" s="295"/>
      <c r="H215" s="295"/>
      <c r="I215" s="295"/>
      <c r="J215" s="295"/>
      <c r="K215" s="295"/>
      <c r="L215" s="295"/>
      <c r="M215" s="295"/>
      <c r="N215" s="295"/>
      <c r="O215" s="295"/>
    </row>
    <row r="216" spans="1:15">
      <c r="A216" s="295"/>
      <c r="B216" s="295"/>
      <c r="C216" s="295"/>
      <c r="D216" s="295"/>
      <c r="E216" s="295"/>
      <c r="F216" s="295"/>
      <c r="G216" s="295"/>
      <c r="H216" s="295"/>
      <c r="I216" s="295"/>
      <c r="J216" s="295"/>
      <c r="K216" s="295"/>
      <c r="L216" s="295"/>
      <c r="M216" s="295"/>
      <c r="N216" s="295"/>
      <c r="O216" s="295"/>
    </row>
    <row r="217" spans="1:15">
      <c r="A217" s="295"/>
      <c r="B217" s="295"/>
      <c r="C217" s="295"/>
      <c r="D217" s="295"/>
      <c r="E217" s="295"/>
      <c r="F217" s="295"/>
      <c r="G217" s="295"/>
      <c r="H217" s="295"/>
      <c r="I217" s="295"/>
      <c r="J217" s="295"/>
      <c r="K217" s="295"/>
      <c r="L217" s="295"/>
      <c r="M217" s="295"/>
      <c r="N217" s="295"/>
      <c r="O217" s="295"/>
    </row>
    <row r="218" spans="1:15">
      <c r="A218" s="295"/>
      <c r="B218" s="295"/>
      <c r="C218" s="295"/>
      <c r="D218" s="295"/>
      <c r="E218" s="295"/>
      <c r="F218" s="295"/>
      <c r="G218" s="295"/>
      <c r="H218" s="295"/>
      <c r="I218" s="295"/>
      <c r="J218" s="295"/>
      <c r="K218" s="295"/>
      <c r="L218" s="295"/>
      <c r="M218" s="295"/>
      <c r="N218" s="295"/>
      <c r="O218" s="295"/>
    </row>
  </sheetData>
  <mergeCells count="19">
    <mergeCell ref="D33:E34"/>
    <mergeCell ref="P33:Q34"/>
    <mergeCell ref="AC14:AD15"/>
    <mergeCell ref="A1:C2"/>
    <mergeCell ref="D1:E2"/>
    <mergeCell ref="P1:Q2"/>
    <mergeCell ref="AC1:AD2"/>
    <mergeCell ref="AK5:AL6"/>
    <mergeCell ref="AK10:AK11"/>
    <mergeCell ref="AL10:AL11"/>
    <mergeCell ref="AM10:AM11"/>
    <mergeCell ref="AN10:AN11"/>
    <mergeCell ref="AP10:AQ11"/>
    <mergeCell ref="J5:K5"/>
    <mergeCell ref="L5:M5"/>
    <mergeCell ref="AG5:AH5"/>
    <mergeCell ref="H37:I37"/>
    <mergeCell ref="AE14:AE15"/>
    <mergeCell ref="AF14:AF15"/>
  </mergeCells>
  <conditionalFormatting sqref="A1:AS125">
    <cfRule type="expression" dxfId="13" priority="16">
      <formula>颜色主题="魔法"</formula>
    </cfRule>
  </conditionalFormatting>
  <conditionalFormatting sqref="D7:M29">
    <cfRule type="expression" dxfId="12" priority="9">
      <formula>AND($E7&lt;=$E$5,$E8&gt;$E$5)</formula>
    </cfRule>
  </conditionalFormatting>
  <conditionalFormatting sqref="D39:N88">
    <cfRule type="expression" dxfId="11" priority="3">
      <formula>AND($D39&lt;=$D$37,$D40&gt;$D$37)</formula>
    </cfRule>
  </conditionalFormatting>
  <conditionalFormatting sqref="P68:P73">
    <cfRule type="expression" dxfId="10" priority="14">
      <formula>AND(#REF!&lt;=$Q$36,$Q68&gt;$Q$36)</formula>
    </cfRule>
  </conditionalFormatting>
  <conditionalFormatting sqref="P67:U67 W67">
    <cfRule type="expression" dxfId="9" priority="15">
      <formula>AND($Q67&lt;=$Q$36,#REF!&gt;$Q$36)</formula>
    </cfRule>
  </conditionalFormatting>
  <conditionalFormatting sqref="P38:V74">
    <cfRule type="expression" dxfId="8" priority="1">
      <formula>AND($Q38&lt;=$Q$36,$Q39&gt;$Q$36)</formula>
    </cfRule>
  </conditionalFormatting>
  <conditionalFormatting sqref="P7:W25">
    <cfRule type="expression" dxfId="7" priority="7">
      <formula>$P7=$P$5</formula>
    </cfRule>
  </conditionalFormatting>
  <conditionalFormatting sqref="Q68:U73 W68:W73">
    <cfRule type="expression" dxfId="6" priority="5">
      <formula>AND($Q68&lt;=$Q$36,#REF!&gt;$Q$36)</formula>
    </cfRule>
  </conditionalFormatting>
  <conditionalFormatting sqref="W38:W73">
    <cfRule type="expression" dxfId="5" priority="12">
      <formula>AND($Q38&lt;=$Q$36,$Q39&gt;$Q$36)</formula>
    </cfRule>
  </conditionalFormatting>
  <dataValidations count="26">
    <dataValidation type="list" allowBlank="1" showInputMessage="1" showErrorMessage="1" sqref="P5" xr:uid="{00000000-0002-0000-0800-000000000000}">
      <formula1>$P$7:$P$25</formula1>
    </dataValidation>
    <dataValidation type="whole" allowBlank="1" showInputMessage="1" showErrorMessage="1" errorTitle="你灌醉了我，太不公平！" error="触发这个的肯定是不尊重科学的！" promptTitle="请输入等级信息" prompt="输入1-500左右的数字，代表玩家的等级" sqref="AC5 AE5" xr:uid="{00000000-0002-0000-0800-000001000000}">
      <formula1>1</formula1>
      <formula2>500</formula2>
    </dataValidation>
    <dataValidation allowBlank="1" showInputMessage="1" showErrorMessage="1" promptTitle="=====================" prompt="联赛定级时的区间，在区间下限和区间上限之间。" sqref="E6:F6" xr:uid="{00000000-0002-0000-0800-000002000000}"/>
    <dataValidation allowBlank="1" showInputMessage="1" showErrorMessage="1" promptTitle="======================" prompt="定级后若低于这个奖杯，则降至更低的联赛。" sqref="G6" xr:uid="{00000000-0002-0000-0800-000003000000}"/>
    <dataValidation allowBlank="1" showInputMessage="1" showErrorMessage="1" promptTitle="======================" prompt="部落联赛结束后一次性得到的最高奖励，_x000a_每个人都是一样的！_x000a_" sqref="Q6" xr:uid="{00000000-0002-0000-0800-000004000000}"/>
    <dataValidation allowBlank="1" showInputMessage="1" showErrorMessage="1" promptTitle="======================" prompt="护盾消失后村庄守卫的持续时间_x000a_在村庄守卫下，进攻不再降低护盾时间。" sqref="I6" xr:uid="{00000000-0002-0000-0800-000005000000}"/>
    <dataValidation allowBlank="1" showInputMessage="1" showErrorMessage="1" promptTitle="======================" prompt="如果排名每低一个名次，那么所获得的奖章奖励会衰减一次。_x000a_" sqref="R6" xr:uid="{00000000-0002-0000-0800-000006000000}"/>
    <dataValidation allowBlank="1" showInputMessage="1" showErrorMessage="1" promptTitle="======================" prompt="如果定级后奖杯高于这个临界，那么升级至更高联赛。" sqref="H6" xr:uid="{00000000-0002-0000-0800-000007000000}"/>
    <dataValidation allowBlank="1" showInputMessage="1" showErrorMessage="1" promptTitle="======================" prompt="最终可以分配的奖章数量。" sqref="S6" xr:uid="{00000000-0002-0000-0800-000008000000}"/>
    <dataValidation allowBlank="1" showInputMessage="1" showErrorMessage="1" promptTitle="=====================" prompt="在这个段位的最高奖杯" sqref="R37" xr:uid="{00000000-0002-0000-0800-000009000000}"/>
    <dataValidation allowBlank="1" showInputMessage="1" showErrorMessage="1" promptTitle="======================" prompt="降级到上一个联赛的部落数量。" sqref="W6" xr:uid="{00000000-0002-0000-0800-00000A000000}"/>
    <dataValidation allowBlank="1" showInputMessage="1" showErrorMessage="1" promptTitle="======================" prompt="联赛7盘全输后最低可以分配的玩家人数。_x000a_每胜利一场，分配数量+1。_x000a_" sqref="T6" xr:uid="{00000000-0002-0000-0800-00000B000000}"/>
    <dataValidation allowBlank="1" showInputMessage="1" showErrorMessage="1" promptTitle="======================" prompt="晋升到下一联赛的部落数量。" sqref="V6" xr:uid="{00000000-0002-0000-0800-00000C000000}"/>
    <dataValidation allowBlank="1" showInputMessage="1" showErrorMessage="1" promptTitle="=====================" prompt="在这个段位的最低奖杯" sqref="Q37" xr:uid="{00000000-0002-0000-0800-00000D000000}"/>
    <dataValidation allowBlank="1" showInputMessage="1" showErrorMessage="1" promptTitle="======================" prompt="每一次胜利带来的奖励。" sqref="T37" xr:uid="{00000000-0002-0000-0800-00000E000000}"/>
    <dataValidation allowBlank="1" showInputMessage="1" showErrorMessage="1" promptTitle="======================" prompt="第三次胜利带来的奖励，比前两次多。" sqref="U37" xr:uid="{00000000-0002-0000-0800-00000F000000}"/>
    <dataValidation allowBlank="1" showInputMessage="1" showErrorMessage="1" promptTitle="======================" prompt="刷新从刚刚打完到下一次奖励的时间所需要的宝石。" sqref="W37" xr:uid="{00000000-0002-0000-0800-000010000000}"/>
    <dataValidation allowBlank="1" showInputMessage="1" showErrorMessage="1" promptTitle="======================" prompt="捐赠单位后单位会提升的等级_x000a_据说是爱的力量使得单位更强了！_x000a_" sqref="L38" xr:uid="{00000000-0002-0000-0800-000011000000}"/>
    <dataValidation allowBlank="1" showInputMessage="1" showErrorMessage="1" promptTitle="======================" prompt="两次请求增援之间的时间间隔。" sqref="H38" xr:uid="{00000000-0002-0000-0800-000012000000}"/>
    <dataValidation allowBlank="1" showInputMessage="1" showErrorMessage="1" promptTitle="======================" prompt="填充一个请求所能捐的兵种数量（不等同占用）" sqref="I38" xr:uid="{00000000-0002-0000-0800-000013000000}"/>
    <dataValidation allowBlank="1" showInputMessage="1" showErrorMessage="1" promptTitle="======================" prompt="捐出一个单位后你可以得到的返还比例。" sqref="K38" xr:uid="{00000000-0002-0000-0800-000014000000}"/>
    <dataValidation allowBlank="1" showInputMessage="1" showErrorMessage="1" promptTitle="======================" prompt="宝库的容量随着部落等级的提高而增加" sqref="M38" xr:uid="{00000000-0002-0000-0800-000015000000}"/>
    <dataValidation allowBlank="1" showInputMessage="1" showErrorMessage="1" promptTitle="======================" prompt="一局部落战的奖励也随着等级的提高而提高。" sqref="N38" xr:uid="{00000000-0002-0000-0800-000016000000}"/>
    <dataValidation type="whole" allowBlank="1" showInputMessage="1" showErrorMessage="1" sqref="AK10:AK11" xr:uid="{00000000-0002-0000-0800-000017000000}">
      <formula1>0</formula1>
      <formula2>114514</formula2>
    </dataValidation>
    <dataValidation type="whole" allowBlank="1" showInputMessage="1" showErrorMessage="1" sqref="AL10:AL11" xr:uid="{00000000-0002-0000-0800-000018000000}">
      <formula1>0</formula1>
      <formula2>24</formula2>
    </dataValidation>
    <dataValidation type="whole" allowBlank="1" showInputMessage="1" showErrorMessage="1" sqref="AM10:AN11" xr:uid="{00000000-0002-0000-0800-000019000000}">
      <formula1>0</formula1>
      <formula2>60</formula2>
    </dataValidation>
  </dataValidations>
  <hyperlinks>
    <hyperlink ref="A5" location="'5.1联赛&amp;等级'!D1:M31" tooltip="个人联赛，通过攻击玩家提升段位。" display="1.家乡联赛" xr:uid="{00000000-0004-0000-0800-000000000000}"/>
    <hyperlink ref="A7" location="'5.1联赛&amp;等级'!D33:N88" tooltip="部落的等级，影响到部落特权" display="3.部落等级" xr:uid="{00000000-0004-0000-0800-000001000000}"/>
    <hyperlink ref="A8" location="'5.1联赛&amp;等级'!P33:W73" tooltip="夜世界的联赛，通过对抗赛提升段位" display="4.夜本联赛" xr:uid="{00000000-0004-0000-0800-000002000000}"/>
    <hyperlink ref="D1:E2" location="'5.1联赛&amp;等级'!A1:C10" tooltip="返回索引" display="家乡联赛" xr:uid="{00000000-0004-0000-0800-000003000000}"/>
    <hyperlink ref="P1:Q2" location="'5.1联赛&amp;等级'!A1:C10" tooltip="返回索引" display="部落联赛" xr:uid="{00000000-0004-0000-0800-000004000000}"/>
    <hyperlink ref="D33:E34" location="'5.1联赛&amp;等级'!A1:C10" tooltip="返回索引" display="部落等级" xr:uid="{00000000-0004-0000-0800-000005000000}"/>
    <hyperlink ref="P33:Q34" location="'5.1联赛&amp;等级'!A1:C10" tooltip="返回索引" display="夜本联赛" xr:uid="{00000000-0004-0000-0800-000006000000}"/>
    <hyperlink ref="AC1:AD2" location="'5.1联赛&amp;等级'!A1:C10" tooltip="返回索引" display="玩家等级" xr:uid="{00000000-0004-0000-0800-000007000000}"/>
    <hyperlink ref="A6" location="'5.1联赛&amp;等级'!P1:W27" tooltip="以部落为单位的联赛，比赛时8部落一组" display="2.部落联赛" xr:uid="{00000000-0004-0000-0800-000008000000}"/>
    <hyperlink ref="A9" location="'5.1联赛&amp;等级'!AC1:AQ117" tooltip="左上角玩家等级，计算等级与经验值的映射" display="5.玩家等级" xr:uid="{00000000-0004-0000-0800-000009000000}"/>
    <hyperlink ref="D31" location="'5.2研究笔记'!F226:R240" tooltip="传奇联赛的特殊机制" display="&gt;&gt;点击查看传奇联赛机制" xr:uid="{00000000-0004-0000-0800-00000A000000}"/>
  </hyperlink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BG549"/>
  <sheetViews>
    <sheetView zoomScale="98" zoomScaleNormal="98" workbookViewId="0">
      <selection sqref="A1:C2"/>
    </sheetView>
  </sheetViews>
  <sheetFormatPr defaultColWidth="9" defaultRowHeight="14.15" customHeight="1"/>
  <cols>
    <col min="32" max="32" width="10.35546875"/>
    <col min="44" max="45" width="9" customWidth="1"/>
    <col min="46" max="46" width="9.5" customWidth="1"/>
    <col min="47" max="47" width="10.5" customWidth="1"/>
    <col min="48" max="48" width="9.5" customWidth="1"/>
    <col min="50" max="50" width="9.5" customWidth="1"/>
    <col min="55" max="55" width="9.5" customWidth="1"/>
    <col min="56" max="57" width="9.35546875"/>
  </cols>
  <sheetData>
    <row r="1" spans="1:56" ht="14.15" customHeight="1">
      <c r="A1" s="561" t="s">
        <v>2134</v>
      </c>
      <c r="B1" s="561"/>
      <c r="C1" s="561"/>
      <c r="D1" s="550" t="s">
        <v>2135</v>
      </c>
      <c r="E1" s="550"/>
      <c r="F1" s="49" t="s">
        <v>2136</v>
      </c>
      <c r="G1" s="49"/>
      <c r="H1" s="49"/>
      <c r="I1" s="49"/>
      <c r="J1" s="49"/>
      <c r="K1" s="118"/>
      <c r="L1" s="118"/>
      <c r="M1" s="118"/>
      <c r="N1" s="118"/>
      <c r="O1" s="118"/>
      <c r="P1" s="118"/>
      <c r="Q1" s="118"/>
      <c r="R1" s="118"/>
      <c r="S1" s="118"/>
      <c r="T1" s="118"/>
      <c r="U1" s="54"/>
      <c r="V1" s="54"/>
      <c r="W1" s="550" t="s">
        <v>2137</v>
      </c>
      <c r="X1" s="550"/>
      <c r="Y1" s="49"/>
      <c r="Z1" s="49"/>
      <c r="AA1" s="49"/>
      <c r="AB1" s="49"/>
      <c r="AC1" s="49"/>
      <c r="AD1" s="118"/>
      <c r="AE1" s="118"/>
      <c r="AF1" s="118"/>
      <c r="AG1" s="118"/>
      <c r="AH1" s="118"/>
      <c r="AI1" s="118"/>
      <c r="AJ1" s="118"/>
      <c r="AK1" s="118"/>
      <c r="AL1" s="118"/>
      <c r="AM1" s="54"/>
      <c r="AN1" s="550" t="s">
        <v>2138</v>
      </c>
      <c r="AO1" s="550"/>
      <c r="AP1" s="49"/>
      <c r="AQ1" s="49"/>
      <c r="AR1" s="49"/>
      <c r="AS1" s="54"/>
      <c r="AT1" s="54"/>
      <c r="AU1" s="54"/>
      <c r="AV1" s="54"/>
      <c r="AW1" s="54"/>
      <c r="AX1" s="54"/>
      <c r="AY1" s="54"/>
      <c r="AZ1" s="54"/>
      <c r="BA1" s="54"/>
      <c r="BB1" s="54"/>
      <c r="BC1" s="171"/>
      <c r="BD1" s="171"/>
    </row>
    <row r="2" spans="1:56" ht="14.15" customHeight="1">
      <c r="A2" s="561"/>
      <c r="B2" s="561"/>
      <c r="C2" s="561"/>
      <c r="D2" s="583"/>
      <c r="E2" s="583"/>
      <c r="F2" s="50" t="s">
        <v>2139</v>
      </c>
      <c r="G2" s="50"/>
      <c r="H2" s="50"/>
      <c r="I2" s="50"/>
      <c r="J2" s="50"/>
      <c r="K2" s="50"/>
      <c r="L2" s="50"/>
      <c r="M2" s="50"/>
      <c r="N2" s="50"/>
      <c r="O2" s="50"/>
      <c r="P2" s="50"/>
      <c r="Q2" s="50"/>
      <c r="R2" s="50"/>
      <c r="S2" s="50"/>
      <c r="T2" s="50"/>
      <c r="U2" s="54"/>
      <c r="V2" s="54"/>
      <c r="W2" s="583"/>
      <c r="X2" s="583"/>
      <c r="Y2" s="50"/>
      <c r="Z2" s="50"/>
      <c r="AA2" s="50"/>
      <c r="AB2" s="50"/>
      <c r="AC2" s="50"/>
      <c r="AD2" s="50"/>
      <c r="AE2" s="50"/>
      <c r="AF2" s="50"/>
      <c r="AG2" s="50"/>
      <c r="AH2" s="50"/>
      <c r="AI2" s="50"/>
      <c r="AJ2" s="50"/>
      <c r="AK2" s="50"/>
      <c r="AL2" s="50"/>
      <c r="AM2" s="54"/>
      <c r="AN2" s="583"/>
      <c r="AO2" s="583"/>
      <c r="AP2" s="50"/>
      <c r="AQ2" s="50"/>
      <c r="AR2" s="50"/>
      <c r="AS2" s="50"/>
      <c r="AT2" s="50"/>
      <c r="AU2" s="50"/>
      <c r="AV2" s="50"/>
      <c r="AW2" s="50"/>
      <c r="AX2" s="50"/>
      <c r="AY2" s="54"/>
      <c r="AZ2" s="54"/>
      <c r="BA2" s="54"/>
      <c r="BB2" s="54"/>
      <c r="BC2" s="171"/>
      <c r="BD2" s="171"/>
    </row>
    <row r="3" spans="1:56" ht="14.15" customHeight="1">
      <c r="A3" s="570" t="s">
        <v>2140</v>
      </c>
      <c r="B3" s="570"/>
      <c r="C3" s="570"/>
      <c r="D3" s="54" t="s">
        <v>2141</v>
      </c>
      <c r="E3" s="54"/>
      <c r="F3" s="54"/>
      <c r="G3" s="54"/>
      <c r="H3" s="54"/>
      <c r="I3" s="54"/>
      <c r="J3" s="54"/>
      <c r="K3" s="54"/>
      <c r="L3" s="54"/>
      <c r="M3" s="54"/>
      <c r="N3" s="54"/>
      <c r="O3" s="54"/>
      <c r="P3" s="54"/>
      <c r="Q3" s="54"/>
      <c r="R3" s="54"/>
      <c r="S3" s="54"/>
      <c r="T3" s="54"/>
      <c r="U3" s="54"/>
      <c r="V3" s="54"/>
      <c r="W3" s="54" t="s">
        <v>2141</v>
      </c>
      <c r="X3" s="54"/>
      <c r="Y3" s="54"/>
      <c r="Z3" s="54"/>
      <c r="AA3" s="54"/>
      <c r="AB3" s="54"/>
      <c r="AC3" s="54"/>
      <c r="AD3" s="54"/>
      <c r="AE3" s="54"/>
      <c r="AF3" s="54"/>
      <c r="AG3" s="54"/>
      <c r="AH3" s="54"/>
      <c r="AI3" s="54"/>
      <c r="AJ3" s="54"/>
      <c r="AK3" s="54"/>
      <c r="AL3" s="54"/>
      <c r="AM3" s="54"/>
      <c r="AN3" s="54" t="s">
        <v>2142</v>
      </c>
      <c r="AO3" s="54" t="s">
        <v>2143</v>
      </c>
      <c r="AP3" s="54"/>
      <c r="AQ3" s="54"/>
      <c r="AR3" s="54"/>
      <c r="AS3" s="54"/>
      <c r="AT3" s="54"/>
      <c r="AU3" s="54"/>
      <c r="AV3" s="54"/>
      <c r="AW3" s="54"/>
      <c r="AX3" s="54"/>
      <c r="AY3" s="54"/>
      <c r="AZ3" s="54"/>
      <c r="BA3" s="54"/>
      <c r="BB3" s="54"/>
      <c r="BC3" s="171"/>
      <c r="BD3" s="171"/>
    </row>
    <row r="4" spans="1:56" ht="14.15" customHeight="1">
      <c r="A4" s="570"/>
      <c r="B4" s="570"/>
      <c r="C4" s="570"/>
      <c r="D4" s="54" t="s">
        <v>2144</v>
      </c>
      <c r="E4" s="54"/>
      <c r="F4" s="573" t="s">
        <v>2145</v>
      </c>
      <c r="G4" s="573"/>
      <c r="H4" s="571" t="s">
        <v>2146</v>
      </c>
      <c r="I4" s="571"/>
      <c r="J4" s="571"/>
      <c r="K4" s="571"/>
      <c r="L4" s="571"/>
      <c r="M4" s="571"/>
      <c r="N4" s="571"/>
      <c r="O4" s="571"/>
      <c r="P4" s="571"/>
      <c r="Q4" s="571"/>
      <c r="R4" s="571"/>
      <c r="S4" s="54"/>
      <c r="T4" s="54"/>
      <c r="U4" s="54"/>
      <c r="V4" s="54"/>
      <c r="W4" s="54" t="s">
        <v>2147</v>
      </c>
      <c r="X4" s="54"/>
      <c r="Y4" s="573" t="s">
        <v>45</v>
      </c>
      <c r="Z4" s="573"/>
      <c r="AA4" s="571" t="s">
        <v>2148</v>
      </c>
      <c r="AB4" s="571"/>
      <c r="AC4" s="571"/>
      <c r="AD4" s="571"/>
      <c r="AE4" s="571"/>
      <c r="AF4" s="571"/>
      <c r="AG4" s="571"/>
      <c r="AH4" s="571"/>
      <c r="AI4" s="571"/>
      <c r="AJ4" s="571"/>
      <c r="AK4" s="571"/>
      <c r="AL4" s="54"/>
      <c r="AM4" s="54"/>
      <c r="AN4" s="163" t="s">
        <v>2149</v>
      </c>
      <c r="AO4" s="54"/>
      <c r="AP4" s="54"/>
      <c r="AQ4" s="54"/>
      <c r="AR4" s="54"/>
      <c r="AS4" s="54"/>
      <c r="AT4" s="54"/>
      <c r="AU4" s="54"/>
      <c r="AV4" s="54"/>
      <c r="AW4" s="54"/>
      <c r="AX4" s="54"/>
      <c r="AY4" s="54"/>
      <c r="AZ4" s="54"/>
      <c r="BA4" s="54"/>
      <c r="BB4" s="54"/>
      <c r="BC4" s="171"/>
      <c r="BD4" s="171"/>
    </row>
    <row r="5" spans="1:56" ht="14.15" customHeight="1">
      <c r="A5" s="54"/>
      <c r="B5" s="54"/>
      <c r="C5" s="54"/>
      <c r="D5" s="54" t="s">
        <v>2150</v>
      </c>
      <c r="E5" s="54"/>
      <c r="F5" s="574"/>
      <c r="G5" s="574"/>
      <c r="H5" s="572"/>
      <c r="I5" s="572"/>
      <c r="J5" s="572"/>
      <c r="K5" s="572"/>
      <c r="L5" s="572"/>
      <c r="M5" s="572"/>
      <c r="N5" s="572"/>
      <c r="O5" s="572"/>
      <c r="P5" s="572"/>
      <c r="Q5" s="572"/>
      <c r="R5" s="572"/>
      <c r="S5" s="54"/>
      <c r="T5" s="54"/>
      <c r="U5" s="54"/>
      <c r="V5" s="54"/>
      <c r="W5" s="54" t="s">
        <v>2151</v>
      </c>
      <c r="X5" s="54"/>
      <c r="Y5" s="574"/>
      <c r="Z5" s="574"/>
      <c r="AA5" s="572"/>
      <c r="AB5" s="572"/>
      <c r="AC5" s="572"/>
      <c r="AD5" s="572"/>
      <c r="AE5" s="572"/>
      <c r="AF5" s="572"/>
      <c r="AG5" s="572"/>
      <c r="AH5" s="572"/>
      <c r="AI5" s="572"/>
      <c r="AJ5" s="572"/>
      <c r="AK5" s="572"/>
      <c r="AL5" s="54"/>
      <c r="AM5" s="54"/>
      <c r="AN5" s="163" t="s">
        <v>2152</v>
      </c>
      <c r="AO5" s="54"/>
      <c r="AP5" s="571" t="s">
        <v>2153</v>
      </c>
      <c r="AQ5" s="571"/>
      <c r="AR5" s="54"/>
      <c r="AS5" s="54"/>
      <c r="AT5" s="54"/>
      <c r="AU5" s="54"/>
      <c r="AV5" s="54"/>
      <c r="AW5" s="54"/>
      <c r="AX5" s="54"/>
      <c r="AY5" s="54"/>
      <c r="AZ5" s="54"/>
      <c r="BA5" s="54"/>
      <c r="BB5" s="54"/>
      <c r="BC5" s="171"/>
      <c r="BD5" s="171"/>
    </row>
    <row r="6" spans="1:56" ht="14.15" customHeight="1">
      <c r="A6" s="54" t="s">
        <v>2154</v>
      </c>
      <c r="B6" s="54"/>
      <c r="C6" s="54"/>
      <c r="D6" s="54" t="s">
        <v>2155</v>
      </c>
      <c r="E6" s="54"/>
      <c r="F6" s="54"/>
      <c r="G6" s="54"/>
      <c r="H6" s="54"/>
      <c r="I6" s="54"/>
      <c r="J6" s="54"/>
      <c r="K6" s="54"/>
      <c r="L6" s="54"/>
      <c r="M6" s="54"/>
      <c r="N6" s="54"/>
      <c r="O6" s="54"/>
      <c r="P6" s="54"/>
      <c r="Q6" s="54"/>
      <c r="R6" s="54"/>
      <c r="S6" s="54"/>
      <c r="T6" s="54"/>
      <c r="U6" s="54"/>
      <c r="V6" s="54"/>
      <c r="W6" s="54" t="s">
        <v>2156</v>
      </c>
      <c r="X6" s="54"/>
      <c r="Y6" s="54"/>
      <c r="Z6" s="54"/>
      <c r="AA6" s="54"/>
      <c r="AB6" s="54"/>
      <c r="AC6" s="54"/>
      <c r="AD6" s="54"/>
      <c r="AE6" s="54"/>
      <c r="AF6" s="54"/>
      <c r="AG6" s="54"/>
      <c r="AH6" s="54"/>
      <c r="AI6" s="54"/>
      <c r="AJ6" s="54"/>
      <c r="AK6" s="54"/>
      <c r="AL6" s="54"/>
      <c r="AM6" s="54"/>
      <c r="AN6" s="163" t="s">
        <v>2157</v>
      </c>
      <c r="AO6" s="54"/>
      <c r="AP6" s="572"/>
      <c r="AQ6" s="572"/>
      <c r="AR6" s="165"/>
      <c r="AS6" s="165"/>
      <c r="AT6" s="165"/>
      <c r="AU6" s="165"/>
      <c r="AV6" s="165"/>
      <c r="AW6" s="165"/>
      <c r="AX6" s="165"/>
      <c r="AY6" s="165"/>
      <c r="AZ6" s="165"/>
      <c r="BA6" s="165"/>
      <c r="BB6" s="165"/>
      <c r="BC6" s="165"/>
      <c r="BD6" s="171"/>
    </row>
    <row r="7" spans="1:56" ht="14.15" customHeight="1">
      <c r="A7" s="54" t="s">
        <v>2158</v>
      </c>
      <c r="B7" s="54"/>
      <c r="C7" s="54"/>
      <c r="D7" s="54" t="s">
        <v>2159</v>
      </c>
      <c r="E7" s="54"/>
      <c r="F7" s="579" t="s">
        <v>2160</v>
      </c>
      <c r="G7" s="579"/>
      <c r="H7" s="570" t="s">
        <v>2161</v>
      </c>
      <c r="I7" s="553"/>
      <c r="J7" s="553"/>
      <c r="K7" s="553"/>
      <c r="L7" s="553"/>
      <c r="M7" s="553"/>
      <c r="N7" s="553"/>
      <c r="O7" s="553"/>
      <c r="P7" s="553"/>
      <c r="Q7" s="553"/>
      <c r="R7" s="553"/>
      <c r="S7" s="54"/>
      <c r="T7" s="54"/>
      <c r="U7" s="54"/>
      <c r="V7" s="54"/>
      <c r="W7" s="54" t="s">
        <v>2162</v>
      </c>
      <c r="X7" s="54"/>
      <c r="Y7" s="569" t="s">
        <v>2163</v>
      </c>
      <c r="Z7" s="569"/>
      <c r="AA7" s="570" t="s">
        <v>2164</v>
      </c>
      <c r="AB7" s="553"/>
      <c r="AC7" s="553"/>
      <c r="AD7" s="553"/>
      <c r="AE7" s="553"/>
      <c r="AF7" s="553"/>
      <c r="AG7" s="553"/>
      <c r="AH7" s="553"/>
      <c r="AI7" s="553"/>
      <c r="AJ7" s="553"/>
      <c r="AK7" s="553"/>
      <c r="AL7" s="54"/>
      <c r="AM7" s="54"/>
      <c r="AN7" s="163" t="s">
        <v>2165</v>
      </c>
      <c r="AO7" s="54"/>
      <c r="AP7" s="54" t="s">
        <v>2166</v>
      </c>
      <c r="AQ7" s="54"/>
      <c r="AR7" s="54"/>
      <c r="AS7" s="54"/>
      <c r="AT7" s="54"/>
      <c r="AU7" s="54"/>
      <c r="AV7" s="54"/>
      <c r="AW7" s="54"/>
      <c r="AX7" s="54"/>
      <c r="AY7" s="54"/>
      <c r="AZ7" s="54"/>
      <c r="BA7" s="54"/>
      <c r="BB7" s="54"/>
      <c r="BC7" s="54"/>
      <c r="BD7" s="171"/>
    </row>
    <row r="8" spans="1:56" ht="14.15" customHeight="1">
      <c r="A8" s="54" t="s">
        <v>2167</v>
      </c>
      <c r="B8" s="54"/>
      <c r="C8" s="54"/>
      <c r="D8" s="54" t="s">
        <v>2168</v>
      </c>
      <c r="E8" s="54"/>
      <c r="F8" s="579"/>
      <c r="G8" s="579"/>
      <c r="H8" s="553"/>
      <c r="I8" s="553"/>
      <c r="J8" s="553"/>
      <c r="K8" s="553"/>
      <c r="L8" s="553"/>
      <c r="M8" s="553"/>
      <c r="N8" s="553"/>
      <c r="O8" s="553"/>
      <c r="P8" s="553"/>
      <c r="Q8" s="553"/>
      <c r="R8" s="553"/>
      <c r="S8" s="54"/>
      <c r="T8" s="54"/>
      <c r="U8" s="54"/>
      <c r="V8" s="54"/>
      <c r="W8" s="54" t="s">
        <v>2169</v>
      </c>
      <c r="X8" s="54"/>
      <c r="Y8" s="569"/>
      <c r="Z8" s="569"/>
      <c r="AA8" s="553"/>
      <c r="AB8" s="553"/>
      <c r="AC8" s="553"/>
      <c r="AD8" s="553"/>
      <c r="AE8" s="553"/>
      <c r="AF8" s="553"/>
      <c r="AG8" s="553"/>
      <c r="AH8" s="553"/>
      <c r="AI8" s="553"/>
      <c r="AJ8" s="553"/>
      <c r="AK8" s="553"/>
      <c r="AL8" s="54"/>
      <c r="AM8" s="54"/>
      <c r="AN8" s="163" t="s">
        <v>2170</v>
      </c>
      <c r="AO8" s="54"/>
      <c r="AP8" s="54" t="s">
        <v>28</v>
      </c>
      <c r="AQ8" s="54" t="s">
        <v>2171</v>
      </c>
      <c r="AR8" s="54" t="s">
        <v>2172</v>
      </c>
      <c r="AS8" s="54" t="s">
        <v>2173</v>
      </c>
      <c r="AT8" s="54" t="s">
        <v>2174</v>
      </c>
      <c r="AU8" s="54" t="s">
        <v>2175</v>
      </c>
      <c r="AV8" s="54" t="s">
        <v>2176</v>
      </c>
      <c r="AW8" s="54" t="s">
        <v>2177</v>
      </c>
      <c r="AX8" s="54" t="s">
        <v>2178</v>
      </c>
      <c r="AY8" s="54" t="s">
        <v>2179</v>
      </c>
      <c r="AZ8" s="54" t="s">
        <v>2180</v>
      </c>
      <c r="BA8" s="54"/>
      <c r="BB8" s="54"/>
      <c r="BC8" s="171"/>
      <c r="BD8" s="171"/>
    </row>
    <row r="9" spans="1:56" ht="14.15" customHeight="1">
      <c r="A9" s="54"/>
      <c r="B9" s="54"/>
      <c r="C9" s="54"/>
      <c r="D9" s="54" t="s">
        <v>2181</v>
      </c>
      <c r="E9" s="54"/>
      <c r="F9" s="159"/>
      <c r="G9" s="159"/>
      <c r="H9" s="54"/>
      <c r="I9" s="54"/>
      <c r="J9" s="54"/>
      <c r="K9" s="54"/>
      <c r="L9" s="54"/>
      <c r="M9" s="54"/>
      <c r="N9" s="54"/>
      <c r="O9" s="54"/>
      <c r="P9" s="54"/>
      <c r="Q9" s="54"/>
      <c r="R9" s="54"/>
      <c r="S9" s="54"/>
      <c r="T9" s="54"/>
      <c r="U9" s="54"/>
      <c r="V9" s="54"/>
      <c r="W9" s="54" t="s">
        <v>2182</v>
      </c>
      <c r="X9" s="54"/>
      <c r="Y9" s="54">
        <v>1</v>
      </c>
      <c r="Z9" s="54"/>
      <c r="AA9" s="54"/>
      <c r="AB9" s="54"/>
      <c r="AC9" s="580" t="s">
        <v>2183</v>
      </c>
      <c r="AD9" s="580"/>
      <c r="AE9" s="580"/>
      <c r="AF9" s="580"/>
      <c r="AG9" s="580"/>
      <c r="AH9" s="54"/>
      <c r="AI9" s="54"/>
      <c r="AJ9" s="54"/>
      <c r="AK9" s="54"/>
      <c r="AL9" s="54"/>
      <c r="AM9" s="54"/>
      <c r="AN9" s="163" t="s">
        <v>2184</v>
      </c>
      <c r="AO9" s="54"/>
      <c r="AP9" s="54"/>
      <c r="AQ9" s="54" t="s">
        <v>2185</v>
      </c>
      <c r="AR9" s="54" t="s">
        <v>2186</v>
      </c>
      <c r="AS9" s="54" t="s">
        <v>2187</v>
      </c>
      <c r="AT9" s="54" t="s">
        <v>2188</v>
      </c>
      <c r="AU9" s="54" t="s">
        <v>2189</v>
      </c>
      <c r="AV9" s="54" t="s">
        <v>2190</v>
      </c>
      <c r="AW9" s="54" t="s">
        <v>2191</v>
      </c>
      <c r="AX9" s="54" t="s">
        <v>2192</v>
      </c>
      <c r="AY9" s="54" t="s">
        <v>2193</v>
      </c>
      <c r="AZ9" s="54" t="s">
        <v>2194</v>
      </c>
      <c r="BA9" s="54"/>
      <c r="BB9" s="54"/>
      <c r="BC9" s="171"/>
      <c r="BD9" s="171"/>
    </row>
    <row r="10" spans="1:56" ht="14.15" customHeight="1">
      <c r="A10" s="160"/>
      <c r="B10" s="160"/>
      <c r="C10" s="160"/>
      <c r="D10" s="54" t="s">
        <v>2195</v>
      </c>
      <c r="E10" s="54"/>
      <c r="F10" s="579" t="s">
        <v>2196</v>
      </c>
      <c r="G10" s="579"/>
      <c r="H10" s="570" t="s">
        <v>2197</v>
      </c>
      <c r="I10" s="553"/>
      <c r="J10" s="553"/>
      <c r="K10" s="553"/>
      <c r="L10" s="553"/>
      <c r="M10" s="553"/>
      <c r="N10" s="553"/>
      <c r="O10" s="553"/>
      <c r="P10" s="553"/>
      <c r="Q10" s="553"/>
      <c r="R10" s="553"/>
      <c r="S10" s="54"/>
      <c r="T10" s="54"/>
      <c r="U10" s="54"/>
      <c r="V10" s="54"/>
      <c r="W10" s="54" t="s">
        <v>2198</v>
      </c>
      <c r="X10" s="54"/>
      <c r="Y10" s="54">
        <v>2</v>
      </c>
      <c r="Z10" s="54"/>
      <c r="AA10" s="54"/>
      <c r="AB10" s="54"/>
      <c r="AC10" s="580"/>
      <c r="AD10" s="580"/>
      <c r="AE10" s="580"/>
      <c r="AF10" s="580"/>
      <c r="AG10" s="580"/>
      <c r="AH10" s="54"/>
      <c r="AI10" s="54"/>
      <c r="AJ10" s="54"/>
      <c r="AK10" s="54"/>
      <c r="AL10" s="54"/>
      <c r="AM10" s="54"/>
      <c r="AN10" s="164" t="s">
        <v>2199</v>
      </c>
      <c r="AO10" s="54"/>
      <c r="AP10" s="54" t="s">
        <v>32</v>
      </c>
      <c r="AQ10" s="166" t="s">
        <v>2200</v>
      </c>
      <c r="AR10" s="166" t="s">
        <v>2172</v>
      </c>
      <c r="AS10" s="166" t="s">
        <v>2173</v>
      </c>
      <c r="AT10" s="166" t="s">
        <v>2174</v>
      </c>
      <c r="AU10" s="166" t="s">
        <v>2201</v>
      </c>
      <c r="AV10" s="166" t="s">
        <v>2202</v>
      </c>
      <c r="AW10" s="166" t="s">
        <v>2203</v>
      </c>
      <c r="AX10" s="166" t="s">
        <v>2204</v>
      </c>
      <c r="AY10" s="166" t="s">
        <v>2205</v>
      </c>
      <c r="AZ10" s="166" t="s">
        <v>2206</v>
      </c>
      <c r="BA10" s="166" t="s">
        <v>2207</v>
      </c>
      <c r="BB10" s="166" t="s">
        <v>2208</v>
      </c>
      <c r="BC10" s="166" t="s">
        <v>2209</v>
      </c>
      <c r="BD10" s="171"/>
    </row>
    <row r="11" spans="1:56" ht="14.15" customHeight="1">
      <c r="A11" s="160"/>
      <c r="B11" s="160"/>
      <c r="C11" s="160"/>
      <c r="D11" s="54" t="s">
        <v>2210</v>
      </c>
      <c r="E11" s="54"/>
      <c r="F11" s="579"/>
      <c r="G11" s="579"/>
      <c r="H11" s="553"/>
      <c r="I11" s="553"/>
      <c r="J11" s="553"/>
      <c r="K11" s="553"/>
      <c r="L11" s="553"/>
      <c r="M11" s="553"/>
      <c r="N11" s="553"/>
      <c r="O11" s="553"/>
      <c r="P11" s="553"/>
      <c r="Q11" s="553"/>
      <c r="R11" s="553"/>
      <c r="S11" s="54"/>
      <c r="T11" s="54"/>
      <c r="U11" s="54"/>
      <c r="V11" s="54"/>
      <c r="W11" s="54" t="s">
        <v>2211</v>
      </c>
      <c r="X11" s="54"/>
      <c r="Y11" s="54">
        <v>3</v>
      </c>
      <c r="Z11" s="54"/>
      <c r="AA11" s="54"/>
      <c r="AB11" s="54"/>
      <c r="AC11" s="54"/>
      <c r="AD11" s="54"/>
      <c r="AE11" s="54"/>
      <c r="AF11" s="54"/>
      <c r="AG11" s="54"/>
      <c r="AH11" s="54"/>
      <c r="AI11" s="54"/>
      <c r="AJ11" s="54"/>
      <c r="AK11" s="54"/>
      <c r="AL11" s="54"/>
      <c r="AM11" s="54"/>
      <c r="AN11" s="164" t="s">
        <v>2212</v>
      </c>
      <c r="AO11" s="54"/>
      <c r="AP11" s="54"/>
      <c r="AQ11" s="166" t="s">
        <v>2213</v>
      </c>
      <c r="AR11" s="166" t="s">
        <v>2214</v>
      </c>
      <c r="AS11" s="166" t="s">
        <v>2215</v>
      </c>
      <c r="AT11" s="166" t="s">
        <v>2216</v>
      </c>
      <c r="AU11" s="166" t="s">
        <v>2217</v>
      </c>
      <c r="AV11" s="166" t="s">
        <v>2218</v>
      </c>
      <c r="AW11" s="166" t="s">
        <v>2219</v>
      </c>
      <c r="AX11" s="166" t="s">
        <v>2220</v>
      </c>
      <c r="AY11" s="166" t="s">
        <v>2221</v>
      </c>
      <c r="AZ11" s="166" t="s">
        <v>2222</v>
      </c>
      <c r="BA11" s="166" t="s">
        <v>2223</v>
      </c>
      <c r="BB11" s="166" t="s">
        <v>2224</v>
      </c>
      <c r="BC11" s="166" t="s">
        <v>2225</v>
      </c>
      <c r="BD11" s="171"/>
    </row>
    <row r="12" spans="1:56" ht="14.15" customHeight="1">
      <c r="A12" s="160"/>
      <c r="B12" s="160"/>
      <c r="C12" s="160"/>
      <c r="D12" s="54" t="s">
        <v>2226</v>
      </c>
      <c r="E12" s="54"/>
      <c r="F12" s="159"/>
      <c r="G12" s="159"/>
      <c r="H12" s="54"/>
      <c r="I12" s="54"/>
      <c r="J12" s="54"/>
      <c r="K12" s="54"/>
      <c r="L12" s="54"/>
      <c r="M12" s="54"/>
      <c r="N12" s="54"/>
      <c r="O12" s="54"/>
      <c r="P12" s="54"/>
      <c r="Q12" s="54"/>
      <c r="R12" s="54"/>
      <c r="S12" s="54"/>
      <c r="T12" s="54"/>
      <c r="U12" s="54"/>
      <c r="V12" s="54"/>
      <c r="W12" s="54" t="s">
        <v>2227</v>
      </c>
      <c r="X12" s="54"/>
      <c r="Y12" s="54">
        <v>4</v>
      </c>
      <c r="Z12" s="54"/>
      <c r="AA12" s="54"/>
      <c r="AB12" s="54"/>
      <c r="AC12" s="54"/>
      <c r="AD12" s="54"/>
      <c r="AE12" s="54"/>
      <c r="AF12" s="54"/>
      <c r="AG12" s="54"/>
      <c r="AH12" s="54"/>
      <c r="AI12" s="54"/>
      <c r="AJ12" s="54"/>
      <c r="AK12" s="54"/>
      <c r="AL12" s="54"/>
      <c r="AM12" s="54"/>
      <c r="AN12" s="164" t="s">
        <v>2228</v>
      </c>
      <c r="AO12" s="54"/>
      <c r="AP12" s="54"/>
      <c r="AQ12" s="54"/>
      <c r="AR12" s="54"/>
      <c r="AS12" s="54"/>
      <c r="AT12" s="54"/>
      <c r="AU12" s="54"/>
      <c r="AV12" s="54"/>
      <c r="AW12" s="54"/>
      <c r="AX12" s="54"/>
      <c r="AY12" s="54"/>
      <c r="AZ12" s="54"/>
      <c r="BA12" s="54"/>
      <c r="BB12" s="54"/>
      <c r="BC12" s="171"/>
      <c r="BD12" s="171"/>
    </row>
    <row r="13" spans="1:56" ht="14.15" customHeight="1">
      <c r="A13" s="160"/>
      <c r="B13" s="160"/>
      <c r="C13" s="160"/>
      <c r="D13" s="54" t="s">
        <v>2229</v>
      </c>
      <c r="E13" s="54"/>
      <c r="F13" s="579" t="s">
        <v>2230</v>
      </c>
      <c r="G13" s="579"/>
      <c r="H13" s="570" t="s">
        <v>2231</v>
      </c>
      <c r="I13" s="553"/>
      <c r="J13" s="553"/>
      <c r="K13" s="553"/>
      <c r="L13" s="553"/>
      <c r="M13" s="553"/>
      <c r="N13" s="553"/>
      <c r="O13" s="553"/>
      <c r="P13" s="553"/>
      <c r="Q13" s="553"/>
      <c r="R13" s="553"/>
      <c r="S13" s="54"/>
      <c r="T13" s="54"/>
      <c r="U13" s="54"/>
      <c r="V13" s="54"/>
      <c r="W13" s="54" t="s">
        <v>2232</v>
      </c>
      <c r="X13" s="54"/>
      <c r="Y13" s="54">
        <v>5</v>
      </c>
      <c r="Z13" s="54"/>
      <c r="AA13" s="54"/>
      <c r="AB13" s="54"/>
      <c r="AC13" s="54"/>
      <c r="AD13" s="54"/>
      <c r="AE13" s="54"/>
      <c r="AF13" s="54"/>
      <c r="AG13" s="54"/>
      <c r="AH13" s="54"/>
      <c r="AI13" s="54"/>
      <c r="AJ13" s="54"/>
      <c r="AK13" s="54"/>
      <c r="AL13" s="54"/>
      <c r="AM13" s="54"/>
      <c r="AN13" s="54"/>
      <c r="AO13" s="54"/>
      <c r="AP13" s="569" t="s">
        <v>2233</v>
      </c>
      <c r="AQ13" s="569"/>
      <c r="AR13" s="570" t="s">
        <v>2234</v>
      </c>
      <c r="AS13" s="570"/>
      <c r="AT13" s="570"/>
      <c r="AU13" s="570"/>
      <c r="AV13" s="570"/>
      <c r="AW13" s="570"/>
      <c r="AX13" s="570"/>
      <c r="AY13" s="570"/>
      <c r="AZ13" s="570"/>
      <c r="BA13" s="54"/>
      <c r="BB13" s="54"/>
      <c r="BC13" s="171"/>
      <c r="BD13" s="171"/>
    </row>
    <row r="14" spans="1:56" ht="14.15" customHeight="1">
      <c r="A14" s="160"/>
      <c r="B14" s="160"/>
      <c r="C14" s="160"/>
      <c r="D14" s="54" t="s">
        <v>2235</v>
      </c>
      <c r="E14" s="54"/>
      <c r="F14" s="579"/>
      <c r="G14" s="579"/>
      <c r="H14" s="553"/>
      <c r="I14" s="553"/>
      <c r="J14" s="553"/>
      <c r="K14" s="553"/>
      <c r="L14" s="553"/>
      <c r="M14" s="553"/>
      <c r="N14" s="553"/>
      <c r="O14" s="553"/>
      <c r="P14" s="553"/>
      <c r="Q14" s="553"/>
      <c r="R14" s="553"/>
      <c r="S14" s="54"/>
      <c r="T14" s="54"/>
      <c r="U14" s="54"/>
      <c r="V14" s="54"/>
      <c r="W14" s="54" t="s">
        <v>2236</v>
      </c>
      <c r="X14" s="54"/>
      <c r="Y14" s="54">
        <v>6</v>
      </c>
      <c r="Z14" s="54"/>
      <c r="AA14" s="54"/>
      <c r="AB14" s="54"/>
      <c r="AC14" s="54"/>
      <c r="AD14" s="54"/>
      <c r="AE14" s="54"/>
      <c r="AF14" s="54"/>
      <c r="AG14" s="54"/>
      <c r="AH14" s="54"/>
      <c r="AI14" s="54"/>
      <c r="AJ14" s="54"/>
      <c r="AK14" s="54"/>
      <c r="AL14" s="54"/>
      <c r="AM14" s="54"/>
      <c r="AN14" s="54"/>
      <c r="AO14" s="54"/>
      <c r="AP14" s="569"/>
      <c r="AQ14" s="569"/>
      <c r="AR14" s="570"/>
      <c r="AS14" s="570"/>
      <c r="AT14" s="570"/>
      <c r="AU14" s="570"/>
      <c r="AV14" s="570"/>
      <c r="AW14" s="570"/>
      <c r="AX14" s="570"/>
      <c r="AY14" s="570"/>
      <c r="AZ14" s="570"/>
      <c r="BA14" s="54"/>
      <c r="BB14" s="54"/>
      <c r="BC14" s="171"/>
      <c r="BD14" s="171"/>
    </row>
    <row r="15" spans="1:56" ht="14.15" customHeight="1">
      <c r="A15" s="160"/>
      <c r="B15" s="160"/>
      <c r="C15" s="160"/>
      <c r="D15" s="161" t="s">
        <v>2237</v>
      </c>
      <c r="E15" s="54"/>
      <c r="F15" s="54"/>
      <c r="G15" s="54"/>
      <c r="H15" s="54"/>
      <c r="I15" s="54"/>
      <c r="J15" s="54"/>
      <c r="K15" s="54"/>
      <c r="L15" s="54"/>
      <c r="M15" s="54"/>
      <c r="N15" s="54"/>
      <c r="O15" s="54"/>
      <c r="P15" s="54"/>
      <c r="Q15" s="54"/>
      <c r="R15" s="54"/>
      <c r="S15" s="54"/>
      <c r="T15" s="54"/>
      <c r="U15" s="54"/>
      <c r="V15" s="54"/>
      <c r="W15" s="54" t="s">
        <v>2238</v>
      </c>
      <c r="X15" s="54"/>
      <c r="Y15" s="54">
        <v>7</v>
      </c>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171"/>
      <c r="BD15" s="171"/>
    </row>
    <row r="16" spans="1:56" ht="14.15" customHeight="1">
      <c r="A16" s="54"/>
      <c r="B16" s="54"/>
      <c r="C16" s="54"/>
      <c r="D16" s="161" t="s">
        <v>2239</v>
      </c>
      <c r="E16" s="54"/>
      <c r="F16" s="54"/>
      <c r="G16" s="54"/>
      <c r="H16" s="54"/>
      <c r="I16" s="54"/>
      <c r="J16" s="54"/>
      <c r="K16" s="54"/>
      <c r="L16" s="54"/>
      <c r="M16" s="54"/>
      <c r="N16" s="54"/>
      <c r="O16" s="54"/>
      <c r="P16" s="54"/>
      <c r="Q16" s="54"/>
      <c r="R16" s="54"/>
      <c r="S16" s="54"/>
      <c r="T16" s="54"/>
      <c r="U16" s="54"/>
      <c r="V16" s="54"/>
      <c r="W16" s="54"/>
      <c r="X16" s="54"/>
      <c r="Y16" s="54">
        <v>8</v>
      </c>
      <c r="Z16" s="54"/>
      <c r="AA16" s="54"/>
      <c r="AB16" s="54"/>
      <c r="AC16" s="580" t="s">
        <v>2240</v>
      </c>
      <c r="AD16" s="580"/>
      <c r="AE16" s="580"/>
      <c r="AF16" s="580"/>
      <c r="AG16" s="580"/>
      <c r="AH16" s="54"/>
      <c r="AI16" s="54"/>
      <c r="AJ16" s="54"/>
      <c r="AK16" s="54"/>
      <c r="AL16" s="54"/>
      <c r="AM16" s="54"/>
      <c r="AN16" s="54"/>
      <c r="AO16" s="54"/>
      <c r="AP16" s="54"/>
      <c r="AQ16" s="54"/>
      <c r="AR16" s="54" t="s">
        <v>2241</v>
      </c>
      <c r="AS16" s="54"/>
      <c r="AT16" s="54"/>
      <c r="AU16" s="54"/>
      <c r="AV16" s="54"/>
      <c r="AW16" s="54"/>
      <c r="AX16" s="54"/>
      <c r="AY16" s="54"/>
      <c r="AZ16" s="54"/>
      <c r="BA16" s="54"/>
      <c r="BB16" s="54"/>
      <c r="BC16" s="171"/>
      <c r="BD16" s="171"/>
    </row>
    <row r="17" spans="1:59" ht="14.15" customHeight="1">
      <c r="A17" s="54"/>
      <c r="B17" s="54"/>
      <c r="C17" s="54"/>
      <c r="D17" s="161" t="s">
        <v>2242</v>
      </c>
      <c r="E17" s="54"/>
      <c r="F17" s="54"/>
      <c r="G17" s="54"/>
      <c r="H17" s="54"/>
      <c r="I17" s="54"/>
      <c r="J17" s="54"/>
      <c r="K17" s="54"/>
      <c r="L17" s="54"/>
      <c r="M17" s="54"/>
      <c r="N17" s="54"/>
      <c r="O17" s="54"/>
      <c r="P17" s="54"/>
      <c r="Q17" s="54"/>
      <c r="R17" s="54"/>
      <c r="S17" s="54"/>
      <c r="T17" s="54"/>
      <c r="U17" s="54"/>
      <c r="V17" s="54"/>
      <c r="W17" s="54"/>
      <c r="X17" s="54"/>
      <c r="Y17" s="54">
        <v>9</v>
      </c>
      <c r="Z17" s="54"/>
      <c r="AA17" s="54"/>
      <c r="AB17" s="54"/>
      <c r="AC17" s="580"/>
      <c r="AD17" s="580"/>
      <c r="AE17" s="580"/>
      <c r="AF17" s="580"/>
      <c r="AG17" s="580"/>
      <c r="AH17" s="54"/>
      <c r="AI17" s="54"/>
      <c r="AJ17" s="54"/>
      <c r="AK17" s="54"/>
      <c r="AL17" s="54"/>
      <c r="AM17" s="54"/>
      <c r="AN17" s="54"/>
      <c r="AO17" s="54"/>
      <c r="AP17" s="54"/>
      <c r="AQ17" s="54"/>
      <c r="AR17" s="54" t="s">
        <v>28</v>
      </c>
      <c r="AS17" s="54"/>
      <c r="AT17" s="54"/>
      <c r="AU17" s="54"/>
      <c r="AV17" s="54"/>
      <c r="AW17" s="54"/>
      <c r="AX17" s="54"/>
      <c r="AY17" s="54"/>
      <c r="AZ17" s="54"/>
      <c r="BA17" s="54"/>
      <c r="BB17" s="54"/>
      <c r="BC17" s="171"/>
      <c r="BD17" s="171"/>
    </row>
    <row r="18" spans="1:59" ht="14.15" customHeight="1">
      <c r="A18" s="54"/>
      <c r="B18" s="54"/>
      <c r="C18" s="54"/>
      <c r="D18" s="161" t="s">
        <v>2243</v>
      </c>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t="s">
        <v>2244</v>
      </c>
      <c r="AS18" s="54" t="s">
        <v>2171</v>
      </c>
      <c r="AT18" s="54" t="s">
        <v>2172</v>
      </c>
      <c r="AU18" s="54" t="s">
        <v>2173</v>
      </c>
      <c r="AV18" s="54" t="s">
        <v>2174</v>
      </c>
      <c r="AW18" s="54" t="s">
        <v>2175</v>
      </c>
      <c r="AX18" s="54" t="s">
        <v>2176</v>
      </c>
      <c r="AY18" s="54" t="s">
        <v>2177</v>
      </c>
      <c r="AZ18" s="54" t="s">
        <v>2178</v>
      </c>
      <c r="BA18" s="54" t="s">
        <v>2179</v>
      </c>
      <c r="BB18" s="54" t="s">
        <v>2180</v>
      </c>
      <c r="BC18" s="171"/>
      <c r="BD18" s="171"/>
    </row>
    <row r="19" spans="1:59" ht="14.15" customHeight="1">
      <c r="A19" s="54"/>
      <c r="B19" s="54"/>
      <c r="C19" s="54"/>
      <c r="D19" s="161" t="s">
        <v>2245</v>
      </c>
      <c r="E19" s="54"/>
      <c r="F19" s="54"/>
      <c r="G19" s="54"/>
      <c r="H19" s="54"/>
      <c r="I19" s="54"/>
      <c r="J19" s="54"/>
      <c r="K19" s="54"/>
      <c r="L19" s="54"/>
      <c r="M19" s="54"/>
      <c r="N19" s="54"/>
      <c r="O19" s="54"/>
      <c r="P19" s="54"/>
      <c r="Q19" s="54"/>
      <c r="R19" s="54"/>
      <c r="S19" s="54"/>
      <c r="T19" s="54"/>
      <c r="U19" s="54"/>
      <c r="V19" s="54"/>
      <c r="W19" s="54"/>
      <c r="X19" s="54"/>
      <c r="Y19" s="569" t="s">
        <v>2246</v>
      </c>
      <c r="Z19" s="569"/>
      <c r="AA19" s="570" t="s">
        <v>2247</v>
      </c>
      <c r="AB19" s="553"/>
      <c r="AC19" s="553"/>
      <c r="AD19" s="553"/>
      <c r="AE19" s="553"/>
      <c r="AF19" s="553"/>
      <c r="AG19" s="553"/>
      <c r="AH19" s="553"/>
      <c r="AI19" s="553"/>
      <c r="AJ19" s="553"/>
      <c r="AK19" s="553"/>
      <c r="AL19" s="54"/>
      <c r="AM19" s="54"/>
      <c r="AN19" s="54"/>
      <c r="AO19" s="54"/>
      <c r="AP19" s="54" t="s">
        <v>32</v>
      </c>
      <c r="AQ19" s="54"/>
      <c r="AR19" s="54" t="s">
        <v>2248</v>
      </c>
      <c r="AS19" s="54" t="s">
        <v>2185</v>
      </c>
      <c r="AT19" s="54" t="s">
        <v>2186</v>
      </c>
      <c r="AU19" s="54" t="s">
        <v>2187</v>
      </c>
      <c r="AV19" s="54" t="s">
        <v>2188</v>
      </c>
      <c r="AW19" s="54" t="s">
        <v>2189</v>
      </c>
      <c r="AX19" s="54" t="s">
        <v>2190</v>
      </c>
      <c r="AY19" s="54" t="s">
        <v>2191</v>
      </c>
      <c r="AZ19" s="54" t="s">
        <v>2192</v>
      </c>
      <c r="BA19" s="54" t="s">
        <v>2193</v>
      </c>
      <c r="BB19" s="54" t="s">
        <v>2194</v>
      </c>
      <c r="BC19" s="171"/>
      <c r="BD19" s="171"/>
    </row>
    <row r="20" spans="1:59" ht="14.15" customHeight="1">
      <c r="A20" s="54"/>
      <c r="B20" s="54"/>
      <c r="C20" s="54"/>
      <c r="D20" s="161" t="s">
        <v>2249</v>
      </c>
      <c r="E20" s="54"/>
      <c r="F20" s="54"/>
      <c r="G20" s="54"/>
      <c r="H20" s="54"/>
      <c r="I20" s="54"/>
      <c r="J20" s="54"/>
      <c r="K20" s="54"/>
      <c r="L20" s="54"/>
      <c r="M20" s="54"/>
      <c r="N20" s="54"/>
      <c r="O20" s="54"/>
      <c r="P20" s="54"/>
      <c r="Q20" s="54"/>
      <c r="R20" s="54"/>
      <c r="S20" s="54"/>
      <c r="T20" s="54"/>
      <c r="U20" s="54"/>
      <c r="V20" s="54"/>
      <c r="W20" s="54"/>
      <c r="X20" s="54"/>
      <c r="Y20" s="569"/>
      <c r="Z20" s="569"/>
      <c r="AA20" s="553"/>
      <c r="AB20" s="553"/>
      <c r="AC20" s="553"/>
      <c r="AD20" s="553"/>
      <c r="AE20" s="553"/>
      <c r="AF20" s="553"/>
      <c r="AG20" s="553"/>
      <c r="AH20" s="553"/>
      <c r="AI20" s="553"/>
      <c r="AJ20" s="553"/>
      <c r="AK20" s="553"/>
      <c r="AL20" s="54"/>
      <c r="AM20" s="54"/>
      <c r="AN20" s="54"/>
      <c r="AO20" s="54"/>
      <c r="AP20" s="54" t="s">
        <v>2250</v>
      </c>
      <c r="AQ20" s="54" t="s">
        <v>2251</v>
      </c>
      <c r="AR20" s="83">
        <v>2</v>
      </c>
      <c r="AS20" s="83">
        <v>2</v>
      </c>
      <c r="AT20" s="83">
        <v>3</v>
      </c>
      <c r="AU20" s="83">
        <v>3</v>
      </c>
      <c r="AV20" s="83">
        <v>4</v>
      </c>
      <c r="AW20" s="83">
        <v>6</v>
      </c>
      <c r="AX20" s="83">
        <v>6</v>
      </c>
      <c r="AY20" s="83">
        <v>7</v>
      </c>
      <c r="AZ20" s="83">
        <v>8</v>
      </c>
      <c r="BA20" s="83">
        <v>10</v>
      </c>
      <c r="BB20" s="83">
        <v>10</v>
      </c>
      <c r="BC20" s="171"/>
      <c r="BD20" s="171"/>
    </row>
    <row r="21" spans="1:59" ht="14.15" customHeight="1">
      <c r="A21" s="54"/>
      <c r="B21" s="54"/>
      <c r="C21" s="54"/>
      <c r="D21" s="161" t="s">
        <v>2252</v>
      </c>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t="s">
        <v>2200</v>
      </c>
      <c r="AQ21" s="54" t="s">
        <v>2213</v>
      </c>
      <c r="AR21" s="83">
        <v>2</v>
      </c>
      <c r="AS21" s="167">
        <v>2</v>
      </c>
      <c r="AT21" s="83">
        <v>2</v>
      </c>
      <c r="AU21" s="83">
        <v>3</v>
      </c>
      <c r="AV21" s="83">
        <v>4</v>
      </c>
      <c r="AW21" s="83">
        <v>5</v>
      </c>
      <c r="AX21" s="83">
        <v>5</v>
      </c>
      <c r="AY21" s="83">
        <v>6</v>
      </c>
      <c r="AZ21" s="83">
        <v>7</v>
      </c>
      <c r="BA21" s="83">
        <v>8</v>
      </c>
      <c r="BB21" s="83">
        <v>9</v>
      </c>
      <c r="BC21" s="171"/>
      <c r="BD21" s="171"/>
      <c r="BF21" s="153"/>
      <c r="BG21" s="178"/>
    </row>
    <row r="22" spans="1:59" ht="14.15" customHeight="1">
      <c r="A22" s="54"/>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80" t="s">
        <v>2253</v>
      </c>
      <c r="AB22" s="580"/>
      <c r="AC22" s="580"/>
      <c r="AD22" s="580"/>
      <c r="AE22" s="580"/>
      <c r="AF22" s="580"/>
      <c r="AG22" s="54"/>
      <c r="AH22" s="54"/>
      <c r="AI22" s="54"/>
      <c r="AJ22" s="54"/>
      <c r="AK22" s="54"/>
      <c r="AL22" s="54"/>
      <c r="AM22" s="54"/>
      <c r="AN22" s="54"/>
      <c r="AO22" s="54"/>
      <c r="AP22" s="54" t="s">
        <v>2172</v>
      </c>
      <c r="AQ22" s="54" t="s">
        <v>2214</v>
      </c>
      <c r="AR22" s="83">
        <v>1</v>
      </c>
      <c r="AS22" s="83">
        <v>2</v>
      </c>
      <c r="AT22" s="167">
        <v>2</v>
      </c>
      <c r="AU22" s="83">
        <v>2</v>
      </c>
      <c r="AV22" s="83">
        <v>3</v>
      </c>
      <c r="AW22" s="83">
        <v>4</v>
      </c>
      <c r="AX22" s="83">
        <v>4</v>
      </c>
      <c r="AY22" s="83">
        <v>5</v>
      </c>
      <c r="AZ22" s="83">
        <v>6</v>
      </c>
      <c r="BA22" s="83">
        <v>7</v>
      </c>
      <c r="BB22" s="83">
        <v>7</v>
      </c>
      <c r="BC22" s="171"/>
      <c r="BD22" s="171"/>
      <c r="BF22" s="153"/>
      <c r="BG22" s="179"/>
    </row>
    <row r="23" spans="1:59" ht="14.15" customHeight="1">
      <c r="A23" s="54"/>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80"/>
      <c r="AB23" s="580"/>
      <c r="AC23" s="580"/>
      <c r="AD23" s="580"/>
      <c r="AE23" s="580"/>
      <c r="AF23" s="580"/>
      <c r="AG23" s="54"/>
      <c r="AH23" s="54"/>
      <c r="AI23" s="54"/>
      <c r="AJ23" s="54"/>
      <c r="AK23" s="54"/>
      <c r="AL23" s="54"/>
      <c r="AM23" s="54"/>
      <c r="AN23" s="54"/>
      <c r="AO23" s="54"/>
      <c r="AP23" s="54" t="s">
        <v>2173</v>
      </c>
      <c r="AQ23" s="54" t="s">
        <v>2215</v>
      </c>
      <c r="AR23" s="83">
        <v>1</v>
      </c>
      <c r="AS23" s="83">
        <v>1</v>
      </c>
      <c r="AT23" s="83">
        <v>2</v>
      </c>
      <c r="AU23" s="168">
        <v>2</v>
      </c>
      <c r="AV23" s="83">
        <v>3</v>
      </c>
      <c r="AW23" s="83">
        <v>3</v>
      </c>
      <c r="AX23" s="83">
        <v>4</v>
      </c>
      <c r="AY23" s="83">
        <v>4</v>
      </c>
      <c r="AZ23" s="83">
        <v>5</v>
      </c>
      <c r="BA23" s="83">
        <v>5</v>
      </c>
      <c r="BB23" s="83">
        <v>6</v>
      </c>
      <c r="BC23" s="171"/>
      <c r="BD23" s="171"/>
      <c r="BF23" s="153"/>
      <c r="BG23" s="180"/>
    </row>
    <row r="24" spans="1:59" ht="14.1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t="s">
        <v>2174</v>
      </c>
      <c r="AQ24" s="54" t="s">
        <v>2216</v>
      </c>
      <c r="AR24" s="83">
        <v>1</v>
      </c>
      <c r="AS24" s="83">
        <v>1</v>
      </c>
      <c r="AT24" s="83">
        <v>1</v>
      </c>
      <c r="AU24" s="83">
        <v>2</v>
      </c>
      <c r="AV24" s="83">
        <v>2</v>
      </c>
      <c r="AW24" s="83">
        <v>3</v>
      </c>
      <c r="AX24" s="83">
        <v>3</v>
      </c>
      <c r="AY24" s="83">
        <v>3</v>
      </c>
      <c r="AZ24" s="83">
        <v>4</v>
      </c>
      <c r="BA24" s="83">
        <v>5</v>
      </c>
      <c r="BB24" s="83">
        <v>5</v>
      </c>
      <c r="BC24" s="171"/>
      <c r="BD24" s="171"/>
      <c r="BF24" s="153"/>
      <c r="BG24" s="181"/>
    </row>
    <row r="25" spans="1:59" ht="14.15" customHeight="1">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80" t="s">
        <v>2254</v>
      </c>
      <c r="AB25" s="580"/>
      <c r="AC25" s="580"/>
      <c r="AD25" s="580"/>
      <c r="AE25" s="580"/>
      <c r="AF25" s="580"/>
      <c r="AG25" s="54"/>
      <c r="AH25" s="54"/>
      <c r="AI25" s="54"/>
      <c r="AJ25" s="54"/>
      <c r="AK25" s="54"/>
      <c r="AL25" s="54"/>
      <c r="AM25" s="54"/>
      <c r="AN25" s="54"/>
      <c r="AO25" s="54"/>
      <c r="AP25" s="54" t="s">
        <v>2201</v>
      </c>
      <c r="AQ25" s="54" t="s">
        <v>2217</v>
      </c>
      <c r="AR25" s="83">
        <v>1</v>
      </c>
      <c r="AS25" s="83">
        <v>1</v>
      </c>
      <c r="AT25" s="83">
        <v>1</v>
      </c>
      <c r="AU25" s="83">
        <v>1</v>
      </c>
      <c r="AV25" s="169">
        <v>2</v>
      </c>
      <c r="AW25" s="83">
        <v>2</v>
      </c>
      <c r="AX25" s="83">
        <v>2</v>
      </c>
      <c r="AY25" s="83">
        <v>3</v>
      </c>
      <c r="AZ25" s="83">
        <v>3</v>
      </c>
      <c r="BA25" s="83">
        <v>4</v>
      </c>
      <c r="BB25" s="83">
        <v>4</v>
      </c>
      <c r="BC25" s="171"/>
      <c r="BD25" s="171"/>
      <c r="BF25" s="153"/>
      <c r="BG25" s="182"/>
    </row>
    <row r="26" spans="1:59" ht="14.15" customHeight="1">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80"/>
      <c r="AB26" s="580"/>
      <c r="AC26" s="580"/>
      <c r="AD26" s="580"/>
      <c r="AE26" s="580"/>
      <c r="AF26" s="580"/>
      <c r="AG26" s="54"/>
      <c r="AH26" s="54"/>
      <c r="AI26" s="54"/>
      <c r="AJ26" s="54"/>
      <c r="AK26" s="54"/>
      <c r="AL26" s="54"/>
      <c r="AM26" s="54"/>
      <c r="AN26" s="54"/>
      <c r="AO26" s="54"/>
      <c r="AP26" s="54" t="s">
        <v>2202</v>
      </c>
      <c r="AQ26" s="54" t="s">
        <v>2218</v>
      </c>
      <c r="AR26" s="83">
        <v>1</v>
      </c>
      <c r="AS26" s="83">
        <v>1</v>
      </c>
      <c r="AT26" s="83">
        <v>1</v>
      </c>
      <c r="AU26" s="83">
        <v>1</v>
      </c>
      <c r="AV26" s="170">
        <v>2</v>
      </c>
      <c r="AW26" s="83">
        <v>2</v>
      </c>
      <c r="AX26" s="83">
        <v>2</v>
      </c>
      <c r="AY26" s="83">
        <v>2</v>
      </c>
      <c r="AZ26" s="83">
        <v>3</v>
      </c>
      <c r="BA26" s="83">
        <v>3</v>
      </c>
      <c r="BB26" s="83">
        <v>3</v>
      </c>
      <c r="BC26" s="171"/>
      <c r="BD26" s="171"/>
      <c r="BF26" s="153"/>
      <c r="BG26" s="183"/>
    </row>
    <row r="27" spans="1:59" ht="14.15" customHeight="1">
      <c r="A27" s="54"/>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t="s">
        <v>2255</v>
      </c>
      <c r="AQ27" s="54" t="s">
        <v>2256</v>
      </c>
      <c r="AR27" s="83">
        <v>1</v>
      </c>
      <c r="AS27" s="83">
        <v>1</v>
      </c>
      <c r="AT27" s="123">
        <v>1</v>
      </c>
      <c r="AU27" s="123">
        <v>1</v>
      </c>
      <c r="AV27" s="123">
        <v>1</v>
      </c>
      <c r="AW27" s="123">
        <v>2</v>
      </c>
      <c r="AX27" s="123">
        <v>2</v>
      </c>
      <c r="AY27" s="123">
        <v>2</v>
      </c>
      <c r="AZ27" s="123">
        <v>2</v>
      </c>
      <c r="BA27" s="83">
        <v>3</v>
      </c>
      <c r="BB27" s="83">
        <v>3</v>
      </c>
      <c r="BC27" s="171"/>
      <c r="BD27" s="171"/>
      <c r="BF27" s="153"/>
      <c r="BG27" s="184"/>
    </row>
    <row r="28" spans="1:59" ht="14.15" customHeight="1">
      <c r="A28" s="54"/>
      <c r="B28" s="54"/>
      <c r="C28" s="54"/>
      <c r="D28" s="54"/>
      <c r="E28" s="54"/>
      <c r="F28" s="570" t="s">
        <v>2257</v>
      </c>
      <c r="G28" s="570"/>
      <c r="H28" s="570"/>
      <c r="I28" s="570"/>
      <c r="J28" s="570"/>
      <c r="K28" s="570"/>
      <c r="L28" s="570"/>
      <c r="M28" s="570"/>
      <c r="N28" s="570"/>
      <c r="O28" s="570"/>
      <c r="P28" s="570"/>
      <c r="Q28" s="570"/>
      <c r="R28" s="570"/>
      <c r="S28" s="54"/>
      <c r="T28" s="54"/>
      <c r="U28" s="54"/>
      <c r="V28" s="54"/>
      <c r="W28" s="54"/>
      <c r="X28" s="54"/>
      <c r="Y28" s="54"/>
      <c r="Z28" s="54"/>
      <c r="AA28" s="580" t="s">
        <v>2258</v>
      </c>
      <c r="AB28" s="580"/>
      <c r="AC28" s="580"/>
      <c r="AD28" s="580"/>
      <c r="AE28" s="580"/>
      <c r="AF28" s="580"/>
      <c r="AG28" s="54"/>
      <c r="AH28" s="54"/>
      <c r="AI28" s="54"/>
      <c r="AJ28" s="54"/>
      <c r="AK28" s="54"/>
      <c r="AL28" s="54"/>
      <c r="AM28" s="54"/>
      <c r="AN28" s="54"/>
      <c r="AO28" s="54"/>
      <c r="AP28" s="54" t="s">
        <v>2203</v>
      </c>
      <c r="AQ28" s="54" t="s">
        <v>2219</v>
      </c>
      <c r="AR28" s="83">
        <v>1</v>
      </c>
      <c r="AS28" s="83">
        <v>1</v>
      </c>
      <c r="AT28" s="123">
        <v>1</v>
      </c>
      <c r="AU28" s="123">
        <v>1</v>
      </c>
      <c r="AV28" s="123">
        <v>1</v>
      </c>
      <c r="AW28" s="172">
        <v>2</v>
      </c>
      <c r="AX28" s="123">
        <v>2</v>
      </c>
      <c r="AY28" s="123">
        <v>2</v>
      </c>
      <c r="AZ28" s="123">
        <v>2</v>
      </c>
      <c r="BA28" s="83">
        <v>2</v>
      </c>
      <c r="BB28" s="83">
        <v>3</v>
      </c>
      <c r="BC28" s="171"/>
      <c r="BD28" s="171"/>
      <c r="BF28" s="153"/>
      <c r="BG28" s="185"/>
    </row>
    <row r="29" spans="1:59" ht="14.15" customHeight="1">
      <c r="A29" s="54"/>
      <c r="B29" s="54"/>
      <c r="C29" s="54"/>
      <c r="D29" s="54"/>
      <c r="E29" s="54"/>
      <c r="F29" s="570"/>
      <c r="G29" s="570"/>
      <c r="H29" s="570"/>
      <c r="I29" s="570"/>
      <c r="J29" s="570"/>
      <c r="K29" s="570"/>
      <c r="L29" s="570"/>
      <c r="M29" s="570"/>
      <c r="N29" s="570"/>
      <c r="O29" s="570"/>
      <c r="P29" s="570"/>
      <c r="Q29" s="570"/>
      <c r="R29" s="570"/>
      <c r="S29" s="54"/>
      <c r="T29" s="54"/>
      <c r="U29" s="54"/>
      <c r="V29" s="54"/>
      <c r="W29" s="54"/>
      <c r="X29" s="54"/>
      <c r="Y29" s="54"/>
      <c r="Z29" s="54"/>
      <c r="AA29" s="580"/>
      <c r="AB29" s="580"/>
      <c r="AC29" s="580"/>
      <c r="AD29" s="580"/>
      <c r="AE29" s="580"/>
      <c r="AF29" s="580"/>
      <c r="AG29" s="54"/>
      <c r="AH29" s="54"/>
      <c r="AI29" s="54"/>
      <c r="AJ29" s="54"/>
      <c r="AK29" s="54"/>
      <c r="AL29" s="54"/>
      <c r="AM29" s="54"/>
      <c r="AN29" s="54"/>
      <c r="AO29" s="54"/>
      <c r="AP29" s="54" t="s">
        <v>2204</v>
      </c>
      <c r="AQ29" s="54" t="s">
        <v>2220</v>
      </c>
      <c r="AR29" s="83">
        <v>1</v>
      </c>
      <c r="AS29" s="83">
        <v>1</v>
      </c>
      <c r="AT29" s="123">
        <v>1</v>
      </c>
      <c r="AU29" s="123">
        <v>1</v>
      </c>
      <c r="AV29" s="123">
        <v>1</v>
      </c>
      <c r="AW29" s="123">
        <v>1</v>
      </c>
      <c r="AX29" s="173">
        <v>2</v>
      </c>
      <c r="AY29" s="123">
        <v>2</v>
      </c>
      <c r="AZ29" s="123">
        <v>2</v>
      </c>
      <c r="BA29" s="83">
        <v>2</v>
      </c>
      <c r="BB29" s="83">
        <v>2</v>
      </c>
      <c r="BC29" s="171"/>
      <c r="BD29" s="171"/>
      <c r="BF29" s="186"/>
      <c r="BG29" s="187"/>
    </row>
    <row r="30" spans="1:59" ht="14.15" customHeight="1">
      <c r="A30" s="54"/>
      <c r="B30" s="54"/>
      <c r="C30" s="54"/>
      <c r="D30" s="54"/>
      <c r="E30" s="54"/>
      <c r="F30" s="570"/>
      <c r="G30" s="570"/>
      <c r="H30" s="570"/>
      <c r="I30" s="570"/>
      <c r="J30" s="570"/>
      <c r="K30" s="570"/>
      <c r="L30" s="570"/>
      <c r="M30" s="570"/>
      <c r="N30" s="570"/>
      <c r="O30" s="570"/>
      <c r="P30" s="570"/>
      <c r="Q30" s="570"/>
      <c r="R30" s="570"/>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t="s">
        <v>2205</v>
      </c>
      <c r="AQ30" s="54" t="s">
        <v>2221</v>
      </c>
      <c r="AR30" s="83">
        <v>1</v>
      </c>
      <c r="AS30" s="83">
        <v>1</v>
      </c>
      <c r="AT30" s="123">
        <v>1</v>
      </c>
      <c r="AU30" s="123">
        <v>1</v>
      </c>
      <c r="AV30" s="123">
        <v>1</v>
      </c>
      <c r="AW30" s="123">
        <v>1</v>
      </c>
      <c r="AX30" s="123">
        <v>1</v>
      </c>
      <c r="AY30" s="174">
        <v>2</v>
      </c>
      <c r="AZ30" s="123">
        <v>2</v>
      </c>
      <c r="BA30" s="83">
        <v>2</v>
      </c>
      <c r="BB30" s="83">
        <v>2</v>
      </c>
      <c r="BC30" s="171"/>
      <c r="BD30" s="171"/>
      <c r="BF30" s="186"/>
      <c r="BG30" s="188"/>
    </row>
    <row r="31" spans="1:59" ht="14.15" customHeight="1">
      <c r="A31" s="54"/>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t="s">
        <v>2206</v>
      </c>
      <c r="AQ31" s="54" t="s">
        <v>2222</v>
      </c>
      <c r="AR31" s="83">
        <v>1</v>
      </c>
      <c r="AS31" s="83">
        <v>1</v>
      </c>
      <c r="AT31" s="123">
        <v>1</v>
      </c>
      <c r="AU31" s="123">
        <v>1</v>
      </c>
      <c r="AV31" s="123">
        <v>1</v>
      </c>
      <c r="AW31" s="123">
        <v>1</v>
      </c>
      <c r="AX31" s="123">
        <v>1</v>
      </c>
      <c r="AY31" s="123">
        <v>1</v>
      </c>
      <c r="AZ31" s="123">
        <v>2</v>
      </c>
      <c r="BA31" s="83">
        <v>2</v>
      </c>
      <c r="BB31" s="83">
        <v>2</v>
      </c>
      <c r="BC31" s="171"/>
      <c r="BD31" s="171"/>
    </row>
    <row r="32" spans="1:59" ht="14.15" customHeight="1">
      <c r="A32" s="54"/>
      <c r="B32" s="54"/>
      <c r="C32" s="54"/>
      <c r="D32" s="54"/>
      <c r="E32" s="54"/>
      <c r="F32" s="569" t="s">
        <v>2259</v>
      </c>
      <c r="G32" s="569"/>
      <c r="H32" s="570" t="s">
        <v>2260</v>
      </c>
      <c r="I32" s="553"/>
      <c r="J32" s="553"/>
      <c r="K32" s="553"/>
      <c r="L32" s="553"/>
      <c r="M32" s="553"/>
      <c r="N32" s="553"/>
      <c r="O32" s="553"/>
      <c r="P32" s="553"/>
      <c r="Q32" s="553"/>
      <c r="R32" s="553"/>
      <c r="S32" s="54"/>
      <c r="T32" s="54"/>
      <c r="U32" s="54"/>
      <c r="V32" s="54"/>
      <c r="W32" s="54"/>
      <c r="X32" s="54"/>
      <c r="Y32" s="573" t="s">
        <v>93</v>
      </c>
      <c r="Z32" s="573"/>
      <c r="AA32" s="571" t="s">
        <v>2261</v>
      </c>
      <c r="AB32" s="571"/>
      <c r="AC32" s="571"/>
      <c r="AD32" s="571"/>
      <c r="AE32" s="571"/>
      <c r="AF32" s="571"/>
      <c r="AG32" s="571"/>
      <c r="AH32" s="571"/>
      <c r="AI32" s="571"/>
      <c r="AJ32" s="571"/>
      <c r="AK32" s="571"/>
      <c r="AL32" s="54"/>
      <c r="AM32" s="54"/>
      <c r="AN32" s="54"/>
      <c r="AO32" s="54"/>
      <c r="AP32" s="54" t="s">
        <v>2207</v>
      </c>
      <c r="AQ32" s="54" t="s">
        <v>2223</v>
      </c>
      <c r="AR32" s="83">
        <v>1</v>
      </c>
      <c r="AS32" s="83">
        <v>1</v>
      </c>
      <c r="AT32" s="123">
        <v>1</v>
      </c>
      <c r="AU32" s="123">
        <v>1</v>
      </c>
      <c r="AV32" s="123">
        <v>1</v>
      </c>
      <c r="AW32" s="123">
        <v>1</v>
      </c>
      <c r="AX32" s="123">
        <v>1</v>
      </c>
      <c r="AY32" s="123">
        <v>1</v>
      </c>
      <c r="AZ32" s="175">
        <v>2</v>
      </c>
      <c r="BA32" s="83">
        <v>2</v>
      </c>
      <c r="BB32" s="83">
        <v>2</v>
      </c>
      <c r="BC32" s="171"/>
      <c r="BD32" s="171"/>
    </row>
    <row r="33" spans="1:56" ht="14.15" customHeight="1">
      <c r="A33" s="54"/>
      <c r="B33" s="54"/>
      <c r="C33" s="54"/>
      <c r="D33" s="54"/>
      <c r="E33" s="54"/>
      <c r="F33" s="569"/>
      <c r="G33" s="569"/>
      <c r="H33" s="553"/>
      <c r="I33" s="553"/>
      <c r="J33" s="553"/>
      <c r="K33" s="553"/>
      <c r="L33" s="553"/>
      <c r="M33" s="553"/>
      <c r="N33" s="553"/>
      <c r="O33" s="553"/>
      <c r="P33" s="553"/>
      <c r="Q33" s="553"/>
      <c r="R33" s="553"/>
      <c r="S33" s="54"/>
      <c r="T33" s="54"/>
      <c r="U33" s="54"/>
      <c r="V33" s="54"/>
      <c r="W33" s="54"/>
      <c r="X33" s="54"/>
      <c r="Y33" s="574"/>
      <c r="Z33" s="574"/>
      <c r="AA33" s="572"/>
      <c r="AB33" s="572"/>
      <c r="AC33" s="572"/>
      <c r="AD33" s="572"/>
      <c r="AE33" s="572"/>
      <c r="AF33" s="572"/>
      <c r="AG33" s="572"/>
      <c r="AH33" s="572"/>
      <c r="AI33" s="572"/>
      <c r="AJ33" s="572"/>
      <c r="AK33" s="572"/>
      <c r="AL33" s="54"/>
      <c r="AM33" s="54"/>
      <c r="AN33" s="54"/>
      <c r="AO33" s="54"/>
      <c r="AP33" s="54" t="s">
        <v>2208</v>
      </c>
      <c r="AQ33" s="54" t="s">
        <v>2224</v>
      </c>
      <c r="AR33" s="83">
        <v>1</v>
      </c>
      <c r="AS33" s="83">
        <v>1</v>
      </c>
      <c r="AT33" s="123">
        <v>1</v>
      </c>
      <c r="AU33" s="123">
        <v>1</v>
      </c>
      <c r="AV33" s="123">
        <v>1</v>
      </c>
      <c r="AW33" s="123">
        <v>1</v>
      </c>
      <c r="AX33" s="123">
        <v>1</v>
      </c>
      <c r="AY33" s="123">
        <v>1</v>
      </c>
      <c r="AZ33" s="123">
        <v>1</v>
      </c>
      <c r="BA33" s="176">
        <v>2</v>
      </c>
      <c r="BB33" s="83">
        <v>2</v>
      </c>
      <c r="BC33" s="171"/>
      <c r="BD33" s="171"/>
    </row>
    <row r="34" spans="1:56" ht="14.1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t="s">
        <v>2209</v>
      </c>
      <c r="AQ34" s="54" t="s">
        <v>2225</v>
      </c>
      <c r="AR34" s="83">
        <v>1</v>
      </c>
      <c r="AS34" s="83">
        <v>1</v>
      </c>
      <c r="AT34" s="123">
        <v>1</v>
      </c>
      <c r="AU34" s="123">
        <v>1</v>
      </c>
      <c r="AV34" s="123">
        <v>1</v>
      </c>
      <c r="AW34" s="123">
        <v>1</v>
      </c>
      <c r="AX34" s="123">
        <v>1</v>
      </c>
      <c r="AY34" s="123">
        <v>1</v>
      </c>
      <c r="AZ34" s="123">
        <v>1</v>
      </c>
      <c r="BA34" s="123">
        <v>2</v>
      </c>
      <c r="BB34" s="177">
        <v>2</v>
      </c>
      <c r="BC34" s="171"/>
      <c r="BD34" s="171"/>
    </row>
    <row r="35" spans="1:56" ht="14.15" customHeight="1">
      <c r="A35" s="54"/>
      <c r="B35" s="54"/>
      <c r="C35" s="54"/>
      <c r="D35" s="54"/>
      <c r="E35" s="54"/>
      <c r="F35" s="569" t="s">
        <v>2262</v>
      </c>
      <c r="G35" s="569"/>
      <c r="H35" s="570" t="s">
        <v>2263</v>
      </c>
      <c r="I35" s="553"/>
      <c r="J35" s="553"/>
      <c r="K35" s="553"/>
      <c r="L35" s="553"/>
      <c r="M35" s="553"/>
      <c r="N35" s="553"/>
      <c r="O35" s="553"/>
      <c r="P35" s="553"/>
      <c r="Q35" s="553"/>
      <c r="R35" s="553"/>
      <c r="S35" s="54"/>
      <c r="T35" s="54"/>
      <c r="U35" s="54"/>
      <c r="V35" s="54"/>
      <c r="W35" s="54"/>
      <c r="X35" s="54"/>
      <c r="Y35" s="569" t="s">
        <v>2264</v>
      </c>
      <c r="Z35" s="569"/>
      <c r="AA35" s="570" t="s">
        <v>2265</v>
      </c>
      <c r="AB35" s="553"/>
      <c r="AC35" s="553"/>
      <c r="AD35" s="553"/>
      <c r="AE35" s="553"/>
      <c r="AF35" s="553"/>
      <c r="AG35" s="553"/>
      <c r="AH35" s="553"/>
      <c r="AI35" s="553"/>
      <c r="AJ35" s="553"/>
      <c r="AK35" s="553"/>
      <c r="AL35" s="54"/>
      <c r="AM35" s="54"/>
      <c r="AN35" s="54"/>
      <c r="AO35" s="54"/>
      <c r="AP35" s="54"/>
      <c r="AQ35" s="54"/>
      <c r="AR35" s="54"/>
      <c r="AS35" s="54"/>
      <c r="AT35" s="142"/>
      <c r="AU35" s="142"/>
      <c r="AV35" s="142"/>
      <c r="AW35" s="142"/>
      <c r="AX35" s="142"/>
      <c r="AY35" s="142"/>
      <c r="AZ35" s="142"/>
      <c r="BA35" s="142"/>
      <c r="BB35" s="142"/>
      <c r="BC35" s="171"/>
      <c r="BD35" s="171"/>
    </row>
    <row r="36" spans="1:56" ht="14.15" customHeight="1">
      <c r="A36" s="54"/>
      <c r="B36" s="54"/>
      <c r="C36" s="54"/>
      <c r="D36" s="54"/>
      <c r="E36" s="54"/>
      <c r="F36" s="569"/>
      <c r="G36" s="569"/>
      <c r="H36" s="553"/>
      <c r="I36" s="553"/>
      <c r="J36" s="553"/>
      <c r="K36" s="553"/>
      <c r="L36" s="553"/>
      <c r="M36" s="553"/>
      <c r="N36" s="553"/>
      <c r="O36" s="553"/>
      <c r="P36" s="553"/>
      <c r="Q36" s="553"/>
      <c r="R36" s="553"/>
      <c r="S36" s="54"/>
      <c r="T36" s="54"/>
      <c r="U36" s="54"/>
      <c r="V36" s="54"/>
      <c r="W36" s="54"/>
      <c r="X36" s="54"/>
      <c r="Y36" s="569"/>
      <c r="Z36" s="569"/>
      <c r="AA36" s="553"/>
      <c r="AB36" s="553"/>
      <c r="AC36" s="553"/>
      <c r="AD36" s="553"/>
      <c r="AE36" s="553"/>
      <c r="AF36" s="553"/>
      <c r="AG36" s="553"/>
      <c r="AH36" s="553"/>
      <c r="AI36" s="553"/>
      <c r="AJ36" s="553"/>
      <c r="AK36" s="553"/>
      <c r="AL36" s="54"/>
      <c r="AM36" s="54"/>
      <c r="AN36" s="54"/>
      <c r="AO36" s="54"/>
      <c r="AP36" s="571" t="s">
        <v>2266</v>
      </c>
      <c r="AQ36" s="571"/>
      <c r="AR36" s="54"/>
      <c r="AS36" s="54"/>
      <c r="AT36" s="54"/>
      <c r="AU36" s="54"/>
      <c r="AV36" s="54"/>
      <c r="AW36" s="54"/>
      <c r="AX36" s="54"/>
      <c r="AY36" s="54"/>
      <c r="AZ36" s="54"/>
      <c r="BA36" s="142"/>
      <c r="BB36" s="142"/>
      <c r="BC36" s="171"/>
      <c r="BD36" s="171"/>
    </row>
    <row r="37" spans="1:56" ht="14.1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72"/>
      <c r="AQ37" s="572"/>
      <c r="AR37" s="165"/>
      <c r="AS37" s="165"/>
      <c r="AT37" s="165"/>
      <c r="AU37" s="165"/>
      <c r="AV37" s="165"/>
      <c r="AW37" s="165"/>
      <c r="AX37" s="165"/>
      <c r="AY37" s="165"/>
      <c r="AZ37" s="165"/>
      <c r="BA37" s="142"/>
      <c r="BB37" s="142"/>
      <c r="BC37" s="171"/>
      <c r="BD37" s="171"/>
    </row>
    <row r="38" spans="1:56" ht="14.15" customHeight="1">
      <c r="A38" s="54"/>
      <c r="B38" s="54"/>
      <c r="C38" s="54"/>
      <c r="D38" s="54"/>
      <c r="E38" s="54"/>
      <c r="F38" s="569" t="s">
        <v>2267</v>
      </c>
      <c r="G38" s="569"/>
      <c r="H38" s="570" t="s">
        <v>2268</v>
      </c>
      <c r="I38" s="553"/>
      <c r="J38" s="553"/>
      <c r="K38" s="553"/>
      <c r="L38" s="553"/>
      <c r="M38" s="553"/>
      <c r="N38" s="553"/>
      <c r="O38" s="553"/>
      <c r="P38" s="553"/>
      <c r="Q38" s="553"/>
      <c r="R38" s="553"/>
      <c r="S38" s="54"/>
      <c r="T38" s="54"/>
      <c r="U38" s="54"/>
      <c r="V38" s="54"/>
      <c r="W38" s="54"/>
      <c r="X38" s="54"/>
      <c r="Y38" s="569" t="s">
        <v>2269</v>
      </c>
      <c r="Z38" s="569"/>
      <c r="AA38" s="570" t="s">
        <v>2270</v>
      </c>
      <c r="AB38" s="553"/>
      <c r="AC38" s="553"/>
      <c r="AD38" s="553"/>
      <c r="AE38" s="553"/>
      <c r="AF38" s="553"/>
      <c r="AG38" s="553"/>
      <c r="AH38" s="553"/>
      <c r="AI38" s="553"/>
      <c r="AJ38" s="553"/>
      <c r="AK38" s="553"/>
      <c r="AL38" s="54"/>
      <c r="AM38" s="54"/>
      <c r="AN38" s="54"/>
      <c r="AO38" s="54"/>
      <c r="AP38" s="54"/>
      <c r="AQ38" s="54"/>
      <c r="AR38" s="54"/>
      <c r="AS38" s="54"/>
      <c r="AT38" s="54"/>
      <c r="AU38" s="54"/>
      <c r="AV38" s="54"/>
      <c r="AW38" s="54"/>
      <c r="AX38" s="54"/>
      <c r="AY38" s="54"/>
      <c r="AZ38" s="54"/>
      <c r="BA38" s="142"/>
      <c r="BB38" s="142"/>
      <c r="BC38" s="171"/>
      <c r="BD38" s="171"/>
    </row>
    <row r="39" spans="1:56" ht="14.15" customHeight="1">
      <c r="A39" s="54"/>
      <c r="B39" s="54"/>
      <c r="C39" s="54"/>
      <c r="D39" s="54"/>
      <c r="E39" s="54"/>
      <c r="F39" s="569"/>
      <c r="G39" s="569"/>
      <c r="H39" s="553"/>
      <c r="I39" s="553"/>
      <c r="J39" s="553"/>
      <c r="K39" s="553"/>
      <c r="L39" s="553"/>
      <c r="M39" s="553"/>
      <c r="N39" s="553"/>
      <c r="O39" s="553"/>
      <c r="P39" s="553"/>
      <c r="Q39" s="553"/>
      <c r="R39" s="553"/>
      <c r="S39" s="54"/>
      <c r="T39" s="54"/>
      <c r="U39" s="54"/>
      <c r="V39" s="54"/>
      <c r="W39" s="54"/>
      <c r="X39" s="54"/>
      <c r="Y39" s="569"/>
      <c r="Z39" s="569"/>
      <c r="AA39" s="553"/>
      <c r="AB39" s="553"/>
      <c r="AC39" s="553"/>
      <c r="AD39" s="553"/>
      <c r="AE39" s="553"/>
      <c r="AF39" s="553"/>
      <c r="AG39" s="553"/>
      <c r="AH39" s="553"/>
      <c r="AI39" s="553"/>
      <c r="AJ39" s="553"/>
      <c r="AK39" s="553"/>
      <c r="AL39" s="54"/>
      <c r="AM39" s="54"/>
      <c r="AN39" s="54"/>
      <c r="AO39" s="54"/>
      <c r="AP39" s="569" t="s">
        <v>2271</v>
      </c>
      <c r="AQ39" s="569"/>
      <c r="AR39" s="570" t="s">
        <v>2272</v>
      </c>
      <c r="AS39" s="570"/>
      <c r="AT39" s="570"/>
      <c r="AU39" s="570"/>
      <c r="AV39" s="570"/>
      <c r="AW39" s="570"/>
      <c r="AX39" s="570"/>
      <c r="AY39" s="570"/>
      <c r="AZ39" s="570"/>
      <c r="BA39" s="142"/>
      <c r="BB39" s="142"/>
      <c r="BC39" s="171"/>
      <c r="BD39" s="171"/>
    </row>
    <row r="40" spans="1:56" ht="14.15" customHeight="1">
      <c r="A40" s="54"/>
      <c r="B40" s="54"/>
      <c r="C40" s="54"/>
      <c r="D40" s="54"/>
      <c r="E40" s="54"/>
      <c r="F40" s="550" t="s">
        <v>2273</v>
      </c>
      <c r="G40" s="550"/>
      <c r="H40" s="571" t="s">
        <v>2274</v>
      </c>
      <c r="I40" s="571"/>
      <c r="J40" s="571"/>
      <c r="K40" s="571"/>
      <c r="L40" s="571"/>
      <c r="M40" s="571"/>
      <c r="N40" s="571"/>
      <c r="O40" s="571"/>
      <c r="P40" s="571"/>
      <c r="Q40" s="571"/>
      <c r="R40" s="571"/>
      <c r="S40" s="54"/>
      <c r="T40" s="54"/>
      <c r="U40" s="54"/>
      <c r="V40" s="54"/>
      <c r="W40" s="54"/>
      <c r="X40" s="54"/>
      <c r="Y40" s="54"/>
      <c r="Z40" s="54"/>
      <c r="AA40" s="54"/>
      <c r="AB40" s="54"/>
      <c r="AC40" s="54"/>
      <c r="AD40" s="54"/>
      <c r="AE40" s="54"/>
      <c r="AF40" s="54"/>
      <c r="AG40" s="54"/>
      <c r="AH40" s="54"/>
      <c r="AI40" s="54"/>
      <c r="AJ40" s="54"/>
      <c r="AK40" s="54"/>
      <c r="AL40" s="54"/>
      <c r="AM40" s="54"/>
      <c r="AN40" s="54"/>
      <c r="AO40" s="54"/>
      <c r="AP40" s="569"/>
      <c r="AQ40" s="569"/>
      <c r="AR40" s="570"/>
      <c r="AS40" s="570"/>
      <c r="AT40" s="570"/>
      <c r="AU40" s="570"/>
      <c r="AV40" s="570"/>
      <c r="AW40" s="570"/>
      <c r="AX40" s="570"/>
      <c r="AY40" s="570"/>
      <c r="AZ40" s="570"/>
      <c r="BA40" s="142"/>
      <c r="BB40" s="142"/>
      <c r="BC40" s="171"/>
      <c r="BD40" s="171"/>
    </row>
    <row r="41" spans="1:56" ht="14.15" customHeight="1">
      <c r="A41" s="54"/>
      <c r="B41" s="54"/>
      <c r="C41" s="54"/>
      <c r="D41" s="54"/>
      <c r="E41" s="54"/>
      <c r="F41" s="584"/>
      <c r="G41" s="584"/>
      <c r="H41" s="572"/>
      <c r="I41" s="572"/>
      <c r="J41" s="572"/>
      <c r="K41" s="572"/>
      <c r="L41" s="572"/>
      <c r="M41" s="572"/>
      <c r="N41" s="572"/>
      <c r="O41" s="572"/>
      <c r="P41" s="572"/>
      <c r="Q41" s="572"/>
      <c r="R41" s="572"/>
      <c r="S41" s="54"/>
      <c r="T41" s="54"/>
      <c r="U41" s="54"/>
      <c r="V41" s="54"/>
      <c r="W41" s="54"/>
      <c r="X41" s="54"/>
      <c r="Y41" s="54"/>
      <c r="Z41" s="580" t="s">
        <v>2275</v>
      </c>
      <c r="AA41" s="580"/>
      <c r="AB41" s="580"/>
      <c r="AC41" s="580"/>
      <c r="AD41" s="580"/>
      <c r="AE41" s="54"/>
      <c r="AF41" s="54"/>
      <c r="AG41" s="54"/>
      <c r="AH41" s="54"/>
      <c r="AI41" s="54"/>
      <c r="AJ41" s="54"/>
      <c r="AK41" s="54"/>
      <c r="AL41" s="54"/>
      <c r="AM41" s="54"/>
      <c r="AN41" s="54"/>
      <c r="AO41" s="54"/>
      <c r="AP41" s="54"/>
      <c r="AQ41" s="54"/>
      <c r="AR41" s="54"/>
      <c r="AS41" s="54"/>
      <c r="AT41" s="142"/>
      <c r="AU41" s="142"/>
      <c r="AV41" s="142"/>
      <c r="AW41" s="142"/>
      <c r="AX41" s="142"/>
      <c r="AY41" s="142"/>
      <c r="AZ41" s="142"/>
      <c r="BA41" s="142"/>
      <c r="BB41" s="142"/>
      <c r="BC41" s="171"/>
      <c r="BD41" s="171"/>
    </row>
    <row r="42" spans="1:56" ht="14.1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80"/>
      <c r="AA42" s="580"/>
      <c r="AB42" s="580"/>
      <c r="AC42" s="580"/>
      <c r="AD42" s="580"/>
      <c r="AE42" s="54"/>
      <c r="AF42" s="54"/>
      <c r="AG42" s="54"/>
      <c r="AH42" s="54"/>
      <c r="AI42" s="54"/>
      <c r="AJ42" s="54"/>
      <c r="AK42" s="54"/>
      <c r="AL42" s="54"/>
      <c r="AM42" s="54"/>
      <c r="AN42" s="54"/>
      <c r="AO42" s="54"/>
      <c r="AP42" s="569" t="s">
        <v>2276</v>
      </c>
      <c r="AQ42" s="569"/>
      <c r="AR42" s="570" t="s">
        <v>2277</v>
      </c>
      <c r="AS42" s="570"/>
      <c r="AT42" s="570"/>
      <c r="AU42" s="570"/>
      <c r="AV42" s="570"/>
      <c r="AW42" s="570"/>
      <c r="AX42" s="570"/>
      <c r="AY42" s="570"/>
      <c r="AZ42" s="570"/>
      <c r="BA42" s="142"/>
      <c r="BB42" s="142"/>
      <c r="BC42" s="171"/>
      <c r="BD42" s="171"/>
    </row>
    <row r="43" spans="1:56" ht="14.15" customHeight="1">
      <c r="A43" s="54"/>
      <c r="B43" s="54"/>
      <c r="C43" s="54"/>
      <c r="D43" s="54"/>
      <c r="E43" s="54"/>
      <c r="F43" s="569" t="s">
        <v>2278</v>
      </c>
      <c r="G43" s="569"/>
      <c r="H43" s="570" t="s">
        <v>2279</v>
      </c>
      <c r="I43" s="553"/>
      <c r="J43" s="553"/>
      <c r="K43" s="553"/>
      <c r="L43" s="553"/>
      <c r="M43" s="553"/>
      <c r="N43" s="553"/>
      <c r="O43" s="553"/>
      <c r="P43" s="553"/>
      <c r="Q43" s="553"/>
      <c r="R43" s="553"/>
      <c r="S43" s="54"/>
      <c r="T43" s="54"/>
      <c r="U43" s="54"/>
      <c r="V43" s="54"/>
      <c r="W43" s="54"/>
      <c r="X43" s="54"/>
      <c r="Y43" s="54"/>
      <c r="Z43" s="580"/>
      <c r="AA43" s="580"/>
      <c r="AB43" s="580"/>
      <c r="AC43" s="580"/>
      <c r="AD43" s="580"/>
      <c r="AE43" s="54"/>
      <c r="AF43" s="54"/>
      <c r="AG43" s="54"/>
      <c r="AH43" s="54"/>
      <c r="AI43" s="54"/>
      <c r="AJ43" s="54"/>
      <c r="AK43" s="54"/>
      <c r="AL43" s="54"/>
      <c r="AM43" s="54"/>
      <c r="AN43" s="54"/>
      <c r="AO43" s="54"/>
      <c r="AP43" s="569"/>
      <c r="AQ43" s="569"/>
      <c r="AR43" s="570"/>
      <c r="AS43" s="570"/>
      <c r="AT43" s="570"/>
      <c r="AU43" s="570"/>
      <c r="AV43" s="570"/>
      <c r="AW43" s="570"/>
      <c r="AX43" s="570"/>
      <c r="AY43" s="570"/>
      <c r="AZ43" s="570"/>
      <c r="BA43" s="142"/>
      <c r="BB43" s="142"/>
      <c r="BC43" s="171"/>
      <c r="BD43" s="171"/>
    </row>
    <row r="44" spans="1:56" ht="14.15" customHeight="1">
      <c r="A44" s="54"/>
      <c r="B44" s="54"/>
      <c r="C44" s="54"/>
      <c r="D44" s="54"/>
      <c r="E44" s="54"/>
      <c r="F44" s="569"/>
      <c r="G44" s="569"/>
      <c r="H44" s="553"/>
      <c r="I44" s="553"/>
      <c r="J44" s="553"/>
      <c r="K44" s="553"/>
      <c r="L44" s="553"/>
      <c r="M44" s="553"/>
      <c r="N44" s="553"/>
      <c r="O44" s="553"/>
      <c r="P44" s="553"/>
      <c r="Q44" s="553"/>
      <c r="R44" s="553"/>
      <c r="S44" s="54"/>
      <c r="T44" s="54"/>
      <c r="U44" s="54"/>
      <c r="V44" s="54"/>
      <c r="W44" s="54"/>
      <c r="X44" s="54"/>
      <c r="Y44" s="54"/>
      <c r="Z44" s="580"/>
      <c r="AA44" s="580"/>
      <c r="AB44" s="580"/>
      <c r="AC44" s="580"/>
      <c r="AD44" s="580"/>
      <c r="AE44" s="54"/>
      <c r="AF44" s="54"/>
      <c r="AG44" s="54"/>
      <c r="AH44" s="54"/>
      <c r="AI44" s="54"/>
      <c r="AJ44" s="54"/>
      <c r="AK44" s="54"/>
      <c r="AL44" s="54"/>
      <c r="AM44" s="54"/>
      <c r="AN44" s="54"/>
      <c r="AO44" s="54"/>
      <c r="AP44" s="54"/>
      <c r="AQ44" s="54"/>
      <c r="AR44" s="54"/>
      <c r="AS44" s="54"/>
      <c r="AT44" s="142"/>
      <c r="AU44" s="142"/>
      <c r="AV44" s="142"/>
      <c r="AW44" s="142"/>
      <c r="AX44" s="142"/>
      <c r="AY44" s="142"/>
      <c r="AZ44" s="142"/>
      <c r="BA44" s="142"/>
      <c r="BB44" s="142"/>
      <c r="BC44" s="171"/>
      <c r="BD44" s="171"/>
    </row>
    <row r="45" spans="1:56" ht="14.1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80"/>
      <c r="AA45" s="580"/>
      <c r="AB45" s="580"/>
      <c r="AC45" s="580"/>
      <c r="AD45" s="580"/>
      <c r="AE45" s="54"/>
      <c r="AF45" s="54"/>
      <c r="AG45" s="54"/>
      <c r="AH45" s="54"/>
      <c r="AI45" s="54"/>
      <c r="AJ45" s="54"/>
      <c r="AK45" s="54"/>
      <c r="AL45" s="54"/>
      <c r="AM45" s="54"/>
      <c r="AN45" s="54"/>
      <c r="AO45" s="54"/>
      <c r="AP45" s="54"/>
      <c r="AQ45" s="54" t="s">
        <v>2280</v>
      </c>
      <c r="AR45" s="54" t="s">
        <v>2281</v>
      </c>
      <c r="AS45" s="54"/>
      <c r="AT45" s="142"/>
      <c r="AU45" s="142"/>
      <c r="AV45" s="142" t="s">
        <v>101</v>
      </c>
      <c r="AW45" s="142" t="s">
        <v>2282</v>
      </c>
      <c r="AX45" s="142"/>
      <c r="AY45" s="142"/>
      <c r="AZ45" s="142"/>
      <c r="BA45" s="142"/>
      <c r="BB45" s="142"/>
      <c r="BC45" s="171"/>
      <c r="BD45" s="171"/>
    </row>
    <row r="46" spans="1:56" ht="14.15" customHeight="1">
      <c r="A46" s="54"/>
      <c r="B46" s="54"/>
      <c r="C46" s="54"/>
      <c r="D46" s="54"/>
      <c r="E46" s="54"/>
      <c r="F46" s="569" t="s">
        <v>2283</v>
      </c>
      <c r="G46" s="569"/>
      <c r="H46" s="570" t="s">
        <v>2284</v>
      </c>
      <c r="I46" s="553"/>
      <c r="J46" s="553"/>
      <c r="K46" s="553"/>
      <c r="L46" s="553"/>
      <c r="M46" s="553"/>
      <c r="N46" s="553"/>
      <c r="O46" s="553"/>
      <c r="P46" s="553"/>
      <c r="Q46" s="553"/>
      <c r="R46" s="553"/>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142"/>
      <c r="AU46" s="142"/>
      <c r="AV46" s="142"/>
      <c r="AW46" s="142" t="s">
        <v>2285</v>
      </c>
      <c r="AX46" s="142"/>
      <c r="AY46" s="142"/>
      <c r="AZ46" s="142"/>
      <c r="BA46" s="142"/>
      <c r="BB46" s="142"/>
      <c r="BC46" s="171"/>
      <c r="BD46" s="171"/>
    </row>
    <row r="47" spans="1:56" ht="14.15" customHeight="1">
      <c r="A47" s="54"/>
      <c r="B47" s="54"/>
      <c r="C47" s="54"/>
      <c r="D47" s="54"/>
      <c r="E47" s="54"/>
      <c r="F47" s="569"/>
      <c r="G47" s="569"/>
      <c r="H47" s="553"/>
      <c r="I47" s="553"/>
      <c r="J47" s="553"/>
      <c r="K47" s="553"/>
      <c r="L47" s="553"/>
      <c r="M47" s="553"/>
      <c r="N47" s="553"/>
      <c r="O47" s="553"/>
      <c r="P47" s="553"/>
      <c r="Q47" s="553"/>
      <c r="R47" s="553"/>
      <c r="S47" s="54"/>
      <c r="T47" s="54"/>
      <c r="U47" s="54"/>
      <c r="V47" s="54"/>
      <c r="W47" s="54"/>
      <c r="X47" s="54"/>
      <c r="Y47" s="54"/>
      <c r="Z47" s="54"/>
      <c r="AA47" s="54"/>
      <c r="AB47" s="54"/>
      <c r="AC47" s="54"/>
      <c r="AD47" s="54"/>
      <c r="AE47" s="162"/>
      <c r="AF47" s="54"/>
      <c r="AG47" s="54"/>
      <c r="AH47" s="54"/>
      <c r="AI47" s="54"/>
      <c r="AJ47" s="54"/>
      <c r="AK47" s="54"/>
      <c r="AL47" s="54"/>
      <c r="AM47" s="54"/>
      <c r="AN47" s="54"/>
      <c r="AO47" s="54"/>
      <c r="AP47" s="54"/>
      <c r="AQ47" s="54"/>
      <c r="AR47" s="54"/>
      <c r="AS47" s="54"/>
      <c r="AT47" s="142"/>
      <c r="AU47" s="142"/>
      <c r="AV47" s="142"/>
      <c r="AW47" s="142"/>
      <c r="AX47" s="142"/>
      <c r="AY47" s="142"/>
      <c r="AZ47" s="142"/>
      <c r="BA47" s="142"/>
      <c r="BB47" s="142"/>
      <c r="BC47" s="171"/>
      <c r="BD47" s="171"/>
    </row>
    <row r="48" spans="1:56" ht="14.1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69" t="s">
        <v>2286</v>
      </c>
      <c r="Z48" s="569"/>
      <c r="AA48" s="570" t="s">
        <v>2287</v>
      </c>
      <c r="AB48" s="553"/>
      <c r="AC48" s="553"/>
      <c r="AD48" s="553"/>
      <c r="AE48" s="553"/>
      <c r="AF48" s="553"/>
      <c r="AG48" s="553"/>
      <c r="AH48" s="553"/>
      <c r="AI48" s="553"/>
      <c r="AJ48" s="553"/>
      <c r="AK48" s="553"/>
      <c r="AL48" s="54"/>
      <c r="AM48" s="54"/>
      <c r="AN48" s="54"/>
      <c r="AO48" s="54"/>
      <c r="AP48" s="54"/>
      <c r="AQ48" s="54" t="s">
        <v>2288</v>
      </c>
      <c r="AR48" s="54"/>
      <c r="AS48" s="54"/>
      <c r="AT48" s="142"/>
      <c r="AU48" s="142"/>
      <c r="AV48" s="142"/>
      <c r="AW48" s="142"/>
      <c r="AX48" s="142"/>
      <c r="AY48" s="142"/>
      <c r="AZ48" s="142"/>
      <c r="BA48" s="142"/>
      <c r="BB48" s="142"/>
      <c r="BC48" s="171"/>
      <c r="BD48" s="171"/>
    </row>
    <row r="49" spans="1:56" ht="14.15" customHeight="1">
      <c r="A49" s="54"/>
      <c r="B49" s="54"/>
      <c r="C49" s="54"/>
      <c r="D49" s="54"/>
      <c r="E49" s="54"/>
      <c r="F49" s="569" t="s">
        <v>2289</v>
      </c>
      <c r="G49" s="569"/>
      <c r="H49" s="570" t="s">
        <v>2290</v>
      </c>
      <c r="I49" s="553"/>
      <c r="J49" s="553"/>
      <c r="K49" s="553"/>
      <c r="L49" s="553"/>
      <c r="M49" s="553"/>
      <c r="N49" s="553"/>
      <c r="O49" s="553"/>
      <c r="P49" s="553"/>
      <c r="Q49" s="553"/>
      <c r="R49" s="553"/>
      <c r="S49" s="54"/>
      <c r="T49" s="54"/>
      <c r="U49" s="54"/>
      <c r="V49" s="54"/>
      <c r="W49" s="54"/>
      <c r="X49" s="54"/>
      <c r="Y49" s="569"/>
      <c r="Z49" s="569"/>
      <c r="AA49" s="553"/>
      <c r="AB49" s="553"/>
      <c r="AC49" s="553"/>
      <c r="AD49" s="553"/>
      <c r="AE49" s="553"/>
      <c r="AF49" s="553"/>
      <c r="AG49" s="553"/>
      <c r="AH49" s="553"/>
      <c r="AI49" s="553"/>
      <c r="AJ49" s="553"/>
      <c r="AK49" s="553"/>
      <c r="AL49" s="54"/>
      <c r="AM49" s="54"/>
      <c r="AN49" s="54"/>
      <c r="AO49" s="54"/>
      <c r="AP49" s="54"/>
      <c r="AQ49" s="54" t="s">
        <v>2291</v>
      </c>
      <c r="AR49" s="54"/>
      <c r="AS49" s="54"/>
      <c r="AT49" s="142"/>
      <c r="AU49" s="142"/>
      <c r="AV49" s="142"/>
      <c r="AW49" s="142"/>
      <c r="AX49" s="142"/>
      <c r="AY49" s="142"/>
      <c r="AZ49" s="142"/>
      <c r="BA49" s="142"/>
      <c r="BB49" s="142"/>
      <c r="BC49" s="171"/>
      <c r="BD49" s="171"/>
    </row>
    <row r="50" spans="1:56" ht="14.15" customHeight="1">
      <c r="A50" s="54"/>
      <c r="B50" s="54"/>
      <c r="C50" s="54"/>
      <c r="D50" s="54"/>
      <c r="E50" s="54"/>
      <c r="F50" s="569"/>
      <c r="G50" s="569"/>
      <c r="H50" s="553"/>
      <c r="I50" s="553"/>
      <c r="J50" s="553"/>
      <c r="K50" s="553"/>
      <c r="L50" s="553"/>
      <c r="M50" s="553"/>
      <c r="N50" s="553"/>
      <c r="O50" s="553"/>
      <c r="P50" s="553"/>
      <c r="Q50" s="553"/>
      <c r="R50" s="553"/>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142"/>
      <c r="AU50" s="142"/>
      <c r="AV50" s="142"/>
      <c r="AW50" s="142"/>
      <c r="AX50" s="142"/>
      <c r="AY50" s="142"/>
      <c r="AZ50" s="142"/>
      <c r="BA50" s="142"/>
      <c r="BB50" s="142"/>
      <c r="BC50" s="171"/>
      <c r="BD50" s="171"/>
    </row>
    <row r="51" spans="1:56" ht="14.1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69" t="s">
        <v>2292</v>
      </c>
      <c r="AC51" s="569"/>
      <c r="AD51" s="54"/>
      <c r="AE51" s="54"/>
      <c r="AF51" s="54"/>
      <c r="AG51" s="54"/>
      <c r="AH51" s="54"/>
      <c r="AI51" s="54"/>
      <c r="AJ51" s="54"/>
      <c r="AK51" s="54"/>
      <c r="AL51" s="54"/>
      <c r="AM51" s="54"/>
      <c r="AN51" s="54"/>
      <c r="AO51" s="54"/>
      <c r="AP51" s="54"/>
      <c r="AQ51" s="54" t="s">
        <v>2293</v>
      </c>
      <c r="AR51" s="54"/>
      <c r="AS51" s="54"/>
      <c r="AT51" s="142"/>
      <c r="AU51" s="142"/>
      <c r="AV51" s="142"/>
      <c r="AW51" s="142"/>
      <c r="AX51" s="142"/>
      <c r="AY51" s="142"/>
      <c r="AZ51" s="142"/>
      <c r="BA51" s="142"/>
      <c r="BB51" s="142"/>
      <c r="BC51" s="171"/>
      <c r="BD51" s="171"/>
    </row>
    <row r="52" spans="1:56" ht="14.15" customHeight="1">
      <c r="A52" s="54"/>
      <c r="B52" s="54"/>
      <c r="C52" s="54"/>
      <c r="D52" s="54"/>
      <c r="E52" s="54"/>
      <c r="F52" s="54"/>
      <c r="G52" s="54"/>
      <c r="H52" s="570" t="s">
        <v>2294</v>
      </c>
      <c r="I52" s="570"/>
      <c r="J52" s="570"/>
      <c r="K52" s="570"/>
      <c r="L52" s="570"/>
      <c r="M52" s="570"/>
      <c r="N52" s="54"/>
      <c r="O52" s="54"/>
      <c r="P52" s="54"/>
      <c r="Q52" s="54"/>
      <c r="R52" s="54"/>
      <c r="S52" s="54"/>
      <c r="T52" s="54"/>
      <c r="U52" s="54"/>
      <c r="V52" s="54"/>
      <c r="W52" s="54"/>
      <c r="X52" s="54"/>
      <c r="Y52" s="54"/>
      <c r="Z52" s="54"/>
      <c r="AA52" s="54"/>
      <c r="AB52" s="569"/>
      <c r="AC52" s="569"/>
      <c r="AD52" s="54"/>
      <c r="AE52" s="54"/>
      <c r="AF52" s="54"/>
      <c r="AG52" s="54"/>
      <c r="AH52" s="54"/>
      <c r="AI52" s="54"/>
      <c r="AJ52" s="54"/>
      <c r="AK52" s="54"/>
      <c r="AL52" s="54"/>
      <c r="AM52" s="54"/>
      <c r="AN52" s="54"/>
      <c r="AO52" s="54"/>
      <c r="AP52" s="54"/>
      <c r="AQ52" s="54"/>
      <c r="AR52" s="54"/>
      <c r="AS52" s="54"/>
      <c r="AT52" s="142"/>
      <c r="AU52" s="142"/>
      <c r="AV52" s="142"/>
      <c r="AW52" s="142"/>
      <c r="AX52" s="142"/>
      <c r="AY52" s="142"/>
      <c r="AZ52" s="142"/>
      <c r="BA52" s="142"/>
      <c r="BB52" s="142"/>
      <c r="BC52" s="171"/>
      <c r="BD52" s="171"/>
    </row>
    <row r="53" spans="1:56" ht="14.15" customHeight="1">
      <c r="A53" s="54"/>
      <c r="B53" s="54"/>
      <c r="C53" s="54"/>
      <c r="D53" s="54"/>
      <c r="E53" s="54"/>
      <c r="F53" s="54"/>
      <c r="G53" s="54"/>
      <c r="H53" s="570"/>
      <c r="I53" s="570"/>
      <c r="J53" s="570"/>
      <c r="K53" s="570"/>
      <c r="L53" s="570"/>
      <c r="M53" s="570"/>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69" t="s">
        <v>2295</v>
      </c>
      <c r="AQ53" s="569"/>
      <c r="AR53" s="570" t="s">
        <v>2296</v>
      </c>
      <c r="AS53" s="570"/>
      <c r="AT53" s="570"/>
      <c r="AU53" s="570"/>
      <c r="AV53" s="570"/>
      <c r="AW53" s="570"/>
      <c r="AX53" s="570"/>
      <c r="AY53" s="570"/>
      <c r="AZ53" s="570"/>
      <c r="BA53" s="142"/>
      <c r="BB53" s="142"/>
      <c r="BC53" s="171"/>
      <c r="BD53" s="171"/>
    </row>
    <row r="54" spans="1:56" ht="14.15" customHeight="1">
      <c r="A54" s="54"/>
      <c r="B54" s="54"/>
      <c r="C54" s="54"/>
      <c r="D54" s="54"/>
      <c r="E54" s="54"/>
      <c r="F54" s="54"/>
      <c r="G54" s="54"/>
      <c r="H54" s="570"/>
      <c r="I54" s="570"/>
      <c r="J54" s="570"/>
      <c r="K54" s="570"/>
      <c r="L54" s="570"/>
      <c r="M54" s="570"/>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69"/>
      <c r="AQ54" s="569"/>
      <c r="AR54" s="570"/>
      <c r="AS54" s="570"/>
      <c r="AT54" s="570"/>
      <c r="AU54" s="570"/>
      <c r="AV54" s="570"/>
      <c r="AW54" s="570"/>
      <c r="AX54" s="570"/>
      <c r="AY54" s="570"/>
      <c r="AZ54" s="570"/>
      <c r="BA54" s="142"/>
      <c r="BB54" s="142"/>
      <c r="BC54" s="171"/>
      <c r="BD54" s="171"/>
    </row>
    <row r="55" spans="1:56" ht="14.1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142"/>
      <c r="AU55" s="142"/>
      <c r="AV55" s="142"/>
      <c r="AW55" s="142"/>
      <c r="AX55" s="142"/>
      <c r="AY55" s="142"/>
      <c r="AZ55" s="142"/>
      <c r="BA55" s="142"/>
      <c r="BB55" s="142"/>
      <c r="BC55" s="171"/>
      <c r="BD55" s="171"/>
    </row>
    <row r="56" spans="1:56" ht="14.1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69" t="s">
        <v>2297</v>
      </c>
      <c r="AC56" s="569"/>
      <c r="AD56" s="54"/>
      <c r="AE56" s="54"/>
      <c r="AF56" s="54"/>
      <c r="AG56" s="54"/>
      <c r="AH56" s="54"/>
      <c r="AI56" s="54"/>
      <c r="AJ56" s="54"/>
      <c r="AK56" s="54"/>
      <c r="AL56" s="54"/>
      <c r="AM56" s="54"/>
      <c r="AN56" s="54"/>
      <c r="AO56" s="54"/>
      <c r="AP56" s="54"/>
      <c r="AQ56" s="54"/>
      <c r="AR56" s="54" t="s">
        <v>2298</v>
      </c>
      <c r="AS56" s="54"/>
      <c r="AT56" s="142"/>
      <c r="AU56" s="142"/>
      <c r="AV56" s="142"/>
      <c r="AW56" s="142"/>
      <c r="AX56" s="142"/>
      <c r="AY56" s="142"/>
      <c r="AZ56" s="142"/>
      <c r="BA56" s="142"/>
      <c r="BB56" s="142"/>
      <c r="BC56" s="171"/>
      <c r="BD56" s="171"/>
    </row>
    <row r="57" spans="1:56" ht="14.1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69"/>
      <c r="AC57" s="569"/>
      <c r="AD57" s="54"/>
      <c r="AE57" s="54"/>
      <c r="AF57" s="54"/>
      <c r="AG57" s="54"/>
      <c r="AH57" s="54"/>
      <c r="AI57" s="54"/>
      <c r="AJ57" s="54"/>
      <c r="AK57" s="54"/>
      <c r="AL57" s="54"/>
      <c r="AM57" s="54"/>
      <c r="AN57" s="54"/>
      <c r="AO57" s="54"/>
      <c r="AP57" s="54"/>
      <c r="AQ57" s="54"/>
      <c r="AR57" s="54" t="s">
        <v>2299</v>
      </c>
      <c r="AS57" s="54"/>
      <c r="AT57" s="142"/>
      <c r="AU57" s="142"/>
      <c r="AV57" s="142"/>
      <c r="AW57" s="142"/>
      <c r="AX57" s="142"/>
      <c r="AY57" s="142"/>
      <c r="AZ57" s="142"/>
      <c r="BA57" s="142"/>
      <c r="BB57" s="142"/>
      <c r="BC57" s="171"/>
      <c r="BD57" s="171"/>
    </row>
    <row r="58" spans="1:56" ht="14.1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t="s">
        <v>2300</v>
      </c>
      <c r="AS58" s="54"/>
      <c r="AT58" s="142"/>
      <c r="AU58" s="142"/>
      <c r="AV58" s="142"/>
      <c r="AW58" s="142"/>
      <c r="AX58" s="142"/>
      <c r="AY58" s="142"/>
      <c r="AZ58" s="142"/>
      <c r="BA58" s="142"/>
      <c r="BB58" s="142"/>
      <c r="BC58" s="171"/>
      <c r="BD58" s="171"/>
    </row>
    <row r="59" spans="1:56" ht="14.1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142"/>
      <c r="AU59" s="142"/>
      <c r="AV59" s="142"/>
      <c r="AW59" s="142"/>
      <c r="AX59" s="142"/>
      <c r="AY59" s="142"/>
      <c r="AZ59" s="142"/>
      <c r="BA59" s="142"/>
      <c r="BB59" s="142"/>
      <c r="BC59" s="171"/>
      <c r="BD59" s="171"/>
    </row>
    <row r="60" spans="1:56" ht="14.1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73" t="s">
        <v>29</v>
      </c>
      <c r="Z60" s="573"/>
      <c r="AA60" s="571" t="s">
        <v>2301</v>
      </c>
      <c r="AB60" s="571"/>
      <c r="AC60" s="571"/>
      <c r="AD60" s="571"/>
      <c r="AE60" s="571"/>
      <c r="AF60" s="571"/>
      <c r="AG60" s="571"/>
      <c r="AH60" s="571"/>
      <c r="AI60" s="571"/>
      <c r="AJ60" s="571"/>
      <c r="AK60" s="571"/>
      <c r="AL60" s="54"/>
      <c r="AM60" s="54"/>
      <c r="AN60" s="54"/>
      <c r="AO60" s="54"/>
      <c r="AP60" s="54"/>
      <c r="AQ60" s="54"/>
      <c r="AR60" s="54" t="s">
        <v>2302</v>
      </c>
      <c r="AS60" s="54"/>
      <c r="AT60" s="142"/>
      <c r="AU60" s="142"/>
      <c r="AV60" s="142"/>
      <c r="AW60" s="142"/>
      <c r="AX60" s="142"/>
      <c r="AY60" s="142"/>
      <c r="AZ60" s="142"/>
      <c r="BA60" s="142"/>
      <c r="BB60" s="142"/>
      <c r="BC60" s="171"/>
      <c r="BD60" s="171"/>
    </row>
    <row r="61" spans="1:56" ht="14.1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74"/>
      <c r="Z61" s="574"/>
      <c r="AA61" s="572"/>
      <c r="AB61" s="572"/>
      <c r="AC61" s="572"/>
      <c r="AD61" s="572"/>
      <c r="AE61" s="572"/>
      <c r="AF61" s="572"/>
      <c r="AG61" s="572"/>
      <c r="AH61" s="572"/>
      <c r="AI61" s="572"/>
      <c r="AJ61" s="572"/>
      <c r="AK61" s="572"/>
      <c r="AL61" s="54"/>
      <c r="AM61" s="54"/>
      <c r="AN61" s="54"/>
      <c r="AO61" s="54"/>
      <c r="AP61" s="54"/>
      <c r="AQ61" s="54"/>
      <c r="AR61" s="54" t="s">
        <v>2303</v>
      </c>
      <c r="AS61" s="54"/>
      <c r="AT61" s="142"/>
      <c r="AU61" s="142"/>
      <c r="AV61" s="142"/>
      <c r="AW61" s="142"/>
      <c r="AX61" s="142"/>
      <c r="AY61" s="142"/>
      <c r="AZ61" s="142"/>
      <c r="BA61" s="142"/>
      <c r="BB61" s="142"/>
      <c r="BC61" s="171"/>
      <c r="BD61" s="171"/>
    </row>
    <row r="62" spans="1:56" ht="14.1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142"/>
      <c r="AU62" s="142"/>
      <c r="AV62" s="142"/>
      <c r="AW62" s="142"/>
      <c r="AX62" s="142"/>
      <c r="AY62" s="142"/>
      <c r="AZ62" s="142"/>
      <c r="BA62" s="142"/>
      <c r="BB62" s="142"/>
      <c r="BC62" s="171"/>
      <c r="BD62" s="171"/>
    </row>
    <row r="63" spans="1:56" ht="14.1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69" t="s">
        <v>2304</v>
      </c>
      <c r="Z63" s="569"/>
      <c r="AA63" s="570" t="s">
        <v>2305</v>
      </c>
      <c r="AB63" s="553"/>
      <c r="AC63" s="553"/>
      <c r="AD63" s="553"/>
      <c r="AE63" s="553"/>
      <c r="AF63" s="553"/>
      <c r="AG63" s="553"/>
      <c r="AH63" s="553"/>
      <c r="AI63" s="553"/>
      <c r="AJ63" s="553"/>
      <c r="AK63" s="553"/>
      <c r="AL63" s="54"/>
      <c r="AM63" s="54"/>
      <c r="AN63" s="54"/>
      <c r="AO63" s="54"/>
      <c r="AP63" s="54"/>
      <c r="AQ63" s="54"/>
      <c r="AR63" s="54" t="s">
        <v>2306</v>
      </c>
      <c r="AS63" s="54"/>
      <c r="AT63" s="142"/>
      <c r="AU63" s="142"/>
      <c r="AV63" s="142"/>
      <c r="AW63" s="142"/>
      <c r="AX63" s="142"/>
      <c r="AY63" s="142"/>
      <c r="AZ63" s="142"/>
      <c r="BA63" s="142"/>
      <c r="BB63" s="142"/>
      <c r="BC63" s="171"/>
      <c r="BD63" s="171"/>
    </row>
    <row r="64" spans="1:56" ht="14.1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69"/>
      <c r="Z64" s="569"/>
      <c r="AA64" s="553"/>
      <c r="AB64" s="553"/>
      <c r="AC64" s="553"/>
      <c r="AD64" s="553"/>
      <c r="AE64" s="553"/>
      <c r="AF64" s="553"/>
      <c r="AG64" s="553"/>
      <c r="AH64" s="553"/>
      <c r="AI64" s="553"/>
      <c r="AJ64" s="553"/>
      <c r="AK64" s="553"/>
      <c r="AL64" s="54"/>
      <c r="AM64" s="54"/>
      <c r="AN64" s="54"/>
      <c r="AO64" s="54"/>
      <c r="AP64" s="54"/>
      <c r="AQ64" s="54"/>
      <c r="AR64" s="54" t="s">
        <v>2307</v>
      </c>
      <c r="AS64" s="54"/>
      <c r="AT64" s="142"/>
      <c r="AU64" s="142"/>
      <c r="AV64" s="142"/>
      <c r="AW64" s="142"/>
      <c r="AX64" s="142"/>
      <c r="AY64" s="142"/>
      <c r="AZ64" s="142"/>
      <c r="BA64" s="142"/>
      <c r="BB64" s="142"/>
      <c r="BC64" s="171"/>
      <c r="BD64" s="171"/>
    </row>
    <row r="65" spans="1:56" ht="14.15" customHeight="1">
      <c r="A65" s="54"/>
      <c r="B65" s="54"/>
      <c r="C65" s="54"/>
      <c r="D65" s="54"/>
      <c r="E65" s="54"/>
      <c r="F65" s="573" t="s">
        <v>2308</v>
      </c>
      <c r="G65" s="573"/>
      <c r="H65" s="571" t="s">
        <v>2309</v>
      </c>
      <c r="I65" s="571"/>
      <c r="J65" s="571"/>
      <c r="K65" s="571"/>
      <c r="L65" s="571"/>
      <c r="M65" s="571"/>
      <c r="N65" s="571"/>
      <c r="O65" s="571"/>
      <c r="P65" s="571"/>
      <c r="Q65" s="571"/>
      <c r="R65" s="571"/>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t="s">
        <v>2310</v>
      </c>
      <c r="AS65" s="54"/>
      <c r="AT65" s="142"/>
      <c r="AU65" s="142"/>
      <c r="AV65" s="142"/>
      <c r="AW65" s="142"/>
      <c r="AX65" s="142"/>
      <c r="AY65" s="142"/>
      <c r="AZ65" s="142"/>
      <c r="BA65" s="142"/>
      <c r="BB65" s="142"/>
      <c r="BC65" s="171"/>
      <c r="BD65" s="171"/>
    </row>
    <row r="66" spans="1:56" ht="14.15" customHeight="1">
      <c r="A66" s="54"/>
      <c r="B66" s="54"/>
      <c r="C66" s="54"/>
      <c r="D66" s="54"/>
      <c r="E66" s="54"/>
      <c r="F66" s="574"/>
      <c r="G66" s="574"/>
      <c r="H66" s="572"/>
      <c r="I66" s="572"/>
      <c r="J66" s="572"/>
      <c r="K66" s="572"/>
      <c r="L66" s="572"/>
      <c r="M66" s="572"/>
      <c r="N66" s="572"/>
      <c r="O66" s="572"/>
      <c r="P66" s="572"/>
      <c r="Q66" s="572"/>
      <c r="R66" s="572"/>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142"/>
      <c r="AU66" s="142"/>
      <c r="AV66" s="142"/>
      <c r="AW66" s="142"/>
      <c r="AX66" s="142"/>
      <c r="AY66" s="142"/>
      <c r="AZ66" s="142"/>
      <c r="BA66" s="142"/>
      <c r="BB66" s="142"/>
      <c r="BC66" s="171"/>
      <c r="BD66" s="171"/>
    </row>
    <row r="67" spans="1:56" ht="14.1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t="s">
        <v>2311</v>
      </c>
      <c r="AS67" s="54"/>
      <c r="AT67" s="142"/>
      <c r="AU67" s="142"/>
      <c r="AV67" s="142"/>
      <c r="AW67" s="142"/>
      <c r="AX67" s="142"/>
      <c r="AY67" s="142"/>
      <c r="AZ67" s="142"/>
      <c r="BA67" s="142"/>
      <c r="BB67" s="142"/>
      <c r="BC67" s="171"/>
      <c r="BD67" s="171"/>
    </row>
    <row r="68" spans="1:56" ht="14.15" customHeight="1">
      <c r="A68" s="54"/>
      <c r="B68" s="54"/>
      <c r="C68" s="54"/>
      <c r="D68" s="54"/>
      <c r="E68" s="54"/>
      <c r="F68" s="569" t="s">
        <v>2312</v>
      </c>
      <c r="G68" s="569"/>
      <c r="H68" s="570" t="s">
        <v>2313</v>
      </c>
      <c r="I68" s="553"/>
      <c r="J68" s="553"/>
      <c r="K68" s="553"/>
      <c r="L68" s="553"/>
      <c r="M68" s="553"/>
      <c r="N68" s="553"/>
      <c r="O68" s="553"/>
      <c r="P68" s="553"/>
      <c r="Q68" s="553"/>
      <c r="R68" s="553"/>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t="s">
        <v>2314</v>
      </c>
      <c r="AS68" s="54"/>
      <c r="AT68" s="142"/>
      <c r="AU68" s="142"/>
      <c r="AV68" s="142"/>
      <c r="AW68" s="142"/>
      <c r="AX68" s="142"/>
      <c r="AY68" s="142"/>
      <c r="AZ68" s="142"/>
      <c r="BA68" s="142"/>
      <c r="BB68" s="142"/>
      <c r="BC68" s="171"/>
      <c r="BD68" s="171"/>
    </row>
    <row r="69" spans="1:56" ht="14.15" customHeight="1">
      <c r="A69" s="54"/>
      <c r="B69" s="54"/>
      <c r="C69" s="54"/>
      <c r="D69" s="54"/>
      <c r="E69" s="54"/>
      <c r="F69" s="569"/>
      <c r="G69" s="569"/>
      <c r="H69" s="553"/>
      <c r="I69" s="553"/>
      <c r="J69" s="553"/>
      <c r="K69" s="553"/>
      <c r="L69" s="553"/>
      <c r="M69" s="553"/>
      <c r="N69" s="553"/>
      <c r="O69" s="553"/>
      <c r="P69" s="553"/>
      <c r="Q69" s="553"/>
      <c r="R69" s="553"/>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142"/>
      <c r="AU69" s="142"/>
      <c r="AV69" s="142"/>
      <c r="AW69" s="142"/>
      <c r="AX69" s="142"/>
      <c r="AY69" s="142"/>
      <c r="AZ69" s="142"/>
      <c r="BA69" s="142"/>
      <c r="BB69" s="142"/>
      <c r="BC69" s="171"/>
      <c r="BD69" s="171"/>
    </row>
    <row r="70" spans="1:56" ht="14.1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t="s">
        <v>2315</v>
      </c>
      <c r="AS70" s="54"/>
      <c r="AT70" s="142"/>
      <c r="AU70" s="142"/>
      <c r="AV70" s="142"/>
      <c r="AW70" s="142"/>
      <c r="AX70" s="142"/>
      <c r="AY70" s="142"/>
      <c r="AZ70" s="142"/>
      <c r="BA70" s="142"/>
      <c r="BB70" s="142"/>
      <c r="BC70" s="171"/>
      <c r="BD70" s="171"/>
    </row>
    <row r="71" spans="1:56" ht="14.15" customHeight="1">
      <c r="A71" s="54"/>
      <c r="B71" s="54"/>
      <c r="C71" s="54"/>
      <c r="D71" s="54"/>
      <c r="E71" s="54"/>
      <c r="F71" s="569" t="s">
        <v>2316</v>
      </c>
      <c r="G71" s="569"/>
      <c r="H71" s="570" t="s">
        <v>2317</v>
      </c>
      <c r="I71" s="553"/>
      <c r="J71" s="553"/>
      <c r="K71" s="553"/>
      <c r="L71" s="553"/>
      <c r="M71" s="553"/>
      <c r="N71" s="553"/>
      <c r="O71" s="553"/>
      <c r="P71" s="553"/>
      <c r="Q71" s="553"/>
      <c r="R71" s="553"/>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t="s">
        <v>2318</v>
      </c>
      <c r="AS71" s="54"/>
      <c r="AT71" s="142"/>
      <c r="AU71" s="142"/>
      <c r="AV71" s="142"/>
      <c r="AW71" s="142"/>
      <c r="AX71" s="142"/>
      <c r="AY71" s="142"/>
      <c r="AZ71" s="142"/>
      <c r="BA71" s="142"/>
      <c r="BB71" s="142"/>
      <c r="BC71" s="171"/>
      <c r="BD71" s="171"/>
    </row>
    <row r="72" spans="1:56" ht="14.15" customHeight="1">
      <c r="A72" s="54"/>
      <c r="B72" s="54"/>
      <c r="C72" s="54"/>
      <c r="D72" s="54"/>
      <c r="E72" s="54"/>
      <c r="F72" s="569"/>
      <c r="G72" s="569"/>
      <c r="H72" s="553"/>
      <c r="I72" s="553"/>
      <c r="J72" s="553"/>
      <c r="K72" s="553"/>
      <c r="L72" s="553"/>
      <c r="M72" s="553"/>
      <c r="N72" s="553"/>
      <c r="O72" s="553"/>
      <c r="P72" s="553"/>
      <c r="Q72" s="553"/>
      <c r="R72" s="553"/>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142"/>
      <c r="AU72" s="142"/>
      <c r="AV72" s="142"/>
      <c r="AW72" s="142"/>
      <c r="AX72" s="142"/>
      <c r="AY72" s="142"/>
      <c r="AZ72" s="142"/>
      <c r="BA72" s="142"/>
      <c r="BB72" s="142"/>
      <c r="BC72" s="171"/>
      <c r="BD72" s="171"/>
    </row>
    <row r="73" spans="1:56" ht="14.1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69" t="s">
        <v>2319</v>
      </c>
      <c r="AQ73" s="569"/>
      <c r="AR73" s="570" t="s">
        <v>2320</v>
      </c>
      <c r="AS73" s="570"/>
      <c r="AT73" s="570"/>
      <c r="AU73" s="570"/>
      <c r="AV73" s="570"/>
      <c r="AW73" s="570"/>
      <c r="AX73" s="570"/>
      <c r="AY73" s="570"/>
      <c r="AZ73" s="570"/>
      <c r="BA73" s="142"/>
      <c r="BB73" s="142"/>
      <c r="BC73" s="171"/>
      <c r="BD73" s="171"/>
    </row>
    <row r="74" spans="1:56" ht="14.15" customHeight="1">
      <c r="A74" s="54"/>
      <c r="B74" s="54"/>
      <c r="C74" s="54"/>
      <c r="D74" s="54"/>
      <c r="E74" s="54"/>
      <c r="F74" s="569" t="s">
        <v>2321</v>
      </c>
      <c r="G74" s="569"/>
      <c r="H74" s="570" t="s">
        <v>2322</v>
      </c>
      <c r="I74" s="570"/>
      <c r="J74" s="570"/>
      <c r="K74" s="570"/>
      <c r="L74" s="570"/>
      <c r="M74" s="570"/>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69"/>
      <c r="AQ74" s="569"/>
      <c r="AR74" s="570"/>
      <c r="AS74" s="570"/>
      <c r="AT74" s="570"/>
      <c r="AU74" s="570"/>
      <c r="AV74" s="570"/>
      <c r="AW74" s="570"/>
      <c r="AX74" s="570"/>
      <c r="AY74" s="570"/>
      <c r="AZ74" s="570"/>
      <c r="BA74" s="142"/>
      <c r="BB74" s="142"/>
      <c r="BC74" s="171"/>
      <c r="BD74" s="171"/>
    </row>
    <row r="75" spans="1:56" ht="14.15" customHeight="1">
      <c r="A75" s="54"/>
      <c r="B75" s="54"/>
      <c r="C75" s="54"/>
      <c r="D75" s="54"/>
      <c r="E75" s="54"/>
      <c r="F75" s="569"/>
      <c r="G75" s="569"/>
      <c r="H75" s="570"/>
      <c r="I75" s="570"/>
      <c r="J75" s="570"/>
      <c r="K75" s="570"/>
      <c r="L75" s="570"/>
      <c r="M75" s="570"/>
      <c r="N75" s="54"/>
      <c r="O75" s="54"/>
      <c r="P75" s="54"/>
      <c r="Q75" s="54"/>
      <c r="R75" s="54"/>
      <c r="S75" s="54"/>
      <c r="T75" s="54"/>
      <c r="U75" s="54"/>
      <c r="V75" s="54"/>
      <c r="W75" s="54"/>
      <c r="X75" s="54"/>
      <c r="Y75" s="569" t="s">
        <v>2323</v>
      </c>
      <c r="Z75" s="569"/>
      <c r="AA75" s="570" t="s">
        <v>2324</v>
      </c>
      <c r="AB75" s="553"/>
      <c r="AC75" s="553"/>
      <c r="AD75" s="553"/>
      <c r="AE75" s="553"/>
      <c r="AF75" s="553"/>
      <c r="AG75" s="553"/>
      <c r="AH75" s="553"/>
      <c r="AI75" s="553"/>
      <c r="AJ75" s="553"/>
      <c r="AK75" s="553"/>
      <c r="AL75" s="54"/>
      <c r="AM75" s="54"/>
      <c r="AN75" s="54"/>
      <c r="AO75" s="54"/>
      <c r="AP75" s="54"/>
      <c r="AQ75" s="54"/>
      <c r="AR75" s="54"/>
      <c r="AS75" s="54"/>
      <c r="AT75" s="142"/>
      <c r="AU75" s="142"/>
      <c r="AV75" s="142"/>
      <c r="AW75" s="142"/>
      <c r="AX75" s="142"/>
      <c r="AY75" s="142"/>
      <c r="AZ75" s="142"/>
      <c r="BA75" s="142"/>
      <c r="BB75" s="142"/>
      <c r="BC75" s="171"/>
      <c r="BD75" s="171"/>
    </row>
    <row r="76" spans="1:56" ht="14.15" customHeight="1">
      <c r="A76" s="54"/>
      <c r="B76" s="54"/>
      <c r="C76" s="54"/>
      <c r="D76" s="54"/>
      <c r="E76" s="54"/>
      <c r="F76" s="54"/>
      <c r="G76" s="54"/>
      <c r="H76" s="570"/>
      <c r="I76" s="570"/>
      <c r="J76" s="570"/>
      <c r="K76" s="570"/>
      <c r="L76" s="570"/>
      <c r="M76" s="570"/>
      <c r="N76" s="54"/>
      <c r="O76" s="54"/>
      <c r="P76" s="54"/>
      <c r="Q76" s="54"/>
      <c r="R76" s="54"/>
      <c r="S76" s="54"/>
      <c r="T76" s="54"/>
      <c r="U76" s="54"/>
      <c r="V76" s="54"/>
      <c r="W76" s="54"/>
      <c r="X76" s="54"/>
      <c r="Y76" s="569"/>
      <c r="Z76" s="569"/>
      <c r="AA76" s="553"/>
      <c r="AB76" s="553"/>
      <c r="AC76" s="553"/>
      <c r="AD76" s="553"/>
      <c r="AE76" s="553"/>
      <c r="AF76" s="553"/>
      <c r="AG76" s="553"/>
      <c r="AH76" s="553"/>
      <c r="AI76" s="553"/>
      <c r="AJ76" s="553"/>
      <c r="AK76" s="553"/>
      <c r="AL76" s="54"/>
      <c r="AM76" s="54"/>
      <c r="AN76" s="54"/>
      <c r="AO76" s="54"/>
      <c r="AP76" s="54"/>
      <c r="AQ76" s="54"/>
      <c r="AR76" s="54" t="s">
        <v>2325</v>
      </c>
      <c r="AS76" s="54"/>
      <c r="AT76" s="142"/>
      <c r="AU76" s="142"/>
      <c r="AV76" s="142"/>
      <c r="AW76" s="142"/>
      <c r="AX76" s="142"/>
      <c r="AY76" s="142"/>
      <c r="AZ76" s="142"/>
      <c r="BA76" s="142"/>
      <c r="BB76" s="142"/>
      <c r="BC76" s="171"/>
      <c r="BD76" s="171"/>
    </row>
    <row r="77" spans="1:56" ht="14.1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t="s">
        <v>2326</v>
      </c>
      <c r="AS77" s="54"/>
      <c r="AT77" s="142"/>
      <c r="AU77" s="142"/>
      <c r="AV77" s="142"/>
      <c r="AW77" s="142"/>
      <c r="AX77" s="142"/>
      <c r="AY77" s="142"/>
      <c r="AZ77" s="142"/>
      <c r="BA77" s="142"/>
      <c r="BB77" s="142"/>
      <c r="BC77" s="171"/>
      <c r="BD77" s="171"/>
    </row>
    <row r="78" spans="1:56" ht="14.15" customHeight="1">
      <c r="A78" s="54"/>
      <c r="B78" s="54"/>
      <c r="C78" s="54"/>
      <c r="D78" s="54"/>
      <c r="E78" s="54"/>
      <c r="F78" s="569" t="s">
        <v>2327</v>
      </c>
      <c r="G78" s="569"/>
      <c r="H78" s="570" t="s">
        <v>2328</v>
      </c>
      <c r="I78" s="553"/>
      <c r="J78" s="553"/>
      <c r="K78" s="553"/>
      <c r="L78" s="553"/>
      <c r="M78" s="553"/>
      <c r="N78" s="553"/>
      <c r="O78" s="553"/>
      <c r="P78" s="553"/>
      <c r="Q78" s="553"/>
      <c r="R78" s="553"/>
      <c r="S78" s="54"/>
      <c r="T78" s="54"/>
      <c r="U78" s="54"/>
      <c r="V78" s="54"/>
      <c r="W78" s="54"/>
      <c r="X78" s="54"/>
      <c r="Y78" s="569" t="s">
        <v>2329</v>
      </c>
      <c r="Z78" s="569"/>
      <c r="AA78" s="570" t="s">
        <v>2330</v>
      </c>
      <c r="AB78" s="553"/>
      <c r="AC78" s="553"/>
      <c r="AD78" s="553"/>
      <c r="AE78" s="553"/>
      <c r="AF78" s="553"/>
      <c r="AG78" s="553"/>
      <c r="AH78" s="553"/>
      <c r="AI78" s="553"/>
      <c r="AJ78" s="553"/>
      <c r="AK78" s="553"/>
      <c r="AL78" s="54"/>
      <c r="AM78" s="54"/>
      <c r="AN78" s="54"/>
      <c r="AO78" s="54"/>
      <c r="AP78" s="54"/>
      <c r="AQ78" s="54"/>
      <c r="AR78" s="54"/>
      <c r="AS78" s="54"/>
      <c r="AT78" s="142"/>
      <c r="AU78" s="142"/>
      <c r="AV78" s="142"/>
      <c r="AW78" s="142"/>
      <c r="AX78" s="142"/>
      <c r="AY78" s="142"/>
      <c r="AZ78" s="142"/>
      <c r="BA78" s="142"/>
      <c r="BB78" s="142"/>
      <c r="BC78" s="171"/>
      <c r="BD78" s="171"/>
    </row>
    <row r="79" spans="1:56" ht="14.15" customHeight="1">
      <c r="A79" s="54"/>
      <c r="B79" s="54"/>
      <c r="C79" s="54"/>
      <c r="D79" s="54"/>
      <c r="E79" s="54"/>
      <c r="F79" s="569"/>
      <c r="G79" s="569"/>
      <c r="H79" s="553"/>
      <c r="I79" s="553"/>
      <c r="J79" s="553"/>
      <c r="K79" s="553"/>
      <c r="L79" s="553"/>
      <c r="M79" s="553"/>
      <c r="N79" s="553"/>
      <c r="O79" s="553"/>
      <c r="P79" s="553"/>
      <c r="Q79" s="553"/>
      <c r="R79" s="553"/>
      <c r="S79" s="54"/>
      <c r="T79" s="54"/>
      <c r="U79" s="54"/>
      <c r="V79" s="54"/>
      <c r="W79" s="54"/>
      <c r="X79" s="54"/>
      <c r="Y79" s="569"/>
      <c r="Z79" s="569"/>
      <c r="AA79" s="553"/>
      <c r="AB79" s="553"/>
      <c r="AC79" s="553"/>
      <c r="AD79" s="553"/>
      <c r="AE79" s="553"/>
      <c r="AF79" s="553"/>
      <c r="AG79" s="553"/>
      <c r="AH79" s="553"/>
      <c r="AI79" s="553"/>
      <c r="AJ79" s="553"/>
      <c r="AK79" s="553"/>
      <c r="AL79" s="54"/>
      <c r="AM79" s="54"/>
      <c r="AN79" s="54"/>
      <c r="AO79" s="54"/>
      <c r="AP79" s="54"/>
      <c r="AQ79" s="54"/>
      <c r="AR79" s="54" t="s">
        <v>2331</v>
      </c>
      <c r="AS79" s="54"/>
      <c r="AT79" s="142"/>
      <c r="AU79" s="142"/>
      <c r="AV79" s="142"/>
      <c r="AW79" s="142"/>
      <c r="AX79" s="142"/>
      <c r="AY79" s="142"/>
      <c r="AZ79" s="142"/>
      <c r="BA79" s="142"/>
      <c r="BB79" s="142"/>
      <c r="BC79" s="171"/>
      <c r="BD79" s="171"/>
    </row>
    <row r="80" spans="1:56" ht="14.1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t="s">
        <v>2332</v>
      </c>
      <c r="AS80" s="54"/>
      <c r="AT80" s="142"/>
      <c r="AU80" s="142"/>
      <c r="AV80" s="142"/>
      <c r="AW80" s="142"/>
      <c r="AX80" s="142"/>
      <c r="AY80" s="142"/>
      <c r="AZ80" s="142"/>
      <c r="BA80" s="142"/>
      <c r="BB80" s="142"/>
      <c r="BC80" s="171"/>
      <c r="BD80" s="171"/>
    </row>
    <row r="81" spans="1:56" ht="14.1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t="s">
        <v>2333</v>
      </c>
      <c r="AS81" s="54"/>
      <c r="AT81" s="142"/>
      <c r="AU81" s="142"/>
      <c r="AV81" s="142"/>
      <c r="AW81" s="142"/>
      <c r="AX81" s="142"/>
      <c r="AY81" s="142"/>
      <c r="AZ81" s="142"/>
      <c r="BA81" s="142"/>
      <c r="BB81" s="142"/>
      <c r="BC81" s="171"/>
      <c r="BD81" s="171"/>
    </row>
    <row r="82" spans="1:56" ht="14.1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142"/>
      <c r="AU82" s="142"/>
      <c r="AV82" s="142"/>
      <c r="AW82" s="142"/>
      <c r="AX82" s="142"/>
      <c r="AY82" s="142"/>
      <c r="AZ82" s="142"/>
      <c r="BA82" s="142"/>
      <c r="BB82" s="142"/>
      <c r="BC82" s="171"/>
      <c r="BD82" s="171"/>
    </row>
    <row r="83" spans="1:56" ht="14.15" customHeight="1">
      <c r="A83" s="54"/>
      <c r="B83" s="54"/>
      <c r="C83" s="54"/>
      <c r="D83" s="54"/>
      <c r="E83" s="54"/>
      <c r="F83" s="573" t="s">
        <v>2334</v>
      </c>
      <c r="G83" s="573"/>
      <c r="H83" s="571" t="s">
        <v>2335</v>
      </c>
      <c r="I83" s="571"/>
      <c r="J83" s="571"/>
      <c r="K83" s="571"/>
      <c r="L83" s="571"/>
      <c r="M83" s="571"/>
      <c r="N83" s="571"/>
      <c r="O83" s="571"/>
      <c r="P83" s="571"/>
      <c r="Q83" s="571"/>
      <c r="R83" s="571"/>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t="s">
        <v>109</v>
      </c>
      <c r="AS83" s="54"/>
      <c r="AT83" s="142"/>
      <c r="AU83" s="142"/>
      <c r="AV83" s="142"/>
      <c r="AW83" s="142"/>
      <c r="AX83" s="142"/>
      <c r="AY83" s="142"/>
      <c r="AZ83" s="142"/>
      <c r="BA83" s="142"/>
      <c r="BB83" s="142"/>
      <c r="BC83" s="171"/>
      <c r="BD83" s="171"/>
    </row>
    <row r="84" spans="1:56" ht="14.15" customHeight="1">
      <c r="A84" s="54"/>
      <c r="B84" s="54"/>
      <c r="C84" s="54"/>
      <c r="D84" s="54"/>
      <c r="E84" s="54"/>
      <c r="F84" s="574"/>
      <c r="G84" s="574"/>
      <c r="H84" s="572"/>
      <c r="I84" s="572"/>
      <c r="J84" s="572"/>
      <c r="K84" s="572"/>
      <c r="L84" s="572"/>
      <c r="M84" s="572"/>
      <c r="N84" s="572"/>
      <c r="O84" s="572"/>
      <c r="P84" s="572"/>
      <c r="Q84" s="572"/>
      <c r="R84" s="572"/>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t="s">
        <v>2336</v>
      </c>
      <c r="AS84" s="54"/>
      <c r="AT84" s="142"/>
      <c r="AU84" s="142"/>
      <c r="AV84" s="142"/>
      <c r="AW84" s="142"/>
      <c r="AX84" s="142"/>
      <c r="AY84" s="142"/>
      <c r="AZ84" s="142"/>
      <c r="BA84" s="142"/>
      <c r="BB84" s="142"/>
      <c r="BC84" s="171"/>
      <c r="BD84" s="171"/>
    </row>
    <row r="85" spans="1:56" ht="14.1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142"/>
      <c r="AU85" s="142"/>
      <c r="AV85" s="142"/>
      <c r="AW85" s="142"/>
      <c r="AX85" s="142"/>
      <c r="AY85" s="142"/>
      <c r="AZ85" s="142"/>
      <c r="BA85" s="142"/>
      <c r="BB85" s="142"/>
      <c r="BC85" s="171"/>
      <c r="BD85" s="171"/>
    </row>
    <row r="86" spans="1:56" ht="14.15" customHeight="1">
      <c r="A86" s="54"/>
      <c r="B86" s="54"/>
      <c r="C86" s="54"/>
      <c r="D86" s="54"/>
      <c r="E86" s="54"/>
      <c r="F86" s="569" t="s">
        <v>2312</v>
      </c>
      <c r="G86" s="569"/>
      <c r="H86" s="570" t="s">
        <v>2337</v>
      </c>
      <c r="I86" s="553"/>
      <c r="J86" s="553"/>
      <c r="K86" s="553"/>
      <c r="L86" s="553"/>
      <c r="M86" s="553"/>
      <c r="N86" s="553"/>
      <c r="O86" s="553"/>
      <c r="P86" s="553"/>
      <c r="Q86" s="553"/>
      <c r="R86" s="553"/>
      <c r="S86" s="54"/>
      <c r="T86" s="54"/>
      <c r="U86" s="54"/>
      <c r="V86" s="54"/>
      <c r="W86" s="54"/>
      <c r="X86" s="54"/>
      <c r="Y86" s="54"/>
      <c r="Z86" s="54"/>
      <c r="AA86" s="54"/>
      <c r="AB86" s="54"/>
      <c r="AC86" s="54"/>
      <c r="AD86" s="54"/>
      <c r="AE86" s="54"/>
      <c r="AF86" s="54"/>
      <c r="AG86" s="54"/>
      <c r="AH86" s="54"/>
      <c r="AI86" s="54"/>
      <c r="AJ86" s="54"/>
      <c r="AK86" s="54"/>
      <c r="AL86" s="54"/>
      <c r="AM86" s="54"/>
      <c r="AN86" s="54"/>
      <c r="AO86" s="54"/>
      <c r="AP86" s="571" t="s">
        <v>2338</v>
      </c>
      <c r="AQ86" s="571"/>
      <c r="AR86" s="54"/>
      <c r="AS86" s="54"/>
      <c r="AT86" s="54"/>
      <c r="AU86" s="54"/>
      <c r="AV86" s="54"/>
      <c r="AW86" s="54"/>
      <c r="AX86" s="54"/>
      <c r="AY86" s="54"/>
      <c r="AZ86" s="54"/>
      <c r="BA86" s="142"/>
      <c r="BB86" s="142"/>
      <c r="BC86" s="171"/>
      <c r="BD86" s="171"/>
    </row>
    <row r="87" spans="1:56" ht="14.15" customHeight="1">
      <c r="A87" s="54"/>
      <c r="B87" s="54"/>
      <c r="C87" s="54"/>
      <c r="D87" s="54"/>
      <c r="E87" s="54"/>
      <c r="F87" s="569"/>
      <c r="G87" s="569"/>
      <c r="H87" s="553"/>
      <c r="I87" s="553"/>
      <c r="J87" s="553"/>
      <c r="K87" s="553"/>
      <c r="L87" s="553"/>
      <c r="M87" s="553"/>
      <c r="N87" s="553"/>
      <c r="O87" s="553"/>
      <c r="P87" s="553"/>
      <c r="Q87" s="553"/>
      <c r="R87" s="553"/>
      <c r="S87" s="54"/>
      <c r="T87" s="54"/>
      <c r="U87" s="54"/>
      <c r="V87" s="54"/>
      <c r="W87" s="54"/>
      <c r="X87" s="54"/>
      <c r="Y87" s="54"/>
      <c r="Z87" s="54"/>
      <c r="AA87" s="54"/>
      <c r="AB87" s="54"/>
      <c r="AC87" s="54"/>
      <c r="AD87" s="54"/>
      <c r="AE87" s="54"/>
      <c r="AF87" s="54"/>
      <c r="AG87" s="54"/>
      <c r="AH87" s="54"/>
      <c r="AI87" s="54"/>
      <c r="AJ87" s="54"/>
      <c r="AK87" s="54"/>
      <c r="AL87" s="54"/>
      <c r="AM87" s="54"/>
      <c r="AN87" s="54"/>
      <c r="AO87" s="54"/>
      <c r="AP87" s="572"/>
      <c r="AQ87" s="572"/>
      <c r="AR87" s="165"/>
      <c r="AS87" s="165"/>
      <c r="AT87" s="165"/>
      <c r="AU87" s="165"/>
      <c r="AV87" s="165"/>
      <c r="AW87" s="165"/>
      <c r="AX87" s="165"/>
      <c r="AY87" s="165"/>
      <c r="AZ87" s="165"/>
      <c r="BA87" s="142"/>
      <c r="BB87" s="142"/>
      <c r="BC87" s="171"/>
      <c r="BD87" s="171"/>
    </row>
    <row r="88" spans="1:56" ht="14.1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t="s">
        <v>2339</v>
      </c>
      <c r="AA88" s="54"/>
      <c r="AB88" s="54"/>
      <c r="AC88" s="54"/>
      <c r="AD88" s="54"/>
      <c r="AE88" s="54"/>
      <c r="AF88" s="54"/>
      <c r="AG88" s="54"/>
      <c r="AH88" s="54"/>
      <c r="AI88" s="54"/>
      <c r="AJ88" s="54"/>
      <c r="AK88" s="54"/>
      <c r="AL88" s="54"/>
      <c r="AM88" s="54"/>
      <c r="AN88" s="54"/>
      <c r="AO88" s="54"/>
      <c r="AP88" s="54"/>
      <c r="AQ88" s="54"/>
      <c r="AR88" s="54"/>
      <c r="AS88" s="54"/>
      <c r="AT88" s="142"/>
      <c r="AU88" s="142"/>
      <c r="AV88" s="142"/>
      <c r="AW88" s="142"/>
      <c r="AX88" s="142"/>
      <c r="AY88" s="142"/>
      <c r="AZ88" s="142"/>
      <c r="BA88" s="142"/>
      <c r="BB88" s="142"/>
      <c r="BC88" s="171"/>
      <c r="BD88" s="171"/>
    </row>
    <row r="89" spans="1:56" ht="14.15" customHeight="1">
      <c r="A89" s="54"/>
      <c r="B89" s="54"/>
      <c r="C89" s="54"/>
      <c r="D89" s="54"/>
      <c r="E89" s="54"/>
      <c r="F89" s="569" t="s">
        <v>2340</v>
      </c>
      <c r="G89" s="569"/>
      <c r="H89" s="570" t="s">
        <v>2341</v>
      </c>
      <c r="I89" s="570"/>
      <c r="J89" s="570"/>
      <c r="K89" s="570"/>
      <c r="L89" s="570"/>
      <c r="M89" s="189"/>
      <c r="N89" s="189"/>
      <c r="O89" s="189"/>
      <c r="P89" s="189"/>
      <c r="Q89" s="189"/>
      <c r="R89" s="189"/>
      <c r="S89" s="54"/>
      <c r="T89" s="54"/>
      <c r="U89" s="54"/>
      <c r="V89" s="54"/>
      <c r="W89" s="54"/>
      <c r="X89" s="54"/>
      <c r="Y89" s="54"/>
      <c r="Z89" s="54" t="s">
        <v>2342</v>
      </c>
      <c r="AA89" s="54"/>
      <c r="AB89" s="54"/>
      <c r="AC89" s="54"/>
      <c r="AD89" s="54"/>
      <c r="AE89" s="54"/>
      <c r="AF89" s="54"/>
      <c r="AG89" s="54"/>
      <c r="AH89" s="54"/>
      <c r="AI89" s="54"/>
      <c r="AJ89" s="54"/>
      <c r="AK89" s="54"/>
      <c r="AL89" s="54"/>
      <c r="AM89" s="54"/>
      <c r="AN89" s="54"/>
      <c r="AO89" s="54"/>
      <c r="AP89" s="569" t="s">
        <v>2343</v>
      </c>
      <c r="AQ89" s="569"/>
      <c r="AR89" s="570" t="s">
        <v>2344</v>
      </c>
      <c r="AS89" s="570"/>
      <c r="AT89" s="570"/>
      <c r="AU89" s="570"/>
      <c r="AV89" s="570"/>
      <c r="AW89" s="570"/>
      <c r="AX89" s="570"/>
      <c r="AY89" s="570"/>
      <c r="AZ89" s="570"/>
      <c r="BA89" s="142"/>
      <c r="BB89" s="142"/>
      <c r="BC89" s="171"/>
      <c r="BD89" s="171"/>
    </row>
    <row r="90" spans="1:56" ht="14.15" customHeight="1">
      <c r="A90" s="54"/>
      <c r="B90" s="54"/>
      <c r="C90" s="54"/>
      <c r="D90" s="54"/>
      <c r="E90" s="54"/>
      <c r="F90" s="569"/>
      <c r="G90" s="569"/>
      <c r="H90" s="570"/>
      <c r="I90" s="570"/>
      <c r="J90" s="570"/>
      <c r="K90" s="570"/>
      <c r="L90" s="570"/>
      <c r="M90" s="189"/>
      <c r="N90" s="189"/>
      <c r="O90" s="189"/>
      <c r="P90" s="189"/>
      <c r="Q90" s="189"/>
      <c r="R90" s="189"/>
      <c r="S90" s="54"/>
      <c r="T90" s="54"/>
      <c r="U90" s="54"/>
      <c r="V90" s="54"/>
      <c r="W90" s="54"/>
      <c r="X90" s="54"/>
      <c r="Y90" s="54"/>
      <c r="Z90" s="54"/>
      <c r="AA90" s="54"/>
      <c r="AB90" s="54"/>
      <c r="AC90" s="54"/>
      <c r="AD90" s="54"/>
      <c r="AE90" s="54"/>
      <c r="AF90" s="54"/>
      <c r="AG90" s="54"/>
      <c r="AH90" s="54"/>
      <c r="AI90" s="54"/>
      <c r="AJ90" s="54"/>
      <c r="AK90" s="54"/>
      <c r="AL90" s="54"/>
      <c r="AM90" s="54"/>
      <c r="AN90" s="54"/>
      <c r="AO90" s="54"/>
      <c r="AP90" s="569"/>
      <c r="AQ90" s="569"/>
      <c r="AR90" s="570"/>
      <c r="AS90" s="570"/>
      <c r="AT90" s="570"/>
      <c r="AU90" s="570"/>
      <c r="AV90" s="570"/>
      <c r="AW90" s="570"/>
      <c r="AX90" s="570"/>
      <c r="AY90" s="570"/>
      <c r="AZ90" s="570"/>
      <c r="BA90" s="142"/>
      <c r="BB90" s="142"/>
      <c r="BC90" s="171"/>
      <c r="BD90" s="171"/>
    </row>
    <row r="91" spans="1:56" ht="14.15" customHeight="1">
      <c r="A91" s="54"/>
      <c r="B91" s="54"/>
      <c r="C91" s="54"/>
      <c r="D91" s="54"/>
      <c r="E91" s="54"/>
      <c r="F91" s="54"/>
      <c r="G91" s="54"/>
      <c r="H91" s="570"/>
      <c r="I91" s="570"/>
      <c r="J91" s="570"/>
      <c r="K91" s="570"/>
      <c r="L91" s="570"/>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142"/>
      <c r="AU91" s="142"/>
      <c r="AV91" s="142"/>
      <c r="AW91" s="142"/>
      <c r="AX91" s="142"/>
      <c r="AY91" s="142"/>
      <c r="AZ91" s="142"/>
      <c r="BA91" s="142"/>
      <c r="BB91" s="142"/>
      <c r="BC91" s="171"/>
      <c r="BD91" s="171"/>
    </row>
    <row r="92" spans="1:56" ht="14.15" customHeight="1">
      <c r="A92" s="54"/>
      <c r="B92" s="54"/>
      <c r="C92" s="54"/>
      <c r="D92" s="54"/>
      <c r="E92" s="54"/>
      <c r="F92" s="54"/>
      <c r="G92" s="54"/>
      <c r="H92" s="570"/>
      <c r="I92" s="570"/>
      <c r="J92" s="570"/>
      <c r="K92" s="570"/>
      <c r="L92" s="570"/>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69" t="s">
        <v>2345</v>
      </c>
      <c r="AS92" s="569"/>
      <c r="AT92" s="142" t="s">
        <v>250</v>
      </c>
      <c r="AU92" s="142" t="s">
        <v>2346</v>
      </c>
      <c r="AV92" s="569" t="s">
        <v>2347</v>
      </c>
      <c r="AW92" s="569"/>
      <c r="AX92" s="142" t="s">
        <v>244</v>
      </c>
      <c r="AY92" s="142"/>
      <c r="AZ92" s="142"/>
      <c r="BA92" s="142"/>
      <c r="BB92" s="142"/>
      <c r="BC92" s="171"/>
      <c r="BD92" s="171"/>
    </row>
    <row r="93" spans="1:56" ht="14.1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69"/>
      <c r="AS93" s="569"/>
      <c r="AT93" s="142">
        <v>585.79999999999995</v>
      </c>
      <c r="AU93" s="190">
        <v>1113</v>
      </c>
      <c r="AV93" s="569"/>
      <c r="AW93" s="569"/>
      <c r="AX93" s="142">
        <v>3400</v>
      </c>
      <c r="AY93" s="142"/>
      <c r="AZ93" s="142"/>
      <c r="BA93" s="142"/>
      <c r="BB93" s="142"/>
      <c r="BC93" s="171"/>
      <c r="BD93" s="171"/>
    </row>
    <row r="94" spans="1:56" ht="14.1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142"/>
      <c r="AU94" s="142"/>
      <c r="AV94" s="142"/>
      <c r="AW94" s="142"/>
      <c r="AX94" s="142"/>
      <c r="AY94" s="142"/>
      <c r="AZ94" s="142"/>
      <c r="BA94" s="142"/>
      <c r="BB94" s="142"/>
      <c r="BC94" s="171"/>
      <c r="BD94" s="171"/>
    </row>
    <row r="95" spans="1:56" ht="14.1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t="s">
        <v>2348</v>
      </c>
      <c r="AS95" s="54"/>
      <c r="AT95" s="142"/>
      <c r="AU95" s="142"/>
      <c r="AV95" s="142"/>
      <c r="AW95" s="142"/>
      <c r="AX95" s="142"/>
      <c r="AY95" s="142"/>
      <c r="AZ95" s="142"/>
      <c r="BA95" s="142"/>
      <c r="BB95" s="142"/>
      <c r="BC95" s="171"/>
      <c r="BD95" s="171"/>
    </row>
    <row r="96" spans="1:56" ht="14.15" customHeight="1">
      <c r="A96" s="54"/>
      <c r="B96" s="54"/>
      <c r="C96" s="54"/>
      <c r="D96" s="54"/>
      <c r="E96" s="54"/>
      <c r="F96" s="569" t="s">
        <v>2349</v>
      </c>
      <c r="G96" s="569"/>
      <c r="H96" s="570" t="s">
        <v>2350</v>
      </c>
      <c r="I96" s="570"/>
      <c r="J96" s="570"/>
      <c r="K96" s="570"/>
      <c r="L96" s="570"/>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t="s">
        <v>2351</v>
      </c>
      <c r="AS96" s="54"/>
      <c r="AT96" s="142"/>
      <c r="AU96" s="142"/>
      <c r="AV96" s="142"/>
      <c r="AW96" s="142"/>
      <c r="AX96" s="142"/>
      <c r="AY96" s="142"/>
      <c r="AZ96" s="142"/>
      <c r="BA96" s="142"/>
      <c r="BB96" s="142"/>
      <c r="BC96" s="171"/>
      <c r="BD96" s="171"/>
    </row>
    <row r="97" spans="1:56" ht="14.15" customHeight="1">
      <c r="A97" s="54"/>
      <c r="B97" s="54"/>
      <c r="C97" s="54"/>
      <c r="D97" s="54"/>
      <c r="E97" s="54"/>
      <c r="F97" s="569"/>
      <c r="G97" s="569"/>
      <c r="H97" s="570"/>
      <c r="I97" s="570"/>
      <c r="J97" s="570"/>
      <c r="K97" s="570"/>
      <c r="L97" s="570"/>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142"/>
      <c r="AU97" s="142"/>
      <c r="AV97" s="142"/>
      <c r="AW97" s="142"/>
      <c r="AX97" s="142"/>
      <c r="AY97" s="142"/>
      <c r="AZ97" s="142"/>
      <c r="BA97" s="142"/>
      <c r="BB97" s="142"/>
      <c r="BC97" s="171"/>
      <c r="BD97" s="171"/>
    </row>
    <row r="98" spans="1:56" ht="14.15" customHeight="1">
      <c r="A98" s="54"/>
      <c r="B98" s="54"/>
      <c r="C98" s="54"/>
      <c r="D98" s="54"/>
      <c r="E98" s="54"/>
      <c r="F98" s="54"/>
      <c r="G98" s="54"/>
      <c r="H98" s="570"/>
      <c r="I98" s="570"/>
      <c r="J98" s="570"/>
      <c r="K98" s="570"/>
      <c r="L98" s="570"/>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69" t="s">
        <v>2352</v>
      </c>
      <c r="AQ98" s="569"/>
      <c r="AR98" s="570" t="s">
        <v>2353</v>
      </c>
      <c r="AS98" s="570"/>
      <c r="AT98" s="570"/>
      <c r="AU98" s="570"/>
      <c r="AV98" s="570"/>
      <c r="AW98" s="570"/>
      <c r="AX98" s="570"/>
      <c r="AY98" s="570"/>
      <c r="AZ98" s="570"/>
      <c r="BA98" s="142"/>
      <c r="BB98" s="142"/>
      <c r="BC98" s="171"/>
      <c r="BD98" s="171"/>
    </row>
    <row r="99" spans="1:56" ht="14.15" customHeight="1">
      <c r="A99" s="54"/>
      <c r="B99" s="54"/>
      <c r="C99" s="54"/>
      <c r="D99" s="54"/>
      <c r="E99" s="54"/>
      <c r="F99" s="54"/>
      <c r="G99" s="54"/>
      <c r="H99" s="570"/>
      <c r="I99" s="570"/>
      <c r="J99" s="570"/>
      <c r="K99" s="570"/>
      <c r="L99" s="570"/>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69"/>
      <c r="AQ99" s="569"/>
      <c r="AR99" s="570"/>
      <c r="AS99" s="570"/>
      <c r="AT99" s="570"/>
      <c r="AU99" s="570"/>
      <c r="AV99" s="570"/>
      <c r="AW99" s="570"/>
      <c r="AX99" s="570"/>
      <c r="AY99" s="570"/>
      <c r="AZ99" s="570"/>
      <c r="BA99" s="142"/>
      <c r="BB99" s="142"/>
      <c r="BC99" s="171"/>
      <c r="BD99" s="171"/>
    </row>
    <row r="100" spans="1:56" ht="14.1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142"/>
      <c r="AU100" s="142"/>
      <c r="AV100" s="142"/>
      <c r="AW100" s="142"/>
      <c r="AX100" s="142"/>
      <c r="AY100" s="142"/>
      <c r="AZ100" s="142"/>
      <c r="BA100" s="142"/>
      <c r="BB100" s="142"/>
      <c r="BC100" s="171"/>
      <c r="BD100" s="171"/>
    </row>
    <row r="101" spans="1:56" ht="14.1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t="s">
        <v>2354</v>
      </c>
      <c r="AS101" s="54"/>
      <c r="AT101" s="142"/>
      <c r="AU101" s="142"/>
      <c r="AV101" s="142"/>
      <c r="AW101" s="142"/>
      <c r="AX101" s="142"/>
      <c r="AY101" s="142"/>
      <c r="AZ101" s="142"/>
      <c r="BA101" s="142"/>
      <c r="BB101" s="142"/>
      <c r="BC101" s="171"/>
      <c r="BD101" s="171"/>
    </row>
    <row r="102" spans="1:56" ht="14.15" customHeight="1">
      <c r="A102" s="54"/>
      <c r="B102" s="54"/>
      <c r="C102" s="54"/>
      <c r="D102" s="54"/>
      <c r="E102" s="54"/>
      <c r="F102" s="570" t="s">
        <v>2355</v>
      </c>
      <c r="G102" s="553"/>
      <c r="H102" s="553"/>
      <c r="I102" s="553"/>
      <c r="J102" s="553"/>
      <c r="K102" s="553"/>
      <c r="L102" s="553"/>
      <c r="M102" s="553"/>
      <c r="N102" s="553"/>
      <c r="O102" s="553"/>
      <c r="P102" s="553"/>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142"/>
      <c r="AU102" s="142"/>
      <c r="AV102" s="142"/>
      <c r="AW102" s="142"/>
      <c r="AX102" s="142"/>
      <c r="AY102" s="142"/>
      <c r="AZ102" s="142"/>
      <c r="BA102" s="142"/>
      <c r="BB102" s="142"/>
      <c r="BC102" s="171"/>
      <c r="BD102" s="171"/>
    </row>
    <row r="103" spans="1:56" ht="14.15" customHeight="1">
      <c r="A103" s="54"/>
      <c r="B103" s="54"/>
      <c r="C103" s="54"/>
      <c r="D103" s="54"/>
      <c r="E103" s="54"/>
      <c r="F103" s="553"/>
      <c r="G103" s="553"/>
      <c r="H103" s="553"/>
      <c r="I103" s="553"/>
      <c r="J103" s="553"/>
      <c r="K103" s="553"/>
      <c r="L103" s="553"/>
      <c r="M103" s="553"/>
      <c r="N103" s="553"/>
      <c r="O103" s="553"/>
      <c r="P103" s="553"/>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69" t="s">
        <v>2356</v>
      </c>
      <c r="AQ103" s="569"/>
      <c r="AR103" s="570" t="s">
        <v>2357</v>
      </c>
      <c r="AS103" s="570"/>
      <c r="AT103" s="570"/>
      <c r="AU103" s="570"/>
      <c r="AV103" s="570"/>
      <c r="AW103" s="570"/>
      <c r="AX103" s="570"/>
      <c r="AY103" s="570"/>
      <c r="AZ103" s="570"/>
      <c r="BA103" s="142"/>
      <c r="BB103" s="142"/>
      <c r="BC103" s="171"/>
      <c r="BD103" s="171"/>
    </row>
    <row r="104" spans="1:56" ht="14.15" customHeight="1">
      <c r="A104" s="54"/>
      <c r="B104" s="54"/>
      <c r="C104" s="54"/>
      <c r="D104" s="54"/>
      <c r="E104" s="54"/>
      <c r="F104" s="54"/>
      <c r="G104" s="54"/>
      <c r="H104" s="54"/>
      <c r="I104" s="54"/>
      <c r="J104" s="54"/>
      <c r="K104" s="54"/>
      <c r="L104" s="54"/>
      <c r="M104" s="54" t="s">
        <v>9</v>
      </c>
      <c r="N104" s="54" t="s">
        <v>2358</v>
      </c>
      <c r="O104" s="54" t="s">
        <v>2359</v>
      </c>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69"/>
      <c r="AQ104" s="569"/>
      <c r="AR104" s="570"/>
      <c r="AS104" s="570"/>
      <c r="AT104" s="570"/>
      <c r="AU104" s="570"/>
      <c r="AV104" s="570"/>
      <c r="AW104" s="570"/>
      <c r="AX104" s="570"/>
      <c r="AY104" s="570"/>
      <c r="AZ104" s="570"/>
      <c r="BA104" s="142"/>
      <c r="BB104" s="142"/>
      <c r="BC104" s="171"/>
      <c r="BD104" s="171"/>
    </row>
    <row r="105" spans="1:56" ht="14.15" customHeight="1">
      <c r="A105" s="54"/>
      <c r="B105" s="54"/>
      <c r="C105" s="54"/>
      <c r="D105" s="54"/>
      <c r="E105" s="54"/>
      <c r="F105" s="54"/>
      <c r="G105" s="54"/>
      <c r="H105" s="54"/>
      <c r="I105" s="54"/>
      <c r="J105" s="54"/>
      <c r="K105" s="54"/>
      <c r="L105" s="54"/>
      <c r="M105" s="54" t="s">
        <v>2</v>
      </c>
      <c r="N105" s="54" t="s">
        <v>2360</v>
      </c>
      <c r="O105" s="54" t="s">
        <v>2361</v>
      </c>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142"/>
      <c r="AU105" s="142"/>
      <c r="AV105" s="142"/>
      <c r="AW105" s="142"/>
      <c r="AX105" s="142"/>
      <c r="AY105" s="142"/>
      <c r="AZ105" s="142"/>
      <c r="BA105" s="142"/>
      <c r="BB105" s="142"/>
      <c r="BC105" s="171"/>
      <c r="BD105" s="171"/>
    </row>
    <row r="106" spans="1:56" ht="14.1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t="s">
        <v>2362</v>
      </c>
      <c r="AS106" s="54"/>
      <c r="AT106" s="142"/>
      <c r="AU106" s="142"/>
      <c r="AV106" s="142"/>
      <c r="AW106" s="142"/>
      <c r="AX106" s="142"/>
      <c r="AY106" s="142"/>
      <c r="AZ106" s="142"/>
      <c r="BA106" s="142"/>
      <c r="BB106" s="142"/>
      <c r="BC106" s="171"/>
      <c r="BD106" s="171"/>
    </row>
    <row r="107" spans="1:56" ht="14.15" customHeight="1">
      <c r="A107" s="54"/>
      <c r="B107" s="54"/>
      <c r="C107" s="54"/>
      <c r="D107" s="54"/>
      <c r="E107" s="54"/>
      <c r="F107" s="54"/>
      <c r="G107" s="54"/>
      <c r="H107" s="54"/>
      <c r="I107" s="54"/>
      <c r="J107" s="54"/>
      <c r="K107" s="54"/>
      <c r="L107" s="54"/>
      <c r="M107" s="54" t="s">
        <v>2363</v>
      </c>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t="s">
        <v>2364</v>
      </c>
      <c r="AS107" s="54"/>
      <c r="AT107" s="142"/>
      <c r="AU107" s="142"/>
      <c r="AV107" s="142"/>
      <c r="AW107" s="142"/>
      <c r="AX107" s="142"/>
      <c r="AY107" s="142"/>
      <c r="AZ107" s="142"/>
      <c r="BA107" s="142"/>
      <c r="BB107" s="142"/>
      <c r="BC107" s="171"/>
      <c r="BD107" s="171"/>
    </row>
    <row r="108" spans="1:56" ht="14.15" customHeight="1">
      <c r="A108" s="54"/>
      <c r="B108" s="54"/>
      <c r="C108" s="54"/>
      <c r="D108" s="54"/>
      <c r="E108" s="54"/>
      <c r="F108" s="54"/>
      <c r="G108" s="54"/>
      <c r="H108" s="54"/>
      <c r="I108" s="54"/>
      <c r="J108" s="54"/>
      <c r="K108" s="54"/>
      <c r="L108" s="54"/>
      <c r="M108" s="54" t="s">
        <v>2365</v>
      </c>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t="s">
        <v>2366</v>
      </c>
      <c r="AS108" s="54"/>
      <c r="AT108" s="142"/>
      <c r="AU108" s="142"/>
      <c r="AV108" s="142"/>
      <c r="AW108" s="142"/>
      <c r="AX108" s="142"/>
      <c r="AY108" s="142"/>
      <c r="AZ108" s="142"/>
      <c r="BA108" s="142"/>
      <c r="BB108" s="142"/>
      <c r="BC108" s="171"/>
      <c r="BD108" s="171"/>
    </row>
    <row r="109" spans="1:56" ht="14.1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142"/>
      <c r="AU109" s="142"/>
      <c r="AV109" s="142"/>
      <c r="AW109" s="142"/>
      <c r="AX109" s="142"/>
      <c r="AY109" s="142"/>
      <c r="AZ109" s="142"/>
      <c r="BA109" s="142"/>
      <c r="BB109" s="142"/>
      <c r="BC109" s="171"/>
      <c r="BD109" s="171"/>
    </row>
    <row r="110" spans="1:56" ht="14.1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69" t="s">
        <v>2367</v>
      </c>
      <c r="AQ110" s="569"/>
      <c r="AR110" s="570" t="s">
        <v>2368</v>
      </c>
      <c r="AS110" s="570"/>
      <c r="AT110" s="570"/>
      <c r="AU110" s="570"/>
      <c r="AV110" s="570"/>
      <c r="AW110" s="570"/>
      <c r="AX110" s="570"/>
      <c r="AY110" s="570"/>
      <c r="AZ110" s="570"/>
      <c r="BA110" s="142"/>
      <c r="BB110" s="142"/>
      <c r="BC110" s="171"/>
      <c r="BD110" s="171"/>
    </row>
    <row r="111" spans="1:56" ht="14.1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73" t="s">
        <v>748</v>
      </c>
      <c r="Z111" s="573"/>
      <c r="AA111" s="571" t="s">
        <v>2369</v>
      </c>
      <c r="AB111" s="571"/>
      <c r="AC111" s="571"/>
      <c r="AD111" s="571"/>
      <c r="AE111" s="571"/>
      <c r="AF111" s="571"/>
      <c r="AG111" s="571"/>
      <c r="AH111" s="571"/>
      <c r="AI111" s="571"/>
      <c r="AJ111" s="571"/>
      <c r="AK111" s="571"/>
      <c r="AL111" s="54"/>
      <c r="AM111" s="54"/>
      <c r="AN111" s="54"/>
      <c r="AO111" s="54"/>
      <c r="AP111" s="569"/>
      <c r="AQ111" s="569"/>
      <c r="AR111" s="570"/>
      <c r="AS111" s="570"/>
      <c r="AT111" s="570"/>
      <c r="AU111" s="570"/>
      <c r="AV111" s="570"/>
      <c r="AW111" s="570"/>
      <c r="AX111" s="570"/>
      <c r="AY111" s="570"/>
      <c r="AZ111" s="570"/>
      <c r="BA111" s="142"/>
      <c r="BB111" s="142"/>
      <c r="BC111" s="171"/>
      <c r="BD111" s="171"/>
    </row>
    <row r="112" spans="1:56" ht="14.1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74"/>
      <c r="Z112" s="574"/>
      <c r="AA112" s="572"/>
      <c r="AB112" s="572"/>
      <c r="AC112" s="572"/>
      <c r="AD112" s="572"/>
      <c r="AE112" s="572"/>
      <c r="AF112" s="572"/>
      <c r="AG112" s="572"/>
      <c r="AH112" s="572"/>
      <c r="AI112" s="572"/>
      <c r="AJ112" s="572"/>
      <c r="AK112" s="572"/>
      <c r="AL112" s="54"/>
      <c r="AM112" s="54"/>
      <c r="AN112" s="54"/>
      <c r="AO112" s="54"/>
      <c r="AP112" s="54"/>
      <c r="AQ112" s="54"/>
      <c r="AR112" s="54"/>
      <c r="AS112" s="54"/>
      <c r="AT112" s="142"/>
      <c r="AU112" s="142"/>
      <c r="AV112" s="142"/>
      <c r="AW112" s="142"/>
      <c r="AX112" s="142"/>
      <c r="AY112" s="142"/>
      <c r="AZ112" s="142"/>
      <c r="BA112" s="142"/>
      <c r="BB112" s="142"/>
      <c r="BC112" s="171"/>
      <c r="BD112" s="171"/>
    </row>
    <row r="113" spans="1:56" ht="14.1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t="s">
        <v>2370</v>
      </c>
      <c r="AS113" s="54"/>
      <c r="AT113" s="142"/>
      <c r="AU113" s="142"/>
      <c r="AV113" s="142"/>
      <c r="AW113" s="142"/>
      <c r="AX113" s="142"/>
      <c r="AY113" s="142"/>
      <c r="AZ113" s="142"/>
      <c r="BA113" s="142"/>
      <c r="BB113" s="142"/>
      <c r="BC113" s="171"/>
      <c r="BD113" s="171"/>
    </row>
    <row r="114" spans="1:56" ht="14.15" customHeight="1">
      <c r="A114" s="54"/>
      <c r="B114" s="54"/>
      <c r="C114" s="54"/>
      <c r="D114" s="54"/>
      <c r="E114" s="54"/>
      <c r="F114" s="573" t="s">
        <v>2371</v>
      </c>
      <c r="G114" s="573"/>
      <c r="H114" s="571" t="s">
        <v>2372</v>
      </c>
      <c r="I114" s="571"/>
      <c r="J114" s="571"/>
      <c r="K114" s="571"/>
      <c r="L114" s="571"/>
      <c r="M114" s="571"/>
      <c r="N114" s="571"/>
      <c r="O114" s="571"/>
      <c r="P114" s="571"/>
      <c r="Q114" s="571"/>
      <c r="R114" s="571"/>
      <c r="S114" s="54"/>
      <c r="T114" s="54"/>
      <c r="U114" s="54"/>
      <c r="V114" s="54"/>
      <c r="W114" s="54"/>
      <c r="X114" s="54"/>
      <c r="Y114" s="569" t="s">
        <v>2373</v>
      </c>
      <c r="Z114" s="569"/>
      <c r="AA114" s="570" t="s">
        <v>2374</v>
      </c>
      <c r="AB114" s="553"/>
      <c r="AC114" s="553"/>
      <c r="AD114" s="553"/>
      <c r="AE114" s="553"/>
      <c r="AF114" s="553"/>
      <c r="AG114" s="553"/>
      <c r="AH114" s="553"/>
      <c r="AI114" s="553"/>
      <c r="AJ114" s="553"/>
      <c r="AK114" s="553"/>
      <c r="AL114" s="54"/>
      <c r="AM114" s="54"/>
      <c r="AN114" s="54"/>
      <c r="AO114" s="54"/>
      <c r="AP114" s="54"/>
      <c r="AQ114" s="54"/>
      <c r="AR114" s="54" t="s">
        <v>2375</v>
      </c>
      <c r="AS114" s="54"/>
      <c r="AT114" s="142"/>
      <c r="AU114" s="142"/>
      <c r="AV114" s="142"/>
      <c r="AW114" s="142"/>
      <c r="AX114" s="142"/>
      <c r="AY114" s="142"/>
      <c r="AZ114" s="142"/>
      <c r="BA114" s="142"/>
      <c r="BB114" s="142"/>
      <c r="BC114" s="171"/>
      <c r="BD114" s="171"/>
    </row>
    <row r="115" spans="1:56" ht="14.15" customHeight="1">
      <c r="A115" s="54"/>
      <c r="B115" s="54"/>
      <c r="C115" s="54"/>
      <c r="D115" s="54"/>
      <c r="E115" s="54"/>
      <c r="F115" s="574"/>
      <c r="G115" s="574"/>
      <c r="H115" s="572"/>
      <c r="I115" s="572"/>
      <c r="J115" s="572"/>
      <c r="K115" s="572"/>
      <c r="L115" s="572"/>
      <c r="M115" s="572"/>
      <c r="N115" s="572"/>
      <c r="O115" s="572"/>
      <c r="P115" s="572"/>
      <c r="Q115" s="572"/>
      <c r="R115" s="572"/>
      <c r="S115" s="54"/>
      <c r="T115" s="54"/>
      <c r="U115" s="54"/>
      <c r="V115" s="54"/>
      <c r="W115" s="54"/>
      <c r="X115" s="54"/>
      <c r="Y115" s="569"/>
      <c r="Z115" s="569"/>
      <c r="AA115" s="553"/>
      <c r="AB115" s="553"/>
      <c r="AC115" s="553"/>
      <c r="AD115" s="553"/>
      <c r="AE115" s="553"/>
      <c r="AF115" s="553"/>
      <c r="AG115" s="553"/>
      <c r="AH115" s="553"/>
      <c r="AI115" s="553"/>
      <c r="AJ115" s="553"/>
      <c r="AK115" s="553"/>
      <c r="AL115" s="54"/>
      <c r="AM115" s="54"/>
      <c r="AN115" s="54"/>
      <c r="AO115" s="54"/>
      <c r="AP115" s="54"/>
      <c r="AQ115" s="54"/>
      <c r="AR115" s="54"/>
      <c r="AS115" s="54"/>
      <c r="AT115" s="142"/>
      <c r="AU115" s="142"/>
      <c r="AV115" s="142"/>
      <c r="AW115" s="142"/>
      <c r="AX115" s="142"/>
      <c r="AY115" s="142"/>
      <c r="AZ115" s="142"/>
      <c r="BA115" s="142"/>
      <c r="BB115" s="142"/>
      <c r="BC115" s="171"/>
      <c r="BD115" s="171"/>
    </row>
    <row r="116" spans="1:56" ht="14.1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t="s">
        <v>2376</v>
      </c>
      <c r="AS116" s="54"/>
      <c r="AT116" s="142"/>
      <c r="AU116" s="142"/>
      <c r="AV116" s="142"/>
      <c r="AW116" s="142"/>
      <c r="AX116" s="142"/>
      <c r="AY116" s="142"/>
      <c r="AZ116" s="142"/>
      <c r="BA116" s="142"/>
      <c r="BB116" s="142"/>
      <c r="BC116" s="171"/>
      <c r="BD116" s="171"/>
    </row>
    <row r="117" spans="1:56" ht="14.15" customHeight="1">
      <c r="A117" s="54"/>
      <c r="B117" s="54"/>
      <c r="C117" s="54"/>
      <c r="D117" s="54"/>
      <c r="E117" s="54"/>
      <c r="F117" s="569" t="s">
        <v>2377</v>
      </c>
      <c r="G117" s="569"/>
      <c r="H117" s="570" t="s">
        <v>2378</v>
      </c>
      <c r="I117" s="553"/>
      <c r="J117" s="553"/>
      <c r="K117" s="553"/>
      <c r="L117" s="553"/>
      <c r="M117" s="553"/>
      <c r="N117" s="553"/>
      <c r="O117" s="553"/>
      <c r="P117" s="553"/>
      <c r="Q117" s="553"/>
      <c r="R117" s="553"/>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t="s">
        <v>2379</v>
      </c>
      <c r="AS117" s="54"/>
      <c r="AT117" s="142"/>
      <c r="AU117" s="142"/>
      <c r="AV117" s="142"/>
      <c r="AW117" s="142"/>
      <c r="AX117" s="142"/>
      <c r="AY117" s="142"/>
      <c r="AZ117" s="142"/>
      <c r="BA117" s="142"/>
      <c r="BB117" s="142"/>
      <c r="BC117" s="171"/>
      <c r="BD117" s="171"/>
    </row>
    <row r="118" spans="1:56" ht="14.15" customHeight="1">
      <c r="A118" s="54"/>
      <c r="B118" s="54"/>
      <c r="C118" s="54"/>
      <c r="D118" s="54"/>
      <c r="E118" s="54"/>
      <c r="F118" s="569"/>
      <c r="G118" s="569"/>
      <c r="H118" s="553"/>
      <c r="I118" s="553"/>
      <c r="J118" s="553"/>
      <c r="K118" s="553"/>
      <c r="L118" s="553"/>
      <c r="M118" s="553"/>
      <c r="N118" s="553"/>
      <c r="O118" s="553"/>
      <c r="P118" s="553"/>
      <c r="Q118" s="553"/>
      <c r="R118" s="553"/>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142"/>
      <c r="AU118" s="142"/>
      <c r="AV118" s="142"/>
      <c r="AW118" s="142"/>
      <c r="AX118" s="142"/>
      <c r="AY118" s="142"/>
      <c r="AZ118" s="142"/>
      <c r="BA118" s="142"/>
      <c r="BB118" s="142"/>
      <c r="BC118" s="171"/>
      <c r="BD118" s="171"/>
    </row>
    <row r="119" spans="1:56" ht="14.1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t="s">
        <v>2380</v>
      </c>
      <c r="AS119" s="54"/>
      <c r="AT119" s="142"/>
      <c r="AU119" s="142"/>
      <c r="AV119" s="142"/>
      <c r="AW119" s="142"/>
      <c r="AX119" s="142"/>
      <c r="AY119" s="142"/>
      <c r="AZ119" s="142"/>
      <c r="BA119" s="142"/>
      <c r="BB119" s="142"/>
      <c r="BC119" s="171"/>
      <c r="BD119" s="171"/>
    </row>
    <row r="120" spans="1:56" ht="14.15" customHeight="1">
      <c r="A120" s="54"/>
      <c r="B120" s="54"/>
      <c r="C120" s="54"/>
      <c r="D120" s="54"/>
      <c r="E120" s="54"/>
      <c r="F120" s="569" t="s">
        <v>2381</v>
      </c>
      <c r="G120" s="569"/>
      <c r="H120" s="570" t="s">
        <v>2382</v>
      </c>
      <c r="I120" s="553"/>
      <c r="J120" s="553"/>
      <c r="K120" s="553"/>
      <c r="L120" s="553"/>
      <c r="M120" s="553"/>
      <c r="N120" s="553"/>
      <c r="O120" s="553"/>
      <c r="P120" s="553"/>
      <c r="Q120" s="553"/>
      <c r="R120" s="553"/>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142"/>
      <c r="AU120" s="142"/>
      <c r="AV120" s="142"/>
      <c r="AW120" s="142"/>
      <c r="AX120" s="142"/>
      <c r="AY120" s="142"/>
      <c r="AZ120" s="142"/>
      <c r="BA120" s="142"/>
      <c r="BB120" s="142"/>
      <c r="BC120" s="171"/>
      <c r="BD120" s="171"/>
    </row>
    <row r="121" spans="1:56" ht="14.15" customHeight="1">
      <c r="A121" s="54"/>
      <c r="B121" s="54"/>
      <c r="C121" s="54"/>
      <c r="D121" s="54"/>
      <c r="E121" s="54"/>
      <c r="F121" s="569"/>
      <c r="G121" s="569"/>
      <c r="H121" s="553"/>
      <c r="I121" s="553"/>
      <c r="J121" s="553"/>
      <c r="K121" s="553"/>
      <c r="L121" s="553"/>
      <c r="M121" s="553"/>
      <c r="N121" s="553"/>
      <c r="O121" s="553"/>
      <c r="P121" s="553"/>
      <c r="Q121" s="553"/>
      <c r="R121" s="553"/>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69" t="s">
        <v>2383</v>
      </c>
      <c r="AQ121" s="569"/>
      <c r="AR121" s="570" t="s">
        <v>2384</v>
      </c>
      <c r="AS121" s="570"/>
      <c r="AT121" s="570"/>
      <c r="AU121" s="570"/>
      <c r="AV121" s="570"/>
      <c r="AW121" s="570"/>
      <c r="AX121" s="570"/>
      <c r="AY121" s="570"/>
      <c r="AZ121" s="570"/>
      <c r="BA121" s="142"/>
      <c r="BB121" s="142"/>
      <c r="BC121" s="171"/>
      <c r="BD121" s="171"/>
    </row>
    <row r="122" spans="1:56" ht="14.1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69"/>
      <c r="AQ122" s="569"/>
      <c r="AR122" s="570"/>
      <c r="AS122" s="570"/>
      <c r="AT122" s="570"/>
      <c r="AU122" s="570"/>
      <c r="AV122" s="570"/>
      <c r="AW122" s="570"/>
      <c r="AX122" s="570"/>
      <c r="AY122" s="570"/>
      <c r="AZ122" s="570"/>
      <c r="BA122" s="142"/>
      <c r="BB122" s="142"/>
      <c r="BC122" s="171"/>
      <c r="BD122" s="171"/>
    </row>
    <row r="123" spans="1:56" ht="14.15" customHeight="1">
      <c r="A123" s="54"/>
      <c r="B123" s="54"/>
      <c r="C123" s="54"/>
      <c r="D123" s="54"/>
      <c r="E123" s="54"/>
      <c r="F123" s="54" t="s">
        <v>2385</v>
      </c>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70"/>
      <c r="AS123" s="570"/>
      <c r="AT123" s="570"/>
      <c r="AU123" s="570"/>
      <c r="AV123" s="570"/>
      <c r="AW123" s="570"/>
      <c r="AX123" s="570"/>
      <c r="AY123" s="570"/>
      <c r="AZ123" s="570"/>
      <c r="BA123" s="142"/>
      <c r="BB123" s="142"/>
      <c r="BC123" s="171"/>
      <c r="BD123" s="171"/>
    </row>
    <row r="124" spans="1:56" ht="14.15" customHeight="1">
      <c r="A124" s="54"/>
      <c r="B124" s="54"/>
      <c r="C124" s="54"/>
      <c r="D124" s="54"/>
      <c r="E124" s="54"/>
      <c r="F124" s="54" t="s">
        <v>2386</v>
      </c>
      <c r="G124" s="54"/>
      <c r="H124" s="54"/>
      <c r="I124" s="54" t="s">
        <v>2387</v>
      </c>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142"/>
      <c r="AU124" s="142"/>
      <c r="AV124" s="142"/>
      <c r="AW124" s="142"/>
      <c r="AX124" s="142"/>
      <c r="AY124" s="142"/>
      <c r="AZ124" s="142"/>
      <c r="BA124" s="142"/>
      <c r="BB124" s="142"/>
      <c r="BC124" s="171"/>
      <c r="BD124" s="171"/>
    </row>
    <row r="125" spans="1:56" ht="14.15" customHeight="1">
      <c r="A125" s="54"/>
      <c r="B125" s="54"/>
      <c r="C125" s="54"/>
      <c r="D125" s="54"/>
      <c r="E125" s="54"/>
      <c r="F125" s="54" t="s">
        <v>2388</v>
      </c>
      <c r="G125" s="54"/>
      <c r="H125" s="54"/>
      <c r="I125" s="54" t="s">
        <v>2389</v>
      </c>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t="s">
        <v>2390</v>
      </c>
      <c r="AS125" s="54"/>
      <c r="AT125" s="142"/>
      <c r="AU125" s="142"/>
      <c r="AV125" s="142"/>
      <c r="AW125" s="142"/>
      <c r="AX125" s="142"/>
      <c r="AY125" s="142"/>
      <c r="AZ125" s="142"/>
      <c r="BA125" s="142"/>
      <c r="BB125" s="142"/>
      <c r="BC125" s="171"/>
      <c r="BD125" s="171"/>
    </row>
    <row r="126" spans="1:56" ht="14.15" customHeight="1">
      <c r="A126" s="54"/>
      <c r="B126" s="54"/>
      <c r="C126" s="54"/>
      <c r="D126" s="54"/>
      <c r="E126" s="54"/>
      <c r="F126" s="54" t="s">
        <v>2391</v>
      </c>
      <c r="G126" s="54"/>
      <c r="H126" s="54"/>
      <c r="I126" s="54" t="s">
        <v>2392</v>
      </c>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t="s">
        <v>2393</v>
      </c>
      <c r="AS126" s="54"/>
      <c r="AT126" s="142"/>
      <c r="AU126" s="142"/>
      <c r="AV126" s="142"/>
      <c r="AW126" s="142"/>
      <c r="AX126" s="142"/>
      <c r="AY126" s="142"/>
      <c r="AZ126" s="142"/>
      <c r="BA126" s="142"/>
      <c r="BB126" s="142"/>
      <c r="BC126" s="171"/>
      <c r="BD126" s="171"/>
    </row>
    <row r="127" spans="1:56" ht="14.15" customHeight="1">
      <c r="A127" s="54"/>
      <c r="B127" s="54"/>
      <c r="C127" s="54"/>
      <c r="D127" s="54"/>
      <c r="E127" s="54"/>
      <c r="F127" s="54" t="s">
        <v>2394</v>
      </c>
      <c r="G127" s="54"/>
      <c r="H127" s="54"/>
      <c r="I127" s="54" t="s">
        <v>2395</v>
      </c>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142"/>
      <c r="AU127" s="142"/>
      <c r="AV127" s="142"/>
      <c r="AW127" s="142"/>
      <c r="AX127" s="142"/>
      <c r="AY127" s="142"/>
      <c r="AZ127" s="142"/>
      <c r="BA127" s="142"/>
      <c r="BB127" s="142"/>
      <c r="BC127" s="171"/>
      <c r="BD127" s="171"/>
    </row>
    <row r="128" spans="1:56" ht="14.15" customHeight="1">
      <c r="A128" s="54"/>
      <c r="B128" s="54"/>
      <c r="C128" s="54"/>
      <c r="D128" s="54"/>
      <c r="E128" s="54"/>
      <c r="F128" s="54" t="s">
        <v>2396</v>
      </c>
      <c r="G128" s="54"/>
      <c r="H128" s="54"/>
      <c r="I128" s="54" t="s">
        <v>2397</v>
      </c>
      <c r="J128" s="54"/>
      <c r="K128" s="54"/>
      <c r="L128" s="54"/>
      <c r="M128" s="54"/>
      <c r="N128" s="54"/>
      <c r="O128" s="54"/>
      <c r="P128" s="54"/>
      <c r="Q128" s="54"/>
      <c r="R128" s="54"/>
      <c r="S128" s="54"/>
      <c r="T128" s="54"/>
      <c r="U128" s="54"/>
      <c r="V128" s="54"/>
      <c r="W128" s="54"/>
      <c r="X128" s="54"/>
      <c r="Y128" s="569" t="s">
        <v>2398</v>
      </c>
      <c r="Z128" s="569"/>
      <c r="AA128" s="570" t="s">
        <v>2399</v>
      </c>
      <c r="AB128" s="553"/>
      <c r="AC128" s="553"/>
      <c r="AD128" s="553"/>
      <c r="AE128" s="553"/>
      <c r="AF128" s="553"/>
      <c r="AG128" s="553"/>
      <c r="AH128" s="553"/>
      <c r="AI128" s="553"/>
      <c r="AJ128" s="553"/>
      <c r="AK128" s="553"/>
      <c r="AL128" s="54"/>
      <c r="AM128" s="54"/>
      <c r="AN128" s="54"/>
      <c r="AO128" s="54"/>
      <c r="AP128" s="54"/>
      <c r="AQ128" s="54"/>
      <c r="AR128" s="570" t="s">
        <v>2400</v>
      </c>
      <c r="AS128" s="570"/>
      <c r="AT128" s="570"/>
      <c r="AU128" s="570"/>
      <c r="AV128" s="570"/>
      <c r="AW128" s="570"/>
      <c r="AX128" s="570"/>
      <c r="AY128" s="570"/>
      <c r="AZ128" s="570"/>
      <c r="BA128" s="142"/>
      <c r="BB128" s="142"/>
      <c r="BC128" s="171"/>
      <c r="BD128" s="171"/>
    </row>
    <row r="129" spans="1:56" ht="14.15" customHeight="1">
      <c r="A129" s="54"/>
      <c r="B129" s="54"/>
      <c r="C129" s="54"/>
      <c r="D129" s="54"/>
      <c r="E129" s="54"/>
      <c r="F129" s="54" t="s">
        <v>2401</v>
      </c>
      <c r="G129" s="54"/>
      <c r="H129" s="54"/>
      <c r="I129" s="54" t="s">
        <v>2402</v>
      </c>
      <c r="J129" s="54"/>
      <c r="K129" s="54"/>
      <c r="L129" s="54"/>
      <c r="M129" s="54"/>
      <c r="N129" s="54"/>
      <c r="O129" s="54"/>
      <c r="P129" s="54"/>
      <c r="Q129" s="54"/>
      <c r="R129" s="54"/>
      <c r="S129" s="54"/>
      <c r="T129" s="54"/>
      <c r="U129" s="54"/>
      <c r="V129" s="54"/>
      <c r="W129" s="54"/>
      <c r="X129" s="54"/>
      <c r="Y129" s="569"/>
      <c r="Z129" s="569"/>
      <c r="AA129" s="553"/>
      <c r="AB129" s="553"/>
      <c r="AC129" s="553"/>
      <c r="AD129" s="553"/>
      <c r="AE129" s="553"/>
      <c r="AF129" s="553"/>
      <c r="AG129" s="553"/>
      <c r="AH129" s="553"/>
      <c r="AI129" s="553"/>
      <c r="AJ129" s="553"/>
      <c r="AK129" s="553"/>
      <c r="AL129" s="54"/>
      <c r="AM129" s="54"/>
      <c r="AN129" s="54"/>
      <c r="AO129" s="54"/>
      <c r="AP129" s="54"/>
      <c r="AQ129" s="54"/>
      <c r="AR129" s="570"/>
      <c r="AS129" s="570"/>
      <c r="AT129" s="570"/>
      <c r="AU129" s="570"/>
      <c r="AV129" s="570"/>
      <c r="AW129" s="570"/>
      <c r="AX129" s="570"/>
      <c r="AY129" s="570"/>
      <c r="AZ129" s="570"/>
      <c r="BA129" s="142"/>
      <c r="BB129" s="142"/>
      <c r="BC129" s="171"/>
      <c r="BD129" s="171"/>
    </row>
    <row r="130" spans="1:56" ht="14.15" customHeight="1">
      <c r="A130" s="54"/>
      <c r="B130" s="54"/>
      <c r="C130" s="54"/>
      <c r="D130" s="54"/>
      <c r="E130" s="54"/>
      <c r="F130" s="54" t="s">
        <v>2403</v>
      </c>
      <c r="G130" s="54"/>
      <c r="H130" s="54"/>
      <c r="I130" s="54" t="s">
        <v>2404</v>
      </c>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70"/>
      <c r="AS130" s="570"/>
      <c r="AT130" s="570"/>
      <c r="AU130" s="570"/>
      <c r="AV130" s="570"/>
      <c r="AW130" s="570"/>
      <c r="AX130" s="570"/>
      <c r="AY130" s="570"/>
      <c r="AZ130" s="570"/>
      <c r="BA130" s="142"/>
      <c r="BB130" s="142"/>
      <c r="BC130" s="171"/>
      <c r="BD130" s="171"/>
    </row>
    <row r="131" spans="1:56" ht="14.15" customHeight="1">
      <c r="A131" s="54"/>
      <c r="B131" s="54"/>
      <c r="C131" s="54"/>
      <c r="D131" s="54"/>
      <c r="E131" s="54"/>
      <c r="F131" s="54" t="s">
        <v>2405</v>
      </c>
      <c r="G131" s="54"/>
      <c r="H131" s="54"/>
      <c r="I131" s="54"/>
      <c r="J131" s="54"/>
      <c r="K131" s="54"/>
      <c r="L131" s="54"/>
      <c r="M131" s="54"/>
      <c r="N131" s="54"/>
      <c r="O131" s="54"/>
      <c r="P131" s="54"/>
      <c r="Q131" s="54"/>
      <c r="R131" s="54"/>
      <c r="S131" s="54"/>
      <c r="T131" s="54"/>
      <c r="U131" s="54"/>
      <c r="V131" s="54"/>
      <c r="W131" s="54"/>
      <c r="X131" s="54"/>
      <c r="Y131" s="569" t="s">
        <v>2406</v>
      </c>
      <c r="Z131" s="569"/>
      <c r="AA131" s="570" t="s">
        <v>2407</v>
      </c>
      <c r="AB131" s="553"/>
      <c r="AC131" s="553"/>
      <c r="AD131" s="553"/>
      <c r="AE131" s="553"/>
      <c r="AF131" s="553"/>
      <c r="AG131" s="553"/>
      <c r="AH131" s="553"/>
      <c r="AI131" s="553"/>
      <c r="AJ131" s="553"/>
      <c r="AK131" s="553"/>
      <c r="AL131" s="54"/>
      <c r="AM131" s="54"/>
      <c r="AN131" s="54"/>
      <c r="AO131" s="54"/>
      <c r="AP131" s="54"/>
      <c r="AQ131" s="54"/>
      <c r="AR131" s="54"/>
      <c r="AS131" s="54"/>
      <c r="AT131" s="142"/>
      <c r="AU131" s="142"/>
      <c r="AV131" s="142"/>
      <c r="AW131" s="142"/>
      <c r="AX131" s="142"/>
      <c r="AY131" s="142"/>
      <c r="AZ131" s="142"/>
      <c r="BA131" s="142"/>
      <c r="BB131" s="142"/>
      <c r="BC131" s="171"/>
      <c r="BD131" s="171"/>
    </row>
    <row r="132" spans="1:56" ht="14.15" customHeight="1">
      <c r="A132" s="54"/>
      <c r="B132" s="54"/>
      <c r="C132" s="54"/>
      <c r="D132" s="54"/>
      <c r="E132" s="54"/>
      <c r="F132" s="54" t="s">
        <v>2408</v>
      </c>
      <c r="G132" s="54"/>
      <c r="H132" s="54"/>
      <c r="I132" s="54"/>
      <c r="J132" s="54"/>
      <c r="K132" s="54"/>
      <c r="L132" s="54"/>
      <c r="M132" s="54"/>
      <c r="N132" s="54"/>
      <c r="O132" s="54"/>
      <c r="P132" s="54"/>
      <c r="Q132" s="54"/>
      <c r="R132" s="54"/>
      <c r="S132" s="54"/>
      <c r="T132" s="54"/>
      <c r="U132" s="54"/>
      <c r="V132" s="54"/>
      <c r="W132" s="54"/>
      <c r="X132" s="54"/>
      <c r="Y132" s="569"/>
      <c r="Z132" s="569"/>
      <c r="AA132" s="553"/>
      <c r="AB132" s="553"/>
      <c r="AC132" s="553"/>
      <c r="AD132" s="553"/>
      <c r="AE132" s="553"/>
      <c r="AF132" s="553"/>
      <c r="AG132" s="553"/>
      <c r="AH132" s="553"/>
      <c r="AI132" s="553"/>
      <c r="AJ132" s="553"/>
      <c r="AK132" s="553"/>
      <c r="AL132" s="54"/>
      <c r="AM132" s="54"/>
      <c r="AN132" s="54"/>
      <c r="AO132" s="54"/>
      <c r="AP132" s="54"/>
      <c r="AQ132" s="54"/>
      <c r="AR132" s="54" t="s">
        <v>2409</v>
      </c>
      <c r="AS132" s="54"/>
      <c r="AT132" s="142"/>
      <c r="AU132" s="142"/>
      <c r="AV132" s="142"/>
      <c r="AW132" s="142"/>
      <c r="AX132" s="142"/>
      <c r="AY132" s="142"/>
      <c r="AZ132" s="142"/>
      <c r="BA132" s="142"/>
      <c r="BB132" s="142"/>
      <c r="BC132" s="171"/>
      <c r="BD132" s="171"/>
    </row>
    <row r="133" spans="1:56" ht="14.1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t="s">
        <v>2410</v>
      </c>
      <c r="AS133" s="54"/>
      <c r="AT133" s="142"/>
      <c r="AU133" s="142"/>
      <c r="AV133" s="142"/>
      <c r="AW133" s="142"/>
      <c r="AX133" s="142"/>
      <c r="AY133" s="142"/>
      <c r="AZ133" s="142"/>
      <c r="BA133" s="142"/>
      <c r="BB133" s="142"/>
      <c r="BC133" s="171"/>
      <c r="BD133" s="171"/>
    </row>
    <row r="134" spans="1:56" ht="14.15" customHeight="1">
      <c r="A134" s="54"/>
      <c r="B134" s="54"/>
      <c r="C134" s="54"/>
      <c r="D134" s="54"/>
      <c r="E134" s="54"/>
      <c r="F134" s="573" t="s">
        <v>2411</v>
      </c>
      <c r="G134" s="573"/>
      <c r="H134" s="571" t="s">
        <v>2412</v>
      </c>
      <c r="I134" s="571"/>
      <c r="J134" s="571"/>
      <c r="K134" s="571"/>
      <c r="L134" s="571"/>
      <c r="M134" s="571"/>
      <c r="N134" s="571"/>
      <c r="O134" s="571"/>
      <c r="P134" s="571"/>
      <c r="Q134" s="571"/>
      <c r="R134" s="571"/>
      <c r="S134" s="54"/>
      <c r="T134" s="54"/>
      <c r="U134" s="54"/>
      <c r="V134" s="54"/>
      <c r="W134" s="54"/>
      <c r="X134" s="54"/>
      <c r="Y134" s="569" t="s">
        <v>2413</v>
      </c>
      <c r="Z134" s="569"/>
      <c r="AA134" s="570" t="s">
        <v>2414</v>
      </c>
      <c r="AB134" s="553"/>
      <c r="AC134" s="553"/>
      <c r="AD134" s="553"/>
      <c r="AE134" s="553"/>
      <c r="AF134" s="553"/>
      <c r="AG134" s="553"/>
      <c r="AH134" s="553"/>
      <c r="AI134" s="553"/>
      <c r="AJ134" s="553"/>
      <c r="AK134" s="553"/>
      <c r="AL134" s="54"/>
      <c r="AM134" s="54"/>
      <c r="AN134" s="54"/>
      <c r="AO134" s="54"/>
      <c r="AP134" s="54"/>
      <c r="AQ134" s="54"/>
      <c r="AR134" s="54"/>
      <c r="AS134" s="54"/>
      <c r="AT134" s="142"/>
      <c r="AU134" s="142"/>
      <c r="AV134" s="142"/>
      <c r="AW134" s="142"/>
      <c r="AX134" s="142"/>
      <c r="AY134" s="142"/>
      <c r="AZ134" s="142"/>
      <c r="BA134" s="142"/>
      <c r="BB134" s="142"/>
      <c r="BC134" s="171"/>
      <c r="BD134" s="171"/>
    </row>
    <row r="135" spans="1:56" ht="14.15" customHeight="1">
      <c r="A135" s="54"/>
      <c r="B135" s="54"/>
      <c r="C135" s="54"/>
      <c r="D135" s="54"/>
      <c r="E135" s="54"/>
      <c r="F135" s="574"/>
      <c r="G135" s="574"/>
      <c r="H135" s="572"/>
      <c r="I135" s="572"/>
      <c r="J135" s="572"/>
      <c r="K135" s="572"/>
      <c r="L135" s="572"/>
      <c r="M135" s="572"/>
      <c r="N135" s="572"/>
      <c r="O135" s="572"/>
      <c r="P135" s="572"/>
      <c r="Q135" s="572"/>
      <c r="R135" s="572"/>
      <c r="S135" s="54"/>
      <c r="T135" s="54"/>
      <c r="U135" s="54"/>
      <c r="V135" s="54"/>
      <c r="W135" s="54"/>
      <c r="X135" s="54"/>
      <c r="Y135" s="569"/>
      <c r="Z135" s="569"/>
      <c r="AA135" s="553"/>
      <c r="AB135" s="553"/>
      <c r="AC135" s="553"/>
      <c r="AD135" s="553"/>
      <c r="AE135" s="553"/>
      <c r="AF135" s="553"/>
      <c r="AG135" s="553"/>
      <c r="AH135" s="553"/>
      <c r="AI135" s="553"/>
      <c r="AJ135" s="553"/>
      <c r="AK135" s="553"/>
      <c r="AL135" s="54"/>
      <c r="AM135" s="54"/>
      <c r="AN135" s="54"/>
      <c r="AO135" s="54"/>
      <c r="AP135" s="54"/>
      <c r="AQ135" s="54"/>
      <c r="AR135" s="54" t="s">
        <v>2415</v>
      </c>
      <c r="AS135" s="54"/>
      <c r="AT135" s="142"/>
      <c r="AU135" s="142"/>
      <c r="AV135" s="142"/>
      <c r="AW135" s="142"/>
      <c r="AX135" s="142"/>
      <c r="AY135" s="142"/>
      <c r="AZ135" s="142"/>
      <c r="BA135" s="142"/>
      <c r="BB135" s="142"/>
      <c r="BC135" s="171"/>
      <c r="BD135" s="171"/>
    </row>
    <row r="136" spans="1:56" ht="14.1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t="s">
        <v>2416</v>
      </c>
      <c r="AS136" s="54"/>
      <c r="AT136" s="142"/>
      <c r="AU136" s="142"/>
      <c r="AV136" s="142"/>
      <c r="AW136" s="142"/>
      <c r="AX136" s="142"/>
      <c r="AY136" s="142"/>
      <c r="AZ136" s="142"/>
      <c r="BA136" s="142"/>
      <c r="BB136" s="142"/>
      <c r="BC136" s="171"/>
      <c r="BD136" s="171"/>
    </row>
    <row r="137" spans="1:56" ht="14.15" customHeight="1">
      <c r="A137" s="54"/>
      <c r="B137" s="54"/>
      <c r="C137" s="54"/>
      <c r="D137" s="54"/>
      <c r="E137" s="54"/>
      <c r="F137" s="569" t="s">
        <v>2417</v>
      </c>
      <c r="G137" s="569"/>
      <c r="H137" s="539" t="s">
        <v>2418</v>
      </c>
      <c r="I137" s="539"/>
      <c r="J137" s="539"/>
      <c r="K137" s="539"/>
      <c r="L137" s="539"/>
      <c r="M137" s="539"/>
      <c r="N137" s="539"/>
      <c r="O137" s="539"/>
      <c r="P137" s="539"/>
      <c r="Q137" s="539"/>
      <c r="R137" s="54"/>
      <c r="S137" s="54"/>
      <c r="T137" s="54"/>
      <c r="U137" s="54"/>
      <c r="V137" s="54"/>
      <c r="W137" s="54"/>
      <c r="X137" s="54"/>
      <c r="Y137" s="54"/>
      <c r="Z137" s="54"/>
      <c r="AA137" s="54" t="s">
        <v>2419</v>
      </c>
      <c r="AB137" s="54"/>
      <c r="AC137" s="516"/>
      <c r="AD137" s="516"/>
      <c r="AE137" s="516"/>
      <c r="AF137" s="54"/>
      <c r="AG137" s="54"/>
      <c r="AH137" s="54"/>
      <c r="AI137" s="54"/>
      <c r="AJ137" s="54"/>
      <c r="AK137" s="54"/>
      <c r="AL137" s="54"/>
      <c r="AM137" s="54"/>
      <c r="AN137" s="54"/>
      <c r="AO137" s="54"/>
      <c r="AP137" s="54"/>
      <c r="AQ137" s="54"/>
      <c r="AR137" s="54"/>
      <c r="AS137" s="54"/>
      <c r="AT137" s="142"/>
      <c r="AU137" s="142"/>
      <c r="AV137" s="142"/>
      <c r="AW137" s="142"/>
      <c r="AX137" s="142"/>
      <c r="AY137" s="142"/>
      <c r="AZ137" s="142"/>
      <c r="BA137" s="142"/>
      <c r="BB137" s="142"/>
      <c r="BC137" s="171"/>
      <c r="BD137" s="171"/>
    </row>
    <row r="138" spans="1:56" ht="14.15" customHeight="1">
      <c r="A138" s="54"/>
      <c r="B138" s="54"/>
      <c r="C138" s="54"/>
      <c r="D138" s="54"/>
      <c r="E138" s="54"/>
      <c r="F138" s="569"/>
      <c r="G138" s="569"/>
      <c r="H138" s="539"/>
      <c r="I138" s="539"/>
      <c r="J138" s="539"/>
      <c r="K138" s="539"/>
      <c r="L138" s="539"/>
      <c r="M138" s="539"/>
      <c r="N138" s="539"/>
      <c r="O138" s="539"/>
      <c r="P138" s="539"/>
      <c r="Q138" s="539"/>
      <c r="R138" s="54"/>
      <c r="S138" s="54"/>
      <c r="T138" s="54"/>
      <c r="U138" s="54"/>
      <c r="V138" s="54"/>
      <c r="W138" s="54"/>
      <c r="X138" s="54"/>
      <c r="Y138" s="54"/>
      <c r="Z138" s="54"/>
      <c r="AA138" s="54" t="s">
        <v>2420</v>
      </c>
      <c r="AB138" s="54"/>
      <c r="AC138" s="54"/>
      <c r="AD138" s="54"/>
      <c r="AE138" s="54"/>
      <c r="AF138" s="54"/>
      <c r="AG138" s="54"/>
      <c r="AH138" s="54"/>
      <c r="AI138" s="54"/>
      <c r="AJ138" s="54"/>
      <c r="AK138" s="54"/>
      <c r="AL138" s="54"/>
      <c r="AM138" s="54"/>
      <c r="AN138" s="54"/>
      <c r="AO138" s="54"/>
      <c r="AP138" s="54"/>
      <c r="AQ138" s="54"/>
      <c r="AR138" s="54"/>
      <c r="AS138" s="54"/>
      <c r="AT138" s="142"/>
      <c r="AU138" s="142"/>
      <c r="AV138" s="142"/>
      <c r="AW138" s="142"/>
      <c r="AX138" s="142"/>
      <c r="AY138" s="142"/>
      <c r="AZ138" s="142"/>
      <c r="BA138" s="142"/>
      <c r="BB138" s="142"/>
      <c r="BC138" s="171"/>
      <c r="BD138" s="171"/>
    </row>
    <row r="139" spans="1:56" ht="14.15" customHeight="1">
      <c r="A139" s="54"/>
      <c r="B139" s="54"/>
      <c r="C139" s="54"/>
      <c r="D139" s="54"/>
      <c r="E139" s="54"/>
      <c r="F139" s="191" t="s">
        <v>2421</v>
      </c>
      <c r="G139" s="49"/>
      <c r="H139" s="49"/>
      <c r="I139" s="49"/>
      <c r="J139" s="49"/>
      <c r="K139" s="49"/>
      <c r="L139" s="49"/>
      <c r="M139" s="49"/>
      <c r="N139" s="49"/>
      <c r="O139" s="49"/>
      <c r="P139" s="49"/>
      <c r="Q139" s="49"/>
      <c r="R139" s="54"/>
      <c r="S139" s="54"/>
      <c r="T139" s="54"/>
      <c r="U139" s="54"/>
      <c r="V139" s="54"/>
      <c r="W139" s="54"/>
      <c r="X139" s="54"/>
      <c r="Y139" s="54"/>
      <c r="Z139" s="83"/>
      <c r="AA139" s="116" t="s">
        <v>2422</v>
      </c>
      <c r="AB139" s="83"/>
      <c r="AC139" s="83"/>
      <c r="AD139" s="83"/>
      <c r="AE139" s="83"/>
      <c r="AF139" s="54"/>
      <c r="AG139" s="54"/>
      <c r="AH139" s="54"/>
      <c r="AI139" s="54"/>
      <c r="AJ139" s="54"/>
      <c r="AK139" s="54"/>
      <c r="AL139" s="54"/>
      <c r="AM139" s="54"/>
      <c r="AN139" s="54"/>
      <c r="AO139" s="54"/>
      <c r="AP139" s="571" t="s">
        <v>2423</v>
      </c>
      <c r="AQ139" s="571"/>
      <c r="AR139" s="54"/>
      <c r="AS139" s="54"/>
      <c r="AT139" s="54"/>
      <c r="AU139" s="54"/>
      <c r="AV139" s="54"/>
      <c r="AW139" s="54"/>
      <c r="AX139" s="54"/>
      <c r="AY139" s="54"/>
      <c r="AZ139" s="54"/>
      <c r="BA139" s="142"/>
      <c r="BB139" s="142"/>
      <c r="BC139" s="171"/>
      <c r="BD139" s="171"/>
    </row>
    <row r="140" spans="1:56" ht="14.15" customHeight="1">
      <c r="A140" s="54"/>
      <c r="B140" s="54"/>
      <c r="C140" s="54"/>
      <c r="D140" s="54"/>
      <c r="E140" s="54"/>
      <c r="F140" s="49" t="s">
        <v>2424</v>
      </c>
      <c r="G140" s="49"/>
      <c r="H140" s="49"/>
      <c r="I140" s="49"/>
      <c r="J140" s="49"/>
      <c r="K140" s="49"/>
      <c r="L140" s="49"/>
      <c r="M140" s="49"/>
      <c r="N140" s="49"/>
      <c r="O140" s="49"/>
      <c r="P140" s="49"/>
      <c r="Q140" s="49"/>
      <c r="R140" s="54"/>
      <c r="S140" s="54"/>
      <c r="T140" s="54"/>
      <c r="U140" s="54"/>
      <c r="V140" s="54"/>
      <c r="W140" s="54"/>
      <c r="X140" s="54"/>
      <c r="Y140" s="54"/>
      <c r="Z140" s="83"/>
      <c r="AA140" s="83"/>
      <c r="AB140" s="83"/>
      <c r="AC140" s="83"/>
      <c r="AD140" s="83"/>
      <c r="AE140" s="83"/>
      <c r="AF140" s="54"/>
      <c r="AG140" s="54"/>
      <c r="AH140" s="54"/>
      <c r="AI140" s="54"/>
      <c r="AJ140" s="54"/>
      <c r="AK140" s="54"/>
      <c r="AL140" s="54"/>
      <c r="AM140" s="54"/>
      <c r="AN140" s="54"/>
      <c r="AO140" s="54"/>
      <c r="AP140" s="572"/>
      <c r="AQ140" s="572"/>
      <c r="AR140" s="165"/>
      <c r="AS140" s="165"/>
      <c r="AT140" s="165"/>
      <c r="AU140" s="165"/>
      <c r="AV140" s="165"/>
      <c r="AW140" s="165"/>
      <c r="AX140" s="165"/>
      <c r="AY140" s="165"/>
      <c r="AZ140" s="165"/>
      <c r="BA140" s="142"/>
      <c r="BB140" s="142"/>
      <c r="BC140" s="171"/>
      <c r="BD140" s="171"/>
    </row>
    <row r="141" spans="1:56" ht="14.15" customHeight="1">
      <c r="A141" s="54"/>
      <c r="B141" s="54"/>
      <c r="C141" s="54"/>
      <c r="D141" s="54"/>
      <c r="E141" s="54"/>
      <c r="F141" s="54" t="s">
        <v>2425</v>
      </c>
      <c r="G141" s="49"/>
      <c r="H141" s="49"/>
      <c r="I141" s="49"/>
      <c r="J141" s="49"/>
      <c r="K141" s="49"/>
      <c r="L141" s="49"/>
      <c r="M141" s="49"/>
      <c r="N141" s="49"/>
      <c r="O141" s="49"/>
      <c r="P141" s="49"/>
      <c r="Q141" s="49"/>
      <c r="R141" s="54"/>
      <c r="S141" s="54"/>
      <c r="T141" s="54"/>
      <c r="U141" s="54"/>
      <c r="V141" s="54"/>
      <c r="W141" s="54"/>
      <c r="X141" s="54"/>
      <c r="Y141" s="54"/>
      <c r="Z141" s="83"/>
      <c r="AA141" s="83" t="s">
        <v>2426</v>
      </c>
      <c r="AB141" s="193" t="s">
        <v>2427</v>
      </c>
      <c r="AC141" s="83" t="s">
        <v>2428</v>
      </c>
      <c r="AD141" s="83"/>
      <c r="AE141" s="83"/>
      <c r="AF141" s="54"/>
      <c r="AG141" s="54"/>
      <c r="AH141" s="54"/>
      <c r="AI141" s="54"/>
      <c r="AJ141" s="54"/>
      <c r="AK141" s="54"/>
      <c r="AL141" s="54"/>
      <c r="AM141" s="54"/>
      <c r="AN141" s="54"/>
      <c r="AO141" s="54"/>
      <c r="AP141" s="54"/>
      <c r="AQ141" s="54"/>
      <c r="AR141" s="54"/>
      <c r="AS141" s="54"/>
      <c r="AT141" s="142"/>
      <c r="AU141" s="142"/>
      <c r="AV141" s="142"/>
      <c r="AW141" s="142"/>
      <c r="AX141" s="142"/>
      <c r="AY141" s="142"/>
      <c r="AZ141" s="142"/>
      <c r="BA141" s="142"/>
      <c r="BB141" s="142"/>
      <c r="BC141" s="171"/>
      <c r="BD141" s="171"/>
    </row>
    <row r="142" spans="1:56" ht="14.15" customHeight="1">
      <c r="A142" s="54"/>
      <c r="B142" s="54"/>
      <c r="C142" s="54"/>
      <c r="D142" s="54"/>
      <c r="E142" s="54"/>
      <c r="F142" s="192" t="s">
        <v>2429</v>
      </c>
      <c r="G142" s="49"/>
      <c r="H142" s="49"/>
      <c r="I142" s="49"/>
      <c r="J142" s="49"/>
      <c r="K142" s="49"/>
      <c r="L142" s="49"/>
      <c r="M142" s="49"/>
      <c r="N142" s="49"/>
      <c r="O142" s="49"/>
      <c r="P142" s="49"/>
      <c r="Q142" s="49"/>
      <c r="R142" s="54"/>
      <c r="S142" s="54"/>
      <c r="T142" s="54"/>
      <c r="U142" s="54"/>
      <c r="V142" s="54"/>
      <c r="W142" s="54"/>
      <c r="X142" s="54"/>
      <c r="Y142" s="54"/>
      <c r="Z142" s="83" t="s">
        <v>243</v>
      </c>
      <c r="AA142" s="83" t="s">
        <v>713</v>
      </c>
      <c r="AB142" s="83" t="s">
        <v>805</v>
      </c>
      <c r="AC142" s="83" t="s">
        <v>2430</v>
      </c>
      <c r="AD142" s="54"/>
      <c r="AE142" s="54"/>
      <c r="AF142" s="54"/>
      <c r="AG142" s="54"/>
      <c r="AH142" s="54"/>
      <c r="AI142" s="54"/>
      <c r="AJ142" s="54"/>
      <c r="AK142" s="54"/>
      <c r="AL142" s="54"/>
      <c r="AM142" s="54"/>
      <c r="AN142" s="54"/>
      <c r="AO142" s="54"/>
      <c r="AP142" s="569" t="s">
        <v>2343</v>
      </c>
      <c r="AQ142" s="569"/>
      <c r="AR142" s="570" t="s">
        <v>2431</v>
      </c>
      <c r="AS142" s="570"/>
      <c r="AT142" s="570"/>
      <c r="AU142" s="570"/>
      <c r="AV142" s="570"/>
      <c r="AW142" s="570"/>
      <c r="AX142" s="570"/>
      <c r="AY142" s="570"/>
      <c r="AZ142" s="570"/>
      <c r="BA142" s="142"/>
      <c r="BB142" s="142"/>
      <c r="BC142" s="171"/>
      <c r="BD142" s="171"/>
    </row>
    <row r="143" spans="1:56" ht="14.15" customHeight="1">
      <c r="A143" s="54"/>
      <c r="B143" s="54"/>
      <c r="C143" s="54"/>
      <c r="D143" s="54"/>
      <c r="E143" s="54"/>
      <c r="F143" s="49" t="s">
        <v>2432</v>
      </c>
      <c r="G143" s="49"/>
      <c r="H143" s="49"/>
      <c r="I143" s="49"/>
      <c r="J143" s="49"/>
      <c r="K143" s="49"/>
      <c r="L143" s="49"/>
      <c r="M143" s="49"/>
      <c r="N143" s="49"/>
      <c r="O143" s="49"/>
      <c r="P143" s="49"/>
      <c r="Q143" s="49"/>
      <c r="R143" s="54"/>
      <c r="S143" s="54"/>
      <c r="T143" s="54"/>
      <c r="U143" s="54"/>
      <c r="V143" s="54"/>
      <c r="W143" s="54"/>
      <c r="X143" s="54"/>
      <c r="Y143" s="194"/>
      <c r="Z143" s="83">
        <v>1</v>
      </c>
      <c r="AA143" s="195">
        <v>1000</v>
      </c>
      <c r="AB143" s="195">
        <v>200</v>
      </c>
      <c r="AC143" s="195">
        <v>100</v>
      </c>
      <c r="AD143" s="189"/>
      <c r="AE143" s="189"/>
      <c r="AF143" s="54"/>
      <c r="AG143" s="54"/>
      <c r="AH143" s="54"/>
      <c r="AI143" s="54"/>
      <c r="AJ143" s="54"/>
      <c r="AK143" s="54"/>
      <c r="AL143" s="54"/>
      <c r="AM143" s="54"/>
      <c r="AN143" s="54"/>
      <c r="AO143" s="54"/>
      <c r="AP143" s="569"/>
      <c r="AQ143" s="569"/>
      <c r="AR143" s="570"/>
      <c r="AS143" s="570"/>
      <c r="AT143" s="570"/>
      <c r="AU143" s="570"/>
      <c r="AV143" s="570"/>
      <c r="AW143" s="570"/>
      <c r="AX143" s="570"/>
      <c r="AY143" s="570"/>
      <c r="AZ143" s="570"/>
      <c r="BA143" s="142"/>
      <c r="BB143" s="142"/>
      <c r="BC143" s="171"/>
      <c r="BD143" s="171"/>
    </row>
    <row r="144" spans="1:56" ht="14.15" customHeight="1">
      <c r="A144" s="54"/>
      <c r="B144" s="54"/>
      <c r="C144" s="54"/>
      <c r="D144" s="54"/>
      <c r="E144" s="54"/>
      <c r="F144" s="49" t="s">
        <v>2433</v>
      </c>
      <c r="G144" s="49"/>
      <c r="H144" s="49"/>
      <c r="I144" s="49"/>
      <c r="J144" s="49"/>
      <c r="K144" s="49"/>
      <c r="L144" s="49"/>
      <c r="M144" s="49"/>
      <c r="N144" s="49"/>
      <c r="O144" s="49"/>
      <c r="P144" s="49"/>
      <c r="Q144" s="49"/>
      <c r="R144" s="54"/>
      <c r="S144" s="54"/>
      <c r="T144" s="54"/>
      <c r="U144" s="54"/>
      <c r="V144" s="54"/>
      <c r="W144" s="54"/>
      <c r="X144" s="54"/>
      <c r="Y144" s="194"/>
      <c r="Z144" s="83">
        <v>2</v>
      </c>
      <c r="AA144" s="195">
        <v>1250</v>
      </c>
      <c r="AB144" s="195">
        <v>300</v>
      </c>
      <c r="AC144" s="195">
        <v>150</v>
      </c>
      <c r="AD144" s="189"/>
      <c r="AE144" s="189"/>
      <c r="AF144" s="54"/>
      <c r="AG144" s="54"/>
      <c r="AH144" s="54"/>
      <c r="AI144" s="54"/>
      <c r="AJ144" s="54"/>
      <c r="AK144" s="54"/>
      <c r="AL144" s="54"/>
      <c r="AM144" s="54"/>
      <c r="AN144" s="54"/>
      <c r="AO144" s="54"/>
      <c r="AP144" s="54"/>
      <c r="AQ144" s="54"/>
      <c r="AR144" s="54"/>
      <c r="AS144" s="54"/>
      <c r="AT144" s="142"/>
      <c r="AU144" s="142"/>
      <c r="AV144" s="142"/>
      <c r="AW144" s="142"/>
      <c r="AX144" s="142"/>
      <c r="AY144" s="142"/>
      <c r="AZ144" s="142"/>
      <c r="BA144" s="142"/>
      <c r="BB144" s="142"/>
      <c r="BC144" s="171"/>
      <c r="BD144" s="171"/>
    </row>
    <row r="145" spans="1:56" ht="14.15" customHeight="1">
      <c r="A145" s="54"/>
      <c r="B145" s="54"/>
      <c r="C145" s="54"/>
      <c r="D145" s="54"/>
      <c r="E145" s="54"/>
      <c r="F145" s="49" t="s">
        <v>2434</v>
      </c>
      <c r="G145" s="49"/>
      <c r="H145" s="49"/>
      <c r="I145" s="49"/>
      <c r="J145" s="49"/>
      <c r="K145" s="49"/>
      <c r="L145" s="49"/>
      <c r="M145" s="49"/>
      <c r="N145" s="49"/>
      <c r="O145" s="49"/>
      <c r="P145" s="49"/>
      <c r="Q145" s="49"/>
      <c r="R145" s="54"/>
      <c r="S145" s="54"/>
      <c r="T145" s="54"/>
      <c r="U145" s="54"/>
      <c r="V145" s="54"/>
      <c r="W145" s="54"/>
      <c r="X145" s="54"/>
      <c r="Y145" s="54"/>
      <c r="Z145" s="83">
        <v>3</v>
      </c>
      <c r="AA145" s="83">
        <v>1500</v>
      </c>
      <c r="AB145" s="83">
        <v>400</v>
      </c>
      <c r="AC145" s="83">
        <v>200</v>
      </c>
      <c r="AD145" s="54"/>
      <c r="AE145" s="54"/>
      <c r="AF145" s="54"/>
      <c r="AG145" s="54"/>
      <c r="AH145" s="54"/>
      <c r="AI145" s="54"/>
      <c r="AJ145" s="54"/>
      <c r="AK145" s="54"/>
      <c r="AL145" s="54"/>
      <c r="AM145" s="54"/>
      <c r="AN145" s="54"/>
      <c r="AO145" s="54"/>
      <c r="AP145" s="54"/>
      <c r="AQ145" s="54"/>
      <c r="AR145" s="569" t="s">
        <v>2435</v>
      </c>
      <c r="AS145" s="569"/>
      <c r="AT145" s="142" t="s">
        <v>250</v>
      </c>
      <c r="AU145" s="142" t="s">
        <v>2346</v>
      </c>
      <c r="AV145" s="569" t="s">
        <v>2436</v>
      </c>
      <c r="AW145" s="569"/>
      <c r="AX145" s="142" t="s">
        <v>244</v>
      </c>
      <c r="AY145" s="142" t="s">
        <v>548</v>
      </c>
      <c r="AZ145" s="142"/>
      <c r="BA145" s="142"/>
      <c r="BB145" s="142"/>
      <c r="BC145" s="171"/>
      <c r="BD145" s="171"/>
    </row>
    <row r="146" spans="1:56" ht="14.15" customHeight="1">
      <c r="A146" s="54"/>
      <c r="B146" s="54"/>
      <c r="C146" s="54"/>
      <c r="D146" s="54"/>
      <c r="E146" s="54"/>
      <c r="F146" s="49" t="s">
        <v>2437</v>
      </c>
      <c r="G146" s="49"/>
      <c r="H146" s="49"/>
      <c r="I146" s="49"/>
      <c r="J146" s="49"/>
      <c r="K146" s="49"/>
      <c r="L146" s="49"/>
      <c r="M146" s="49"/>
      <c r="N146" s="49"/>
      <c r="O146" s="49"/>
      <c r="P146" s="49"/>
      <c r="Q146" s="49"/>
      <c r="R146" s="54"/>
      <c r="S146" s="54"/>
      <c r="T146" s="54"/>
      <c r="U146" s="54"/>
      <c r="V146" s="54"/>
      <c r="W146" s="54"/>
      <c r="X146" s="54"/>
      <c r="Y146" s="54"/>
      <c r="Z146" s="83">
        <v>4</v>
      </c>
      <c r="AA146" s="83">
        <v>1750</v>
      </c>
      <c r="AB146" s="83">
        <v>500</v>
      </c>
      <c r="AC146" s="83">
        <v>250</v>
      </c>
      <c r="AD146" s="54"/>
      <c r="AE146" s="54"/>
      <c r="AF146" s="54"/>
      <c r="AG146" s="54"/>
      <c r="AH146" s="54"/>
      <c r="AI146" s="54"/>
      <c r="AJ146" s="54"/>
      <c r="AK146" s="54"/>
      <c r="AL146" s="54"/>
      <c r="AM146" s="54"/>
      <c r="AN146" s="54"/>
      <c r="AO146" s="54"/>
      <c r="AP146" s="54"/>
      <c r="AQ146" s="54"/>
      <c r="AR146" s="569"/>
      <c r="AS146" s="569"/>
      <c r="AT146" s="142">
        <v>610.5</v>
      </c>
      <c r="AU146" s="190">
        <f>AT146*1.9</f>
        <v>1159.95</v>
      </c>
      <c r="AV146" s="569"/>
      <c r="AW146" s="569"/>
      <c r="AX146" s="142">
        <v>8000</v>
      </c>
      <c r="AY146" s="142">
        <v>18</v>
      </c>
      <c r="AZ146" s="142"/>
      <c r="BA146" s="142"/>
      <c r="BB146" s="142"/>
      <c r="BC146" s="171"/>
      <c r="BD146" s="171"/>
    </row>
    <row r="147" spans="1:56" ht="14.15" customHeight="1">
      <c r="A147" s="54"/>
      <c r="B147" s="54"/>
      <c r="C147" s="54"/>
      <c r="D147" s="54"/>
      <c r="E147" s="54"/>
      <c r="F147" s="49" t="s">
        <v>2438</v>
      </c>
      <c r="G147" s="49"/>
      <c r="H147" s="49"/>
      <c r="I147" s="49"/>
      <c r="J147" s="49"/>
      <c r="K147" s="49"/>
      <c r="L147" s="49"/>
      <c r="M147" s="49"/>
      <c r="N147" s="49"/>
      <c r="O147" s="49"/>
      <c r="P147" s="49"/>
      <c r="Q147" s="49"/>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69" t="s">
        <v>2439</v>
      </c>
      <c r="AQ147" s="569"/>
      <c r="AR147" s="570" t="s">
        <v>2440</v>
      </c>
      <c r="AS147" s="570"/>
      <c r="AT147" s="570"/>
      <c r="AU147" s="570"/>
      <c r="AV147" s="570"/>
      <c r="AW147" s="570"/>
      <c r="AX147" s="570"/>
      <c r="AY147" s="570"/>
      <c r="AZ147" s="570"/>
      <c r="BA147" s="142"/>
      <c r="BB147" s="142"/>
      <c r="BC147" s="171"/>
      <c r="BD147" s="171"/>
    </row>
    <row r="148" spans="1:56" ht="14.15" customHeight="1">
      <c r="A148" s="54"/>
      <c r="B148" s="54"/>
      <c r="C148" s="54"/>
      <c r="D148" s="54"/>
      <c r="E148" s="54"/>
      <c r="F148" s="49"/>
      <c r="G148" s="49"/>
      <c r="H148" s="49"/>
      <c r="I148" s="49"/>
      <c r="J148" s="49"/>
      <c r="K148" s="49"/>
      <c r="L148" s="49"/>
      <c r="M148" s="49"/>
      <c r="N148" s="49"/>
      <c r="O148" s="49"/>
      <c r="P148" s="49"/>
      <c r="Q148" s="49"/>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69"/>
      <c r="AQ148" s="569"/>
      <c r="AR148" s="570"/>
      <c r="AS148" s="570"/>
      <c r="AT148" s="570"/>
      <c r="AU148" s="570"/>
      <c r="AV148" s="570"/>
      <c r="AW148" s="570"/>
      <c r="AX148" s="570"/>
      <c r="AY148" s="570"/>
      <c r="AZ148" s="570"/>
      <c r="BA148" s="142"/>
      <c r="BB148" s="142"/>
      <c r="BC148" s="171"/>
      <c r="BD148" s="171"/>
    </row>
    <row r="149" spans="1:56" ht="14.15" customHeight="1">
      <c r="A149" s="54"/>
      <c r="B149" s="54"/>
      <c r="C149" s="54"/>
      <c r="D149" s="54"/>
      <c r="E149" s="54"/>
      <c r="F149" s="49"/>
      <c r="G149" s="49"/>
      <c r="H149" s="49"/>
      <c r="I149" s="49"/>
      <c r="J149" s="49"/>
      <c r="K149" s="49"/>
      <c r="L149" s="539" t="s">
        <v>2441</v>
      </c>
      <c r="M149" s="539"/>
      <c r="N149" s="539"/>
      <c r="O149" s="539"/>
      <c r="P149" s="539"/>
      <c r="Q149" s="49"/>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142"/>
      <c r="AU149" s="142"/>
      <c r="AV149" s="142"/>
      <c r="AW149" s="142"/>
      <c r="AX149" s="142"/>
      <c r="AY149" s="142"/>
      <c r="AZ149" s="142"/>
      <c r="BA149" s="142"/>
      <c r="BB149" s="142"/>
      <c r="BC149" s="171"/>
      <c r="BD149" s="171"/>
    </row>
    <row r="150" spans="1:56" ht="14.15" customHeight="1">
      <c r="A150" s="54"/>
      <c r="B150" s="54"/>
      <c r="C150" s="54"/>
      <c r="D150" s="54"/>
      <c r="E150" s="54"/>
      <c r="F150" s="49"/>
      <c r="G150" s="49"/>
      <c r="H150" s="49"/>
      <c r="I150" s="49"/>
      <c r="J150" s="49"/>
      <c r="K150" s="49"/>
      <c r="L150" s="539"/>
      <c r="M150" s="539"/>
      <c r="N150" s="539"/>
      <c r="O150" s="539"/>
      <c r="P150" s="539"/>
      <c r="Q150" s="49"/>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t="s">
        <v>2442</v>
      </c>
      <c r="AS150" s="54"/>
      <c r="AT150" s="142"/>
      <c r="AU150" s="142"/>
      <c r="AV150" s="142"/>
      <c r="AW150" s="142"/>
      <c r="AX150" s="142"/>
      <c r="AY150" s="142"/>
      <c r="AZ150" s="142"/>
      <c r="BA150" s="142"/>
      <c r="BB150" s="142"/>
      <c r="BC150" s="171"/>
      <c r="BD150" s="171"/>
    </row>
    <row r="151" spans="1:56" ht="14.15" customHeight="1">
      <c r="A151" s="54"/>
      <c r="B151" s="54"/>
      <c r="C151" s="54"/>
      <c r="D151" s="54"/>
      <c r="E151" s="54"/>
      <c r="F151" s="569" t="s">
        <v>2443</v>
      </c>
      <c r="G151" s="569"/>
      <c r="H151" s="539" t="s">
        <v>2444</v>
      </c>
      <c r="I151" s="539"/>
      <c r="J151" s="539"/>
      <c r="K151" s="539"/>
      <c r="L151" s="539"/>
      <c r="M151" s="539"/>
      <c r="N151" s="539"/>
      <c r="O151" s="539"/>
      <c r="P151" s="539"/>
      <c r="Q151" s="539"/>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t="s">
        <v>2445</v>
      </c>
      <c r="AS151" s="54"/>
      <c r="AT151" s="142"/>
      <c r="AU151" s="142"/>
      <c r="AV151" s="142"/>
      <c r="AW151" s="142"/>
      <c r="AX151" s="142"/>
      <c r="AY151" s="142"/>
      <c r="AZ151" s="142"/>
      <c r="BA151" s="142"/>
      <c r="BB151" s="142"/>
      <c r="BC151" s="171"/>
      <c r="BD151" s="171"/>
    </row>
    <row r="152" spans="1:56" ht="14.15" customHeight="1">
      <c r="A152" s="54"/>
      <c r="B152" s="54"/>
      <c r="C152" s="54"/>
      <c r="D152" s="54"/>
      <c r="E152" s="54"/>
      <c r="F152" s="569"/>
      <c r="G152" s="569"/>
      <c r="H152" s="539"/>
      <c r="I152" s="539"/>
      <c r="J152" s="539"/>
      <c r="K152" s="539"/>
      <c r="L152" s="539"/>
      <c r="M152" s="539"/>
      <c r="N152" s="539"/>
      <c r="O152" s="539"/>
      <c r="P152" s="539"/>
      <c r="Q152" s="539"/>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142"/>
      <c r="AU152" s="142"/>
      <c r="AV152" s="142"/>
      <c r="AW152" s="142"/>
      <c r="AX152" s="142"/>
      <c r="AY152" s="142"/>
      <c r="AZ152" s="142"/>
      <c r="BA152" s="142"/>
      <c r="BB152" s="142"/>
      <c r="BC152" s="171"/>
      <c r="BD152" s="171"/>
    </row>
    <row r="153" spans="1:56" ht="14.1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69" t="s">
        <v>2446</v>
      </c>
      <c r="AQ153" s="569"/>
      <c r="AR153" s="570" t="s">
        <v>2447</v>
      </c>
      <c r="AS153" s="570"/>
      <c r="AT153" s="570"/>
      <c r="AU153" s="570"/>
      <c r="AV153" s="570"/>
      <c r="AW153" s="570"/>
      <c r="AX153" s="570"/>
      <c r="AY153" s="570"/>
      <c r="AZ153" s="570"/>
      <c r="BA153" s="142"/>
      <c r="BB153" s="142"/>
      <c r="BC153" s="171"/>
      <c r="BD153" s="171"/>
    </row>
    <row r="154" spans="1:56" ht="14.15" customHeight="1">
      <c r="A154" s="54"/>
      <c r="B154" s="54"/>
      <c r="C154" s="54"/>
      <c r="D154" s="54"/>
      <c r="E154" s="54"/>
      <c r="F154" s="569" t="s">
        <v>2448</v>
      </c>
      <c r="G154" s="569"/>
      <c r="H154" s="570" t="s">
        <v>2449</v>
      </c>
      <c r="I154" s="570"/>
      <c r="J154" s="570"/>
      <c r="K154" s="570"/>
      <c r="L154" s="570"/>
      <c r="M154" s="570"/>
      <c r="N154" s="54"/>
      <c r="O154" s="54"/>
      <c r="P154" s="54"/>
      <c r="Q154" s="54"/>
      <c r="R154" s="54"/>
      <c r="S154" s="54"/>
      <c r="T154" s="54"/>
      <c r="U154" s="54"/>
      <c r="V154" s="54"/>
      <c r="W154" s="54"/>
      <c r="X154" s="54"/>
      <c r="Y154" s="573" t="s">
        <v>114</v>
      </c>
      <c r="Z154" s="573"/>
      <c r="AA154" s="571" t="s">
        <v>2450</v>
      </c>
      <c r="AB154" s="571"/>
      <c r="AC154" s="571"/>
      <c r="AD154" s="571"/>
      <c r="AE154" s="571"/>
      <c r="AF154" s="571"/>
      <c r="AG154" s="571"/>
      <c r="AH154" s="571"/>
      <c r="AI154" s="571"/>
      <c r="AJ154" s="571"/>
      <c r="AK154" s="571"/>
      <c r="AL154" s="54"/>
      <c r="AM154" s="54"/>
      <c r="AN154" s="54"/>
      <c r="AO154" s="54"/>
      <c r="AP154" s="569"/>
      <c r="AQ154" s="569"/>
      <c r="AR154" s="570"/>
      <c r="AS154" s="570"/>
      <c r="AT154" s="570"/>
      <c r="AU154" s="570"/>
      <c r="AV154" s="570"/>
      <c r="AW154" s="570"/>
      <c r="AX154" s="570"/>
      <c r="AY154" s="570"/>
      <c r="AZ154" s="570"/>
      <c r="BA154" s="142"/>
      <c r="BB154" s="142"/>
      <c r="BC154" s="171"/>
      <c r="BD154" s="171"/>
    </row>
    <row r="155" spans="1:56" ht="14.15" customHeight="1">
      <c r="A155" s="54"/>
      <c r="B155" s="54"/>
      <c r="C155" s="54"/>
      <c r="D155" s="54"/>
      <c r="E155" s="54"/>
      <c r="F155" s="569"/>
      <c r="G155" s="569"/>
      <c r="H155" s="570"/>
      <c r="I155" s="570"/>
      <c r="J155" s="570"/>
      <c r="K155" s="570"/>
      <c r="L155" s="570"/>
      <c r="M155" s="570"/>
      <c r="N155" s="54"/>
      <c r="O155" s="54"/>
      <c r="P155" s="54"/>
      <c r="Q155" s="54"/>
      <c r="R155" s="54"/>
      <c r="S155" s="54"/>
      <c r="T155" s="54"/>
      <c r="U155" s="54"/>
      <c r="V155" s="54"/>
      <c r="W155" s="54"/>
      <c r="X155" s="54"/>
      <c r="Y155" s="574"/>
      <c r="Z155" s="574"/>
      <c r="AA155" s="572"/>
      <c r="AB155" s="572"/>
      <c r="AC155" s="572"/>
      <c r="AD155" s="572"/>
      <c r="AE155" s="572"/>
      <c r="AF155" s="572"/>
      <c r="AG155" s="572"/>
      <c r="AH155" s="572"/>
      <c r="AI155" s="572"/>
      <c r="AJ155" s="572"/>
      <c r="AK155" s="572"/>
      <c r="AL155" s="54"/>
      <c r="AM155" s="54"/>
      <c r="AN155" s="54"/>
      <c r="AO155" s="54"/>
      <c r="AP155" s="54"/>
      <c r="AQ155" s="54"/>
      <c r="AR155" s="54"/>
      <c r="AS155" s="54"/>
      <c r="AT155" s="142"/>
      <c r="AU155" s="142"/>
      <c r="AV155" s="142"/>
      <c r="AW155" s="142"/>
      <c r="AX155" s="142"/>
      <c r="AY155" s="142"/>
      <c r="AZ155" s="142"/>
      <c r="BA155" s="142"/>
      <c r="BB155" s="142"/>
      <c r="BC155" s="171"/>
      <c r="BD155" s="171"/>
    </row>
    <row r="156" spans="1:56" ht="14.1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t="s">
        <v>2451</v>
      </c>
      <c r="AS156" s="54"/>
      <c r="AT156" s="142"/>
      <c r="AU156" s="142"/>
      <c r="AV156" s="142"/>
      <c r="AW156" s="142"/>
      <c r="AX156" s="142"/>
      <c r="AY156" s="142"/>
      <c r="AZ156" s="142"/>
      <c r="BA156" s="142"/>
      <c r="BB156" s="142"/>
      <c r="BC156" s="171"/>
      <c r="BD156" s="171"/>
    </row>
    <row r="157" spans="1:56" ht="14.15" customHeight="1">
      <c r="A157" s="54"/>
      <c r="B157" s="54"/>
      <c r="C157" s="54"/>
      <c r="D157" s="54"/>
      <c r="E157" s="54"/>
      <c r="F157" s="569" t="s">
        <v>2452</v>
      </c>
      <c r="G157" s="569"/>
      <c r="H157" s="570" t="s">
        <v>2453</v>
      </c>
      <c r="I157" s="570"/>
      <c r="J157" s="570"/>
      <c r="K157" s="570"/>
      <c r="L157" s="570"/>
      <c r="M157" s="570"/>
      <c r="N157" s="54"/>
      <c r="O157" s="54"/>
      <c r="P157" s="54"/>
      <c r="Q157" s="54"/>
      <c r="R157" s="54"/>
      <c r="S157" s="54"/>
      <c r="T157" s="54"/>
      <c r="U157" s="54"/>
      <c r="V157" s="54"/>
      <c r="W157" s="54"/>
      <c r="X157" s="54"/>
      <c r="Y157" s="569" t="s">
        <v>2454</v>
      </c>
      <c r="Z157" s="569"/>
      <c r="AA157" s="570" t="s">
        <v>2455</v>
      </c>
      <c r="AB157" s="553"/>
      <c r="AC157" s="553"/>
      <c r="AD157" s="553"/>
      <c r="AE157" s="553"/>
      <c r="AF157" s="553"/>
      <c r="AG157" s="553"/>
      <c r="AH157" s="553"/>
      <c r="AI157" s="553"/>
      <c r="AJ157" s="553"/>
      <c r="AK157" s="553"/>
      <c r="AL157" s="54"/>
      <c r="AM157" s="54"/>
      <c r="AN157" s="54"/>
      <c r="AO157" s="54"/>
      <c r="AP157" s="54"/>
      <c r="AQ157" s="54"/>
      <c r="AR157" s="54" t="s">
        <v>2456</v>
      </c>
      <c r="AS157" s="54"/>
      <c r="AT157" s="142"/>
      <c r="AU157" s="142"/>
      <c r="AV157" s="142"/>
      <c r="AW157" s="142"/>
      <c r="AX157" s="142"/>
      <c r="AY157" s="142"/>
      <c r="AZ157" s="142"/>
      <c r="BA157" s="142"/>
      <c r="BB157" s="142"/>
      <c r="BC157" s="171"/>
      <c r="BD157" s="171"/>
    </row>
    <row r="158" spans="1:56" ht="14.15" customHeight="1">
      <c r="A158" s="54"/>
      <c r="B158" s="54"/>
      <c r="C158" s="54"/>
      <c r="D158" s="54"/>
      <c r="E158" s="54"/>
      <c r="F158" s="569"/>
      <c r="G158" s="569"/>
      <c r="H158" s="570"/>
      <c r="I158" s="570"/>
      <c r="J158" s="570"/>
      <c r="K158" s="570"/>
      <c r="L158" s="570"/>
      <c r="M158" s="570"/>
      <c r="N158" s="54"/>
      <c r="O158" s="54"/>
      <c r="P158" s="54"/>
      <c r="Q158" s="54"/>
      <c r="R158" s="54"/>
      <c r="S158" s="54"/>
      <c r="T158" s="54"/>
      <c r="U158" s="54"/>
      <c r="V158" s="54"/>
      <c r="W158" s="54"/>
      <c r="X158" s="54"/>
      <c r="Y158" s="569"/>
      <c r="Z158" s="569"/>
      <c r="AA158" s="553"/>
      <c r="AB158" s="553"/>
      <c r="AC158" s="553"/>
      <c r="AD158" s="553"/>
      <c r="AE158" s="553"/>
      <c r="AF158" s="553"/>
      <c r="AG158" s="553"/>
      <c r="AH158" s="553"/>
      <c r="AI158" s="553"/>
      <c r="AJ158" s="553"/>
      <c r="AK158" s="553"/>
      <c r="AL158" s="54"/>
      <c r="AM158" s="54"/>
      <c r="AN158" s="54"/>
      <c r="AO158" s="54"/>
      <c r="AP158" s="54"/>
      <c r="AQ158" s="54"/>
      <c r="AR158" s="54" t="s">
        <v>2457</v>
      </c>
      <c r="AS158" s="54"/>
      <c r="AT158" s="142"/>
      <c r="AU158" s="142"/>
      <c r="AV158" s="142"/>
      <c r="AW158" s="142"/>
      <c r="AX158" s="142"/>
      <c r="AY158" s="142"/>
      <c r="AZ158" s="142"/>
      <c r="BA158" s="142"/>
      <c r="BB158" s="142"/>
      <c r="BC158" s="171"/>
      <c r="BD158" s="171"/>
    </row>
    <row r="159" spans="1:56" ht="14.1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142"/>
      <c r="AU159" s="142"/>
      <c r="AV159" s="142"/>
      <c r="AW159" s="142"/>
      <c r="AX159" s="142"/>
      <c r="AY159" s="142"/>
      <c r="AZ159" s="142"/>
      <c r="BA159" s="142"/>
      <c r="BB159" s="142"/>
      <c r="BC159" s="171"/>
      <c r="BD159" s="171"/>
    </row>
    <row r="160" spans="1:56" ht="14.1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69" t="s">
        <v>2458</v>
      </c>
      <c r="Z160" s="569"/>
      <c r="AA160" s="570" t="s">
        <v>2459</v>
      </c>
      <c r="AB160" s="553"/>
      <c r="AC160" s="553"/>
      <c r="AD160" s="553"/>
      <c r="AE160" s="553"/>
      <c r="AF160" s="553"/>
      <c r="AG160" s="553"/>
      <c r="AH160" s="553"/>
      <c r="AI160" s="553"/>
      <c r="AJ160" s="553"/>
      <c r="AK160" s="553"/>
      <c r="AL160" s="54"/>
      <c r="AM160" s="54"/>
      <c r="AN160" s="54"/>
      <c r="AO160" s="54"/>
      <c r="AP160" s="54"/>
      <c r="AQ160" s="54"/>
      <c r="AR160" s="54"/>
      <c r="AS160" s="54"/>
      <c r="AT160" s="142"/>
      <c r="AU160" s="142"/>
      <c r="AV160" s="142"/>
      <c r="AW160" s="142"/>
      <c r="AX160" s="142"/>
      <c r="AY160" s="142"/>
      <c r="AZ160" s="142"/>
      <c r="BA160" s="142"/>
      <c r="BB160" s="142"/>
      <c r="BC160" s="171"/>
      <c r="BD160" s="171"/>
    </row>
    <row r="161" spans="1:56" ht="14.1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69"/>
      <c r="Z161" s="569"/>
      <c r="AA161" s="553"/>
      <c r="AB161" s="553"/>
      <c r="AC161" s="553"/>
      <c r="AD161" s="553"/>
      <c r="AE161" s="553"/>
      <c r="AF161" s="553"/>
      <c r="AG161" s="553"/>
      <c r="AH161" s="553"/>
      <c r="AI161" s="553"/>
      <c r="AJ161" s="553"/>
      <c r="AK161" s="553"/>
      <c r="AL161" s="54"/>
      <c r="AM161" s="54"/>
      <c r="AN161" s="54"/>
      <c r="AO161" s="54"/>
      <c r="AP161" s="54"/>
      <c r="AQ161" s="54"/>
      <c r="AR161" s="54"/>
      <c r="AS161" s="54"/>
      <c r="AT161" s="142"/>
      <c r="AU161" s="142"/>
      <c r="AV161" s="142"/>
      <c r="AW161" s="142"/>
      <c r="AX161" s="142"/>
      <c r="AY161" s="142"/>
      <c r="AZ161" s="142"/>
      <c r="BA161" s="142"/>
      <c r="BB161" s="142"/>
      <c r="BC161" s="171"/>
      <c r="BD161" s="171"/>
    </row>
    <row r="162" spans="1:56" ht="14.1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142"/>
      <c r="AU162" s="142"/>
      <c r="AV162" s="142"/>
      <c r="AW162" s="142"/>
      <c r="AX162" s="142"/>
      <c r="AY162" s="142"/>
      <c r="AZ162" s="142"/>
      <c r="BA162" s="142"/>
      <c r="BB162" s="142"/>
      <c r="BC162" s="171"/>
      <c r="BD162" s="171"/>
    </row>
    <row r="163" spans="1:56" ht="14.1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69" t="s">
        <v>2460</v>
      </c>
      <c r="Z163" s="569"/>
      <c r="AA163" s="570" t="s">
        <v>2461</v>
      </c>
      <c r="AB163" s="553"/>
      <c r="AC163" s="553"/>
      <c r="AD163" s="553"/>
      <c r="AE163" s="553"/>
      <c r="AF163" s="553"/>
      <c r="AG163" s="553"/>
      <c r="AH163" s="553"/>
      <c r="AI163" s="553"/>
      <c r="AJ163" s="553"/>
      <c r="AK163" s="553"/>
      <c r="AL163" s="54"/>
      <c r="AM163" s="54"/>
      <c r="AN163" s="54"/>
      <c r="AO163" s="54"/>
      <c r="AP163" s="54"/>
      <c r="AQ163" s="54"/>
      <c r="AR163" s="54" t="s">
        <v>2462</v>
      </c>
      <c r="AS163" s="54"/>
      <c r="AT163" s="142"/>
      <c r="AU163" s="142"/>
      <c r="AV163" s="142"/>
      <c r="AW163" s="142"/>
      <c r="AX163" s="142"/>
      <c r="AY163" s="142"/>
      <c r="AZ163" s="142"/>
      <c r="BA163" s="142"/>
      <c r="BB163" s="142"/>
      <c r="BC163" s="171"/>
      <c r="BD163" s="171"/>
    </row>
    <row r="164" spans="1:56" ht="14.1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69"/>
      <c r="Z164" s="569"/>
      <c r="AA164" s="553"/>
      <c r="AB164" s="553"/>
      <c r="AC164" s="553"/>
      <c r="AD164" s="553"/>
      <c r="AE164" s="553"/>
      <c r="AF164" s="553"/>
      <c r="AG164" s="553"/>
      <c r="AH164" s="553"/>
      <c r="AI164" s="553"/>
      <c r="AJ164" s="553"/>
      <c r="AK164" s="553"/>
      <c r="AL164" s="54"/>
      <c r="AM164" s="54"/>
      <c r="AN164" s="54"/>
      <c r="AO164" s="54"/>
      <c r="AP164" s="54"/>
      <c r="AQ164" s="54"/>
      <c r="AR164" s="54"/>
      <c r="AS164" s="54"/>
      <c r="AT164" s="142"/>
      <c r="AU164" s="142"/>
      <c r="AV164" s="142"/>
      <c r="AW164" s="142"/>
      <c r="AX164" s="142"/>
      <c r="AY164" s="142"/>
      <c r="AZ164" s="142"/>
      <c r="BA164" s="142"/>
      <c r="BB164" s="142"/>
      <c r="BC164" s="171"/>
      <c r="BD164" s="171"/>
    </row>
    <row r="165" spans="1:56" ht="14.15" customHeight="1">
      <c r="A165" s="54"/>
      <c r="B165" s="54"/>
      <c r="C165" s="54"/>
      <c r="D165" s="54"/>
      <c r="E165" s="54"/>
      <c r="F165" s="54"/>
      <c r="G165" s="54"/>
      <c r="H165" s="54" t="s">
        <v>2463</v>
      </c>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69" t="s">
        <v>2464</v>
      </c>
      <c r="AQ165" s="569"/>
      <c r="AR165" s="570" t="s">
        <v>2465</v>
      </c>
      <c r="AS165" s="570"/>
      <c r="AT165" s="570"/>
      <c r="AU165" s="570"/>
      <c r="AV165" s="570"/>
      <c r="AW165" s="570"/>
      <c r="AX165" s="570"/>
      <c r="AY165" s="570"/>
      <c r="AZ165" s="570"/>
      <c r="BA165" s="142"/>
      <c r="BB165" s="142"/>
      <c r="BC165" s="171"/>
      <c r="BD165" s="171"/>
    </row>
    <row r="166" spans="1:56" ht="14.1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t="s">
        <v>2466</v>
      </c>
      <c r="Z166" s="54" t="s">
        <v>616</v>
      </c>
      <c r="AA166" s="54" t="s">
        <v>2467</v>
      </c>
      <c r="AB166" s="54" t="s">
        <v>617</v>
      </c>
      <c r="AC166" s="54" t="s">
        <v>2467</v>
      </c>
      <c r="AD166" s="54"/>
      <c r="AE166" s="54"/>
      <c r="AF166" s="54"/>
      <c r="AG166" s="54"/>
      <c r="AH166" s="54"/>
      <c r="AI166" s="54"/>
      <c r="AJ166" s="54"/>
      <c r="AK166" s="54"/>
      <c r="AL166" s="54"/>
      <c r="AM166" s="54"/>
      <c r="AN166" s="54"/>
      <c r="AO166" s="54"/>
      <c r="AP166" s="569"/>
      <c r="AQ166" s="569"/>
      <c r="AR166" s="570"/>
      <c r="AS166" s="570"/>
      <c r="AT166" s="570"/>
      <c r="AU166" s="570"/>
      <c r="AV166" s="570"/>
      <c r="AW166" s="570"/>
      <c r="AX166" s="570"/>
      <c r="AY166" s="570"/>
      <c r="AZ166" s="570"/>
      <c r="BA166" s="142"/>
      <c r="BB166" s="142"/>
      <c r="BC166" s="171"/>
      <c r="BD166" s="171"/>
    </row>
    <row r="167" spans="1:56" ht="14.15" customHeight="1">
      <c r="A167" s="54"/>
      <c r="B167" s="54"/>
      <c r="C167" s="54"/>
      <c r="D167" s="54"/>
      <c r="E167" s="54"/>
      <c r="F167" s="547" t="s">
        <v>2468</v>
      </c>
      <c r="G167" s="547"/>
      <c r="H167" s="539" t="s">
        <v>2469</v>
      </c>
      <c r="I167" s="539"/>
      <c r="J167" s="539"/>
      <c r="K167" s="539"/>
      <c r="L167" s="539"/>
      <c r="M167" s="539"/>
      <c r="N167" s="539"/>
      <c r="O167" s="539"/>
      <c r="P167" s="539"/>
      <c r="Q167" s="539"/>
      <c r="R167" s="54"/>
      <c r="S167" s="54"/>
      <c r="T167" s="54"/>
      <c r="U167" s="54"/>
      <c r="V167" s="54"/>
      <c r="W167" s="54"/>
      <c r="X167" s="54"/>
      <c r="Y167" s="83">
        <v>1</v>
      </c>
      <c r="Z167" s="83">
        <v>4000</v>
      </c>
      <c r="AA167" s="83">
        <v>3000</v>
      </c>
      <c r="AB167" s="83">
        <v>2000</v>
      </c>
      <c r="AC167" s="83">
        <v>1650</v>
      </c>
      <c r="AD167" s="54"/>
      <c r="AE167" s="54"/>
      <c r="AF167" s="54"/>
      <c r="AG167" s="54"/>
      <c r="AH167" s="54"/>
      <c r="AI167" s="54"/>
      <c r="AJ167" s="54"/>
      <c r="AK167" s="54"/>
      <c r="AL167" s="54"/>
      <c r="AM167" s="54"/>
      <c r="AN167" s="54"/>
      <c r="AO167" s="54"/>
      <c r="AP167" s="54"/>
      <c r="AQ167" s="54"/>
      <c r="AR167" s="54"/>
      <c r="AS167" s="54"/>
      <c r="AT167" s="142"/>
      <c r="AU167" s="142"/>
      <c r="AV167" s="142"/>
      <c r="AW167" s="142"/>
      <c r="AX167" s="142"/>
      <c r="AY167" s="142"/>
      <c r="AZ167" s="142"/>
      <c r="BA167" s="142"/>
      <c r="BB167" s="142"/>
      <c r="BC167" s="171"/>
      <c r="BD167" s="171"/>
    </row>
    <row r="168" spans="1:56" ht="14.15" customHeight="1">
      <c r="A168" s="54"/>
      <c r="B168" s="54"/>
      <c r="C168" s="54"/>
      <c r="D168" s="54"/>
      <c r="E168" s="54"/>
      <c r="F168" s="547"/>
      <c r="G168" s="547"/>
      <c r="H168" s="539"/>
      <c r="I168" s="539"/>
      <c r="J168" s="539"/>
      <c r="K168" s="539"/>
      <c r="L168" s="539"/>
      <c r="M168" s="539"/>
      <c r="N168" s="539"/>
      <c r="O168" s="539"/>
      <c r="P168" s="539"/>
      <c r="Q168" s="539"/>
      <c r="R168" s="54"/>
      <c r="S168" s="54"/>
      <c r="T168" s="54"/>
      <c r="U168" s="54"/>
      <c r="V168" s="54"/>
      <c r="W168" s="54"/>
      <c r="X168" s="54"/>
      <c r="Y168" s="83">
        <v>2</v>
      </c>
      <c r="Z168" s="83">
        <v>4750</v>
      </c>
      <c r="AA168" s="83">
        <v>3563</v>
      </c>
      <c r="AB168" s="83">
        <v>2250</v>
      </c>
      <c r="AC168" s="83">
        <v>1856</v>
      </c>
      <c r="AD168" s="54"/>
      <c r="AE168" s="54"/>
      <c r="AF168" s="54"/>
      <c r="AG168" s="54"/>
      <c r="AH168" s="54"/>
      <c r="AI168" s="54"/>
      <c r="AJ168" s="54"/>
      <c r="AK168" s="54"/>
      <c r="AL168" s="54"/>
      <c r="AM168" s="54"/>
      <c r="AN168" s="54"/>
      <c r="AO168" s="54"/>
      <c r="AP168" s="54"/>
      <c r="AQ168" s="54"/>
      <c r="AR168" s="54" t="s">
        <v>2470</v>
      </c>
      <c r="AS168" s="54"/>
      <c r="AT168" s="142"/>
      <c r="AU168" s="142"/>
      <c r="AV168" s="142"/>
      <c r="AW168" s="142"/>
      <c r="AX168" s="142"/>
      <c r="AY168" s="142"/>
      <c r="AZ168" s="142"/>
      <c r="BA168" s="142"/>
      <c r="BB168" s="142"/>
      <c r="BC168" s="171"/>
      <c r="BD168" s="171"/>
    </row>
    <row r="169" spans="1:56" ht="14.1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83">
        <v>3</v>
      </c>
      <c r="Z169" s="83">
        <v>5500</v>
      </c>
      <c r="AA169" s="83">
        <v>4125</v>
      </c>
      <c r="AB169" s="83">
        <v>2500</v>
      </c>
      <c r="AC169" s="83">
        <v>2063</v>
      </c>
      <c r="AD169" s="54"/>
      <c r="AE169" s="54"/>
      <c r="AF169" s="54"/>
      <c r="AG169" s="54"/>
      <c r="AH169" s="54"/>
      <c r="AI169" s="54"/>
      <c r="AJ169" s="54"/>
      <c r="AK169" s="54"/>
      <c r="AL169" s="54"/>
      <c r="AM169" s="54"/>
      <c r="AN169" s="54"/>
      <c r="AO169" s="54"/>
      <c r="AP169" s="54"/>
      <c r="AQ169" s="54"/>
      <c r="AR169" s="54"/>
      <c r="AS169" s="54"/>
      <c r="AT169" s="142"/>
      <c r="AU169" s="142"/>
      <c r="AV169" s="142"/>
      <c r="AW169" s="142"/>
      <c r="AX169" s="142"/>
      <c r="AY169" s="142"/>
      <c r="AZ169" s="142"/>
      <c r="BA169" s="142"/>
      <c r="BB169" s="142"/>
      <c r="BC169" s="171"/>
      <c r="BD169" s="171"/>
    </row>
    <row r="170" spans="1:56" ht="14.15" customHeight="1">
      <c r="A170" s="54"/>
      <c r="B170" s="54"/>
      <c r="C170" s="54"/>
      <c r="D170" s="54"/>
      <c r="E170" s="54"/>
      <c r="F170" s="547" t="s">
        <v>2471</v>
      </c>
      <c r="G170" s="547"/>
      <c r="H170" s="570" t="s">
        <v>2472</v>
      </c>
      <c r="I170" s="570"/>
      <c r="J170" s="570"/>
      <c r="K170" s="570"/>
      <c r="L170" s="570"/>
      <c r="M170" s="570"/>
      <c r="N170" s="54"/>
      <c r="O170" s="54"/>
      <c r="P170" s="54"/>
      <c r="Q170" s="54"/>
      <c r="R170" s="54"/>
      <c r="S170" s="54"/>
      <c r="T170" s="54"/>
      <c r="U170" s="54"/>
      <c r="V170" s="54"/>
      <c r="W170" s="54"/>
      <c r="X170" s="54"/>
      <c r="Y170" s="83">
        <v>4</v>
      </c>
      <c r="Z170" s="83">
        <v>6250</v>
      </c>
      <c r="AA170" s="83">
        <v>4688</v>
      </c>
      <c r="AB170" s="83">
        <v>2750</v>
      </c>
      <c r="AC170" s="83">
        <v>2269</v>
      </c>
      <c r="AD170" s="54"/>
      <c r="AE170" s="54"/>
      <c r="AF170" s="54"/>
      <c r="AG170" s="54"/>
      <c r="AH170" s="54"/>
      <c r="AI170" s="54"/>
      <c r="AJ170" s="54"/>
      <c r="AK170" s="54"/>
      <c r="AL170" s="54"/>
      <c r="AM170" s="54"/>
      <c r="AN170" s="54"/>
      <c r="AO170" s="54"/>
      <c r="AP170" s="569" t="s">
        <v>2473</v>
      </c>
      <c r="AQ170" s="569"/>
      <c r="AR170" s="570" t="s">
        <v>2474</v>
      </c>
      <c r="AS170" s="570"/>
      <c r="AT170" s="570"/>
      <c r="AU170" s="570"/>
      <c r="AV170" s="570"/>
      <c r="AW170" s="570"/>
      <c r="AX170" s="570"/>
      <c r="AY170" s="570"/>
      <c r="AZ170" s="570"/>
      <c r="BA170" s="142"/>
      <c r="BB170" s="142"/>
      <c r="BC170" s="171"/>
      <c r="BD170" s="171"/>
    </row>
    <row r="171" spans="1:56" ht="14.15" customHeight="1">
      <c r="A171" s="54"/>
      <c r="B171" s="54"/>
      <c r="C171" s="54"/>
      <c r="D171" s="54"/>
      <c r="E171" s="54"/>
      <c r="F171" s="547"/>
      <c r="G171" s="547"/>
      <c r="H171" s="570"/>
      <c r="I171" s="570"/>
      <c r="J171" s="570"/>
      <c r="K171" s="570"/>
      <c r="L171" s="570"/>
      <c r="M171" s="570"/>
      <c r="N171" s="54"/>
      <c r="O171" s="54"/>
      <c r="P171" s="54"/>
      <c r="Q171" s="54"/>
      <c r="R171" s="54"/>
      <c r="S171" s="54"/>
      <c r="T171" s="54"/>
      <c r="U171" s="54"/>
      <c r="V171" s="54"/>
      <c r="W171" s="54"/>
      <c r="X171" s="54"/>
      <c r="Y171" s="83">
        <v>5</v>
      </c>
      <c r="Z171" s="83">
        <v>7000</v>
      </c>
      <c r="AA171" s="83">
        <v>5250</v>
      </c>
      <c r="AB171" s="83">
        <v>3000</v>
      </c>
      <c r="AC171" s="83">
        <v>2475</v>
      </c>
      <c r="AD171" s="54"/>
      <c r="AE171" s="54"/>
      <c r="AF171" s="54"/>
      <c r="AG171" s="54"/>
      <c r="AH171" s="54"/>
      <c r="AI171" s="54"/>
      <c r="AJ171" s="54"/>
      <c r="AK171" s="54"/>
      <c r="AL171" s="54"/>
      <c r="AM171" s="54"/>
      <c r="AN171" s="54"/>
      <c r="AO171" s="54"/>
      <c r="AP171" s="569"/>
      <c r="AQ171" s="569"/>
      <c r="AR171" s="570"/>
      <c r="AS171" s="570"/>
      <c r="AT171" s="570"/>
      <c r="AU171" s="570"/>
      <c r="AV171" s="570"/>
      <c r="AW171" s="570"/>
      <c r="AX171" s="570"/>
      <c r="AY171" s="570"/>
      <c r="AZ171" s="570"/>
      <c r="BA171" s="142"/>
      <c r="BB171" s="142"/>
      <c r="BC171" s="171"/>
      <c r="BD171" s="171"/>
    </row>
    <row r="172" spans="1:56" ht="14.1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t="s">
        <v>2475</v>
      </c>
      <c r="Z172" s="54"/>
      <c r="AA172" s="54"/>
      <c r="AB172" s="54"/>
      <c r="AC172" s="54"/>
      <c r="AD172" s="54"/>
      <c r="AE172" s="54"/>
      <c r="AF172" s="54"/>
      <c r="AG172" s="54"/>
      <c r="AH172" s="54"/>
      <c r="AI172" s="54"/>
      <c r="AJ172" s="54"/>
      <c r="AK172" s="54"/>
      <c r="AL172" s="54"/>
      <c r="AM172" s="54"/>
      <c r="AN172" s="54"/>
      <c r="AO172" s="54"/>
      <c r="AP172" s="54"/>
      <c r="AQ172" s="54"/>
      <c r="AR172" s="54"/>
      <c r="AS172" s="54"/>
      <c r="AT172" s="142"/>
      <c r="AU172" s="142"/>
      <c r="AV172" s="142"/>
      <c r="AW172" s="142"/>
      <c r="AX172" s="142"/>
      <c r="AY172" s="142"/>
      <c r="AZ172" s="142"/>
      <c r="BA172" s="142"/>
      <c r="BB172" s="142"/>
      <c r="BC172" s="171"/>
      <c r="BD172" s="171"/>
    </row>
    <row r="173" spans="1:56" ht="14.15" customHeight="1">
      <c r="A173" s="54"/>
      <c r="B173" s="54"/>
      <c r="C173" s="54"/>
      <c r="D173" s="54"/>
      <c r="E173" s="54"/>
      <c r="F173" s="547" t="s">
        <v>2476</v>
      </c>
      <c r="G173" s="547"/>
      <c r="H173" s="585" t="s">
        <v>2477</v>
      </c>
      <c r="I173" s="539"/>
      <c r="J173" s="539"/>
      <c r="K173" s="539"/>
      <c r="L173" s="539"/>
      <c r="M173" s="539"/>
      <c r="N173" s="539"/>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70" t="s">
        <v>2478</v>
      </c>
      <c r="AS173" s="570"/>
      <c r="AT173" s="570"/>
      <c r="AU173" s="570"/>
      <c r="AV173" s="570"/>
      <c r="AW173" s="570"/>
      <c r="AX173" s="570"/>
      <c r="AY173" s="570"/>
      <c r="AZ173" s="570"/>
      <c r="BA173" s="142"/>
      <c r="BB173" s="142"/>
      <c r="BC173" s="171"/>
      <c r="BD173" s="171"/>
    </row>
    <row r="174" spans="1:56" ht="14.15" customHeight="1">
      <c r="A174" s="54"/>
      <c r="B174" s="54"/>
      <c r="C174" s="54"/>
      <c r="D174" s="54"/>
      <c r="E174" s="54"/>
      <c r="F174" s="547"/>
      <c r="G174" s="547"/>
      <c r="H174" s="539"/>
      <c r="I174" s="539"/>
      <c r="J174" s="539"/>
      <c r="K174" s="539"/>
      <c r="L174" s="539"/>
      <c r="M174" s="539"/>
      <c r="N174" s="539"/>
      <c r="O174" s="54"/>
      <c r="P174" s="54"/>
      <c r="Q174" s="54"/>
      <c r="R174" s="54"/>
      <c r="S174" s="54"/>
      <c r="T174" s="54"/>
      <c r="U174" s="54"/>
      <c r="V174" s="54"/>
      <c r="W174" s="54"/>
      <c r="X174" s="54"/>
      <c r="Y174" s="54" t="s">
        <v>2479</v>
      </c>
      <c r="Z174" s="54"/>
      <c r="AA174" s="54"/>
      <c r="AB174" s="54"/>
      <c r="AC174" s="54"/>
      <c r="AD174" s="54"/>
      <c r="AE174" s="54"/>
      <c r="AF174" s="54"/>
      <c r="AG174" s="54"/>
      <c r="AH174" s="54"/>
      <c r="AI174" s="54"/>
      <c r="AJ174" s="54"/>
      <c r="AK174" s="54"/>
      <c r="AL174" s="54"/>
      <c r="AM174" s="54"/>
      <c r="AN174" s="54"/>
      <c r="AO174" s="54"/>
      <c r="AP174" s="54"/>
      <c r="AQ174" s="54"/>
      <c r="AR174" s="570"/>
      <c r="AS174" s="570"/>
      <c r="AT174" s="570"/>
      <c r="AU174" s="570"/>
      <c r="AV174" s="570"/>
      <c r="AW174" s="570"/>
      <c r="AX174" s="570"/>
      <c r="AY174" s="570"/>
      <c r="AZ174" s="570"/>
      <c r="BA174" s="142"/>
      <c r="BB174" s="142"/>
      <c r="BC174" s="171"/>
      <c r="BD174" s="171"/>
    </row>
    <row r="175" spans="1:56" ht="14.1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142"/>
      <c r="AU175" s="142"/>
      <c r="AV175" s="142"/>
      <c r="AW175" s="142"/>
      <c r="AX175" s="142"/>
      <c r="AY175" s="142"/>
      <c r="AZ175" s="142"/>
      <c r="BA175" s="142"/>
      <c r="BB175" s="142"/>
      <c r="BC175" s="171"/>
      <c r="BD175" s="171"/>
    </row>
    <row r="176" spans="1:56" ht="14.15" customHeight="1">
      <c r="A176" s="54"/>
      <c r="B176" s="54"/>
      <c r="C176" s="54"/>
      <c r="D176" s="54"/>
      <c r="E176" s="54"/>
      <c r="F176" s="547" t="s">
        <v>2480</v>
      </c>
      <c r="G176" s="547"/>
      <c r="H176" s="49" t="s">
        <v>2481</v>
      </c>
      <c r="I176" s="49"/>
      <c r="J176" s="49"/>
      <c r="K176" s="49"/>
      <c r="L176" s="49"/>
      <c r="M176" s="49"/>
      <c r="N176" s="49"/>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69" t="s">
        <v>2482</v>
      </c>
      <c r="AQ176" s="569"/>
      <c r="AR176" s="570" t="s">
        <v>2483</v>
      </c>
      <c r="AS176" s="570"/>
      <c r="AT176" s="570"/>
      <c r="AU176" s="570"/>
      <c r="AV176" s="570"/>
      <c r="AW176" s="570"/>
      <c r="AX176" s="570"/>
      <c r="AY176" s="570"/>
      <c r="AZ176" s="570"/>
      <c r="BA176" s="142"/>
      <c r="BB176" s="142"/>
      <c r="BC176" s="171"/>
      <c r="BD176" s="171"/>
    </row>
    <row r="177" spans="1:56" ht="14.15" customHeight="1">
      <c r="A177" s="54"/>
      <c r="B177" s="54"/>
      <c r="C177" s="54"/>
      <c r="D177" s="54"/>
      <c r="E177" s="54"/>
      <c r="F177" s="547"/>
      <c r="G177" s="547"/>
      <c r="H177" s="585" t="s">
        <v>2484</v>
      </c>
      <c r="I177" s="539"/>
      <c r="J177" s="539"/>
      <c r="K177" s="539"/>
      <c r="L177" s="539"/>
      <c r="M177" s="539"/>
      <c r="N177" s="539"/>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69"/>
      <c r="AQ177" s="569"/>
      <c r="AR177" s="570"/>
      <c r="AS177" s="570"/>
      <c r="AT177" s="570"/>
      <c r="AU177" s="570"/>
      <c r="AV177" s="570"/>
      <c r="AW177" s="570"/>
      <c r="AX177" s="570"/>
      <c r="AY177" s="570"/>
      <c r="AZ177" s="570"/>
      <c r="BA177" s="142"/>
      <c r="BB177" s="142"/>
      <c r="BC177" s="171"/>
      <c r="BD177" s="171"/>
    </row>
    <row r="178" spans="1:56" ht="14.15" customHeight="1">
      <c r="A178" s="54"/>
      <c r="B178" s="54"/>
      <c r="C178" s="54"/>
      <c r="D178" s="54"/>
      <c r="E178" s="54"/>
      <c r="F178" s="54"/>
      <c r="G178" s="54"/>
      <c r="H178" s="539"/>
      <c r="I178" s="539"/>
      <c r="J178" s="539"/>
      <c r="K178" s="539"/>
      <c r="L178" s="539"/>
      <c r="M178" s="539"/>
      <c r="N178" s="539"/>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142"/>
      <c r="AU178" s="142"/>
      <c r="AV178" s="142"/>
      <c r="AW178" s="142"/>
      <c r="AX178" s="142"/>
      <c r="AY178" s="142"/>
      <c r="AZ178" s="142"/>
      <c r="BA178" s="142"/>
      <c r="BB178" s="142"/>
      <c r="BC178" s="171"/>
      <c r="BD178" s="171"/>
    </row>
    <row r="179" spans="1:56" ht="14.15" customHeight="1">
      <c r="A179" s="54"/>
      <c r="B179" s="54"/>
      <c r="C179" s="54"/>
      <c r="D179" s="54"/>
      <c r="E179" s="54"/>
      <c r="F179" s="54"/>
      <c r="G179" s="54"/>
      <c r="H179" s="539"/>
      <c r="I179" s="539"/>
      <c r="J179" s="539"/>
      <c r="K179" s="539"/>
      <c r="L179" s="539"/>
      <c r="M179" s="539"/>
      <c r="N179" s="539"/>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69" t="s">
        <v>2485</v>
      </c>
      <c r="AQ179" s="569"/>
      <c r="AR179" s="570" t="s">
        <v>2486</v>
      </c>
      <c r="AS179" s="570"/>
      <c r="AT179" s="570"/>
      <c r="AU179" s="570"/>
      <c r="AV179" s="570"/>
      <c r="AW179" s="570"/>
      <c r="AX179" s="570"/>
      <c r="AY179" s="570"/>
      <c r="AZ179" s="570"/>
      <c r="BA179" s="142"/>
      <c r="BB179" s="142"/>
      <c r="BC179" s="171"/>
      <c r="BD179" s="171"/>
    </row>
    <row r="180" spans="1:56" ht="14.15" customHeight="1">
      <c r="A180" s="54"/>
      <c r="B180" s="54"/>
      <c r="C180" s="54"/>
      <c r="D180" s="54"/>
      <c r="E180" s="54"/>
      <c r="F180" s="54"/>
      <c r="G180" s="54"/>
      <c r="H180" s="585" t="s">
        <v>2487</v>
      </c>
      <c r="I180" s="539"/>
      <c r="J180" s="539"/>
      <c r="K180" s="539"/>
      <c r="L180" s="539"/>
      <c r="M180" s="539"/>
      <c r="N180" s="539"/>
      <c r="O180" s="54"/>
      <c r="P180" s="54"/>
      <c r="Q180" s="54"/>
      <c r="R180" s="54"/>
      <c r="S180" s="54"/>
      <c r="T180" s="54"/>
      <c r="U180" s="54"/>
      <c r="V180" s="54"/>
      <c r="W180" s="54"/>
      <c r="X180" s="54"/>
      <c r="Y180" s="573" t="s">
        <v>2488</v>
      </c>
      <c r="Z180" s="573"/>
      <c r="AA180" s="571" t="s">
        <v>2489</v>
      </c>
      <c r="AB180" s="571"/>
      <c r="AC180" s="571"/>
      <c r="AD180" s="571"/>
      <c r="AE180" s="571"/>
      <c r="AF180" s="571"/>
      <c r="AG180" s="571"/>
      <c r="AH180" s="571"/>
      <c r="AI180" s="571"/>
      <c r="AJ180" s="571"/>
      <c r="AK180" s="571"/>
      <c r="AL180" s="54"/>
      <c r="AM180" s="54"/>
      <c r="AN180" s="54"/>
      <c r="AO180" s="54"/>
      <c r="AP180" s="569"/>
      <c r="AQ180" s="569"/>
      <c r="AR180" s="570"/>
      <c r="AS180" s="570"/>
      <c r="AT180" s="570"/>
      <c r="AU180" s="570"/>
      <c r="AV180" s="570"/>
      <c r="AW180" s="570"/>
      <c r="AX180" s="570"/>
      <c r="AY180" s="570"/>
      <c r="AZ180" s="570"/>
      <c r="BA180" s="142"/>
      <c r="BB180" s="142"/>
      <c r="BC180" s="171"/>
      <c r="BD180" s="171"/>
    </row>
    <row r="181" spans="1:56" ht="14.15" customHeight="1">
      <c r="A181" s="54"/>
      <c r="B181" s="54"/>
      <c r="C181" s="54"/>
      <c r="D181" s="54"/>
      <c r="E181" s="54"/>
      <c r="F181" s="54"/>
      <c r="G181" s="54"/>
      <c r="H181" s="539"/>
      <c r="I181" s="539"/>
      <c r="J181" s="539"/>
      <c r="K181" s="539"/>
      <c r="L181" s="539"/>
      <c r="M181" s="539"/>
      <c r="N181" s="539"/>
      <c r="O181" s="54"/>
      <c r="P181" s="54"/>
      <c r="Q181" s="54"/>
      <c r="R181" s="54"/>
      <c r="S181" s="54"/>
      <c r="T181" s="54"/>
      <c r="U181" s="54"/>
      <c r="V181" s="54"/>
      <c r="W181" s="54"/>
      <c r="X181" s="54"/>
      <c r="Y181" s="574"/>
      <c r="Z181" s="574"/>
      <c r="AA181" s="572"/>
      <c r="AB181" s="572"/>
      <c r="AC181" s="572"/>
      <c r="AD181" s="572"/>
      <c r="AE181" s="572"/>
      <c r="AF181" s="572"/>
      <c r="AG181" s="572"/>
      <c r="AH181" s="572"/>
      <c r="AI181" s="572"/>
      <c r="AJ181" s="572"/>
      <c r="AK181" s="572"/>
      <c r="AL181" s="54"/>
      <c r="AM181" s="54"/>
      <c r="AN181" s="54"/>
      <c r="AO181" s="54"/>
      <c r="AP181" s="54"/>
      <c r="AQ181" s="54"/>
      <c r="AR181" s="54" t="s">
        <v>2490</v>
      </c>
      <c r="AS181" s="54"/>
      <c r="AT181" s="142"/>
      <c r="AU181" s="142"/>
      <c r="AV181" s="142"/>
      <c r="AW181" s="142"/>
      <c r="AX181" s="142"/>
      <c r="AY181" s="142"/>
      <c r="AZ181" s="142"/>
      <c r="BA181" s="142"/>
      <c r="BB181" s="142"/>
      <c r="BC181" s="171"/>
      <c r="BD181" s="171"/>
    </row>
    <row r="182" spans="1:56" ht="14.15" customHeight="1">
      <c r="A182" s="54"/>
      <c r="B182" s="54"/>
      <c r="C182" s="54"/>
      <c r="D182" s="54"/>
      <c r="E182" s="54"/>
      <c r="F182" s="54"/>
      <c r="G182" s="54"/>
      <c r="H182" s="539"/>
      <c r="I182" s="539"/>
      <c r="J182" s="539"/>
      <c r="K182" s="539"/>
      <c r="L182" s="539"/>
      <c r="M182" s="539"/>
      <c r="N182" s="539"/>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142"/>
      <c r="AU182" s="142"/>
      <c r="AV182" s="142"/>
      <c r="AW182" s="142"/>
      <c r="AX182" s="142"/>
      <c r="AY182" s="142"/>
      <c r="AZ182" s="142"/>
      <c r="BA182" s="142"/>
      <c r="BB182" s="142"/>
      <c r="BC182" s="171"/>
      <c r="BD182" s="171"/>
    </row>
    <row r="183" spans="1:56" ht="14.1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69" t="s">
        <v>2491</v>
      </c>
      <c r="Z183" s="569"/>
      <c r="AA183" s="570" t="s">
        <v>2492</v>
      </c>
      <c r="AB183" s="553"/>
      <c r="AC183" s="553"/>
      <c r="AD183" s="553"/>
      <c r="AE183" s="553"/>
      <c r="AF183" s="553"/>
      <c r="AG183" s="553"/>
      <c r="AH183" s="553"/>
      <c r="AI183" s="553"/>
      <c r="AJ183" s="553"/>
      <c r="AK183" s="553"/>
      <c r="AL183" s="54"/>
      <c r="AM183" s="54"/>
      <c r="AN183" s="54"/>
      <c r="AO183" s="54"/>
      <c r="AP183" s="54"/>
      <c r="AQ183" s="54"/>
      <c r="AR183" s="54"/>
      <c r="AS183" s="54"/>
      <c r="AT183" s="142"/>
      <c r="AU183" s="142"/>
      <c r="AV183" s="142"/>
      <c r="AW183" s="142"/>
      <c r="AX183" s="142"/>
      <c r="AY183" s="142"/>
      <c r="AZ183" s="142"/>
      <c r="BA183" s="142"/>
      <c r="BB183" s="142"/>
      <c r="BC183" s="171"/>
      <c r="BD183" s="171"/>
    </row>
    <row r="184" spans="1:56" ht="14.1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69"/>
      <c r="Z184" s="569"/>
      <c r="AA184" s="553"/>
      <c r="AB184" s="553"/>
      <c r="AC184" s="553"/>
      <c r="AD184" s="553"/>
      <c r="AE184" s="553"/>
      <c r="AF184" s="553"/>
      <c r="AG184" s="553"/>
      <c r="AH184" s="553"/>
      <c r="AI184" s="553"/>
      <c r="AJ184" s="553"/>
      <c r="AK184" s="553"/>
      <c r="AL184" s="54"/>
      <c r="AM184" s="54"/>
      <c r="AN184" s="54"/>
      <c r="AO184" s="54"/>
      <c r="AP184" s="571" t="s">
        <v>76</v>
      </c>
      <c r="AQ184" s="571"/>
      <c r="AR184" s="54"/>
      <c r="AS184" s="54"/>
      <c r="AT184" s="54"/>
      <c r="AU184" s="54"/>
      <c r="AV184" s="54"/>
      <c r="AW184" s="54"/>
      <c r="AX184" s="54"/>
      <c r="AY184" s="54"/>
      <c r="AZ184" s="54"/>
      <c r="BA184" s="142"/>
      <c r="BB184" s="142"/>
      <c r="BC184" s="171"/>
      <c r="BD184" s="171"/>
    </row>
    <row r="185" spans="1:56" ht="14.1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72"/>
      <c r="AQ185" s="572"/>
      <c r="AR185" s="165"/>
      <c r="AS185" s="165"/>
      <c r="AT185" s="165"/>
      <c r="AU185" s="165"/>
      <c r="AV185" s="165"/>
      <c r="AW185" s="165"/>
      <c r="AX185" s="165"/>
      <c r="AY185" s="165"/>
      <c r="AZ185" s="165"/>
      <c r="BA185" s="142"/>
      <c r="BB185" s="142"/>
      <c r="BC185" s="171"/>
      <c r="BD185" s="171"/>
    </row>
    <row r="186" spans="1:56" ht="14.1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7" t="s">
        <v>2493</v>
      </c>
      <c r="Z186" s="547"/>
      <c r="AA186" s="539" t="s">
        <v>2494</v>
      </c>
      <c r="AB186" s="539"/>
      <c r="AC186" s="539"/>
      <c r="AD186" s="539"/>
      <c r="AE186" s="539"/>
      <c r="AF186" s="539"/>
      <c r="AG186" s="539"/>
      <c r="AH186" s="539"/>
      <c r="AI186" s="539"/>
      <c r="AJ186" s="539"/>
      <c r="AK186" s="54"/>
      <c r="AL186" s="54"/>
      <c r="AM186" s="54"/>
      <c r="AN186" s="54"/>
      <c r="AO186" s="54"/>
      <c r="AP186" s="54"/>
      <c r="AQ186" s="54"/>
      <c r="AR186" s="54"/>
      <c r="AS186" s="54"/>
      <c r="AT186" s="142"/>
      <c r="AU186" s="142"/>
      <c r="AV186" s="142"/>
      <c r="AW186" s="142"/>
      <c r="AX186" s="142"/>
      <c r="AY186" s="142"/>
      <c r="AZ186" s="142"/>
      <c r="BA186" s="142"/>
      <c r="BB186" s="142"/>
      <c r="BC186" s="171"/>
      <c r="BD186" s="171"/>
    </row>
    <row r="187" spans="1:56" ht="14.15" customHeight="1">
      <c r="A187" s="54"/>
      <c r="B187" s="54"/>
      <c r="C187" s="54"/>
      <c r="D187" s="54"/>
      <c r="E187" s="54"/>
      <c r="F187" s="573" t="s">
        <v>2495</v>
      </c>
      <c r="G187" s="573"/>
      <c r="H187" s="571" t="s">
        <v>2496</v>
      </c>
      <c r="I187" s="571"/>
      <c r="J187" s="571"/>
      <c r="K187" s="571"/>
      <c r="L187" s="571"/>
      <c r="M187" s="571"/>
      <c r="N187" s="571"/>
      <c r="O187" s="571"/>
      <c r="P187" s="571"/>
      <c r="Q187" s="571"/>
      <c r="R187" s="571"/>
      <c r="S187" s="54"/>
      <c r="T187" s="54"/>
      <c r="U187" s="54"/>
      <c r="V187" s="54"/>
      <c r="W187" s="54"/>
      <c r="X187" s="54"/>
      <c r="Y187" s="547"/>
      <c r="Z187" s="547"/>
      <c r="AA187" s="539"/>
      <c r="AB187" s="539"/>
      <c r="AC187" s="539"/>
      <c r="AD187" s="539"/>
      <c r="AE187" s="539"/>
      <c r="AF187" s="539"/>
      <c r="AG187" s="539"/>
      <c r="AH187" s="539"/>
      <c r="AI187" s="539"/>
      <c r="AJ187" s="539"/>
      <c r="AK187" s="54"/>
      <c r="AL187" s="54"/>
      <c r="AM187" s="54"/>
      <c r="AN187" s="54"/>
      <c r="AO187" s="54"/>
      <c r="AP187" s="569" t="s">
        <v>2497</v>
      </c>
      <c r="AQ187" s="569"/>
      <c r="AR187" s="570" t="s">
        <v>2498</v>
      </c>
      <c r="AS187" s="570"/>
      <c r="AT187" s="570"/>
      <c r="AU187" s="570"/>
      <c r="AV187" s="570"/>
      <c r="AW187" s="570"/>
      <c r="AX187" s="570"/>
      <c r="AY187" s="570"/>
      <c r="AZ187" s="570"/>
      <c r="BA187" s="142"/>
      <c r="BB187" s="142"/>
      <c r="BC187" s="171"/>
      <c r="BD187" s="171"/>
    </row>
    <row r="188" spans="1:56" ht="14.15" customHeight="1">
      <c r="A188" s="54"/>
      <c r="B188" s="54"/>
      <c r="C188" s="54"/>
      <c r="D188" s="54"/>
      <c r="E188" s="54"/>
      <c r="F188" s="574"/>
      <c r="G188" s="574"/>
      <c r="H188" s="572"/>
      <c r="I188" s="572"/>
      <c r="J188" s="572"/>
      <c r="K188" s="572"/>
      <c r="L188" s="572"/>
      <c r="M188" s="572"/>
      <c r="N188" s="572"/>
      <c r="O188" s="572"/>
      <c r="P188" s="572"/>
      <c r="Q188" s="572"/>
      <c r="R188" s="572"/>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69"/>
      <c r="AQ188" s="569"/>
      <c r="AR188" s="570"/>
      <c r="AS188" s="570"/>
      <c r="AT188" s="570"/>
      <c r="AU188" s="570"/>
      <c r="AV188" s="570"/>
      <c r="AW188" s="570"/>
      <c r="AX188" s="570"/>
      <c r="AY188" s="570"/>
      <c r="AZ188" s="570"/>
      <c r="BA188" s="142"/>
      <c r="BB188" s="142"/>
      <c r="BC188" s="171"/>
      <c r="BD188" s="171"/>
    </row>
    <row r="189" spans="1:56" ht="14.1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7" t="s">
        <v>2499</v>
      </c>
      <c r="Z189" s="547"/>
      <c r="AA189" s="539" t="s">
        <v>2500</v>
      </c>
      <c r="AB189" s="539"/>
      <c r="AC189" s="539"/>
      <c r="AD189" s="539"/>
      <c r="AE189" s="539"/>
      <c r="AF189" s="539"/>
      <c r="AG189" s="539"/>
      <c r="AH189" s="539"/>
      <c r="AI189" s="539"/>
      <c r="AJ189" s="539"/>
      <c r="AK189" s="54"/>
      <c r="AL189" s="54"/>
      <c r="AM189" s="54"/>
      <c r="AN189" s="54"/>
      <c r="AO189" s="54"/>
      <c r="AP189" s="54"/>
      <c r="AQ189" s="54"/>
      <c r="AR189" s="54"/>
      <c r="AS189" s="54"/>
      <c r="AT189" s="142"/>
      <c r="AU189" s="142"/>
      <c r="AV189" s="142"/>
      <c r="AW189" s="142"/>
      <c r="AX189" s="142"/>
      <c r="AY189" s="142"/>
      <c r="AZ189" s="142"/>
      <c r="BA189" s="142"/>
      <c r="BB189" s="142"/>
      <c r="BC189" s="171"/>
      <c r="BD189" s="171"/>
    </row>
    <row r="190" spans="1:56" ht="14.15" customHeight="1">
      <c r="A190" s="54"/>
      <c r="B190" s="54"/>
      <c r="C190" s="54"/>
      <c r="D190" s="54"/>
      <c r="E190" s="54"/>
      <c r="F190" s="569" t="s">
        <v>2501</v>
      </c>
      <c r="G190" s="569"/>
      <c r="H190" s="539" t="s">
        <v>2502</v>
      </c>
      <c r="I190" s="539"/>
      <c r="J190" s="539"/>
      <c r="K190" s="539"/>
      <c r="L190" s="539"/>
      <c r="M190" s="539"/>
      <c r="N190" s="539"/>
      <c r="O190" s="54"/>
      <c r="P190" s="54"/>
      <c r="Q190" s="54"/>
      <c r="R190" s="54"/>
      <c r="S190" s="54"/>
      <c r="T190" s="54"/>
      <c r="U190" s="54"/>
      <c r="V190" s="54"/>
      <c r="W190" s="54"/>
      <c r="X190" s="54"/>
      <c r="Y190" s="547"/>
      <c r="Z190" s="547"/>
      <c r="AA190" s="539"/>
      <c r="AB190" s="539"/>
      <c r="AC190" s="539"/>
      <c r="AD190" s="539"/>
      <c r="AE190" s="539"/>
      <c r="AF190" s="539"/>
      <c r="AG190" s="539"/>
      <c r="AH190" s="539"/>
      <c r="AI190" s="539"/>
      <c r="AJ190" s="539"/>
      <c r="AK190" s="54"/>
      <c r="AL190" s="54"/>
      <c r="AM190" s="54"/>
      <c r="AN190" s="54"/>
      <c r="AO190" s="54"/>
      <c r="AP190" s="54"/>
      <c r="AQ190" s="54"/>
      <c r="AR190" s="54" t="s">
        <v>2503</v>
      </c>
      <c r="AS190" s="54"/>
      <c r="AT190" s="142"/>
      <c r="AU190" s="142"/>
      <c r="AV190" s="142"/>
      <c r="AW190" s="142"/>
      <c r="AX190" s="142"/>
      <c r="AY190" s="142"/>
      <c r="AZ190" s="142"/>
      <c r="BA190" s="142"/>
      <c r="BB190" s="142"/>
      <c r="BC190" s="171"/>
      <c r="BD190" s="171"/>
    </row>
    <row r="191" spans="1:56" ht="14.15" customHeight="1">
      <c r="A191" s="54"/>
      <c r="B191" s="54"/>
      <c r="C191" s="54"/>
      <c r="D191" s="54"/>
      <c r="E191" s="54"/>
      <c r="F191" s="569"/>
      <c r="G191" s="569"/>
      <c r="H191" s="539"/>
      <c r="I191" s="539"/>
      <c r="J191" s="539"/>
      <c r="K191" s="539"/>
      <c r="L191" s="539"/>
      <c r="M191" s="539"/>
      <c r="N191" s="539"/>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142"/>
      <c r="AU191" s="142"/>
      <c r="AV191" s="142"/>
      <c r="AW191" s="142"/>
      <c r="AX191" s="142"/>
      <c r="AY191" s="142"/>
      <c r="AZ191" s="142"/>
      <c r="BA191" s="142"/>
      <c r="BB191" s="142"/>
      <c r="BC191" s="171"/>
      <c r="BD191" s="171"/>
    </row>
    <row r="192" spans="1:56" ht="14.1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49" t="s">
        <v>2504</v>
      </c>
      <c r="AB192" s="49">
        <v>220</v>
      </c>
      <c r="AC192" s="54"/>
      <c r="AD192" s="54"/>
      <c r="AE192" s="54"/>
      <c r="AF192" s="54"/>
      <c r="AG192" s="54"/>
      <c r="AH192" s="54"/>
      <c r="AI192" s="54"/>
      <c r="AJ192" s="54"/>
      <c r="AK192" s="54"/>
      <c r="AL192" s="54"/>
      <c r="AM192" s="54"/>
      <c r="AN192" s="54"/>
      <c r="AO192" s="54"/>
      <c r="AP192" s="569" t="s">
        <v>2505</v>
      </c>
      <c r="AQ192" s="569"/>
      <c r="AR192" s="570" t="s">
        <v>2506</v>
      </c>
      <c r="AS192" s="570"/>
      <c r="AT192" s="570"/>
      <c r="AU192" s="570"/>
      <c r="AV192" s="570"/>
      <c r="AW192" s="570"/>
      <c r="AX192" s="570"/>
      <c r="AY192" s="570"/>
      <c r="AZ192" s="570"/>
      <c r="BA192" s="142"/>
      <c r="BB192" s="142"/>
      <c r="BC192" s="171"/>
      <c r="BD192" s="171"/>
    </row>
    <row r="193" spans="1:56" ht="14.15" customHeight="1">
      <c r="A193" s="54"/>
      <c r="B193" s="54"/>
      <c r="C193" s="54"/>
      <c r="D193" s="54"/>
      <c r="E193" s="54"/>
      <c r="F193" s="569" t="s">
        <v>2507</v>
      </c>
      <c r="G193" s="569"/>
      <c r="H193" s="539" t="s">
        <v>2508</v>
      </c>
      <c r="I193" s="539"/>
      <c r="J193" s="539"/>
      <c r="K193" s="539"/>
      <c r="L193" s="539"/>
      <c r="M193" s="539"/>
      <c r="N193" s="539"/>
      <c r="O193" s="54"/>
      <c r="P193" s="54"/>
      <c r="Q193" s="54"/>
      <c r="R193" s="54"/>
      <c r="S193" s="54"/>
      <c r="T193" s="54"/>
      <c r="U193" s="54"/>
      <c r="V193" s="54"/>
      <c r="W193" s="54"/>
      <c r="X193" s="54"/>
      <c r="Y193" s="54"/>
      <c r="Z193" s="54"/>
      <c r="AA193" s="49" t="s">
        <v>244</v>
      </c>
      <c r="AB193" s="49" t="s">
        <v>2509</v>
      </c>
      <c r="AC193" s="54"/>
      <c r="AD193" s="54"/>
      <c r="AE193" s="54"/>
      <c r="AF193" s="54"/>
      <c r="AG193" s="54"/>
      <c r="AH193" s="54"/>
      <c r="AI193" s="54"/>
      <c r="AJ193" s="54"/>
      <c r="AK193" s="54"/>
      <c r="AL193" s="54"/>
      <c r="AM193" s="54"/>
      <c r="AN193" s="54"/>
      <c r="AO193" s="54"/>
      <c r="AP193" s="569"/>
      <c r="AQ193" s="569"/>
      <c r="AR193" s="570"/>
      <c r="AS193" s="570"/>
      <c r="AT193" s="570"/>
      <c r="AU193" s="570"/>
      <c r="AV193" s="570"/>
      <c r="AW193" s="570"/>
      <c r="AX193" s="570"/>
      <c r="AY193" s="570"/>
      <c r="AZ193" s="570"/>
      <c r="BA193" s="142"/>
      <c r="BB193" s="142"/>
      <c r="BC193" s="171"/>
      <c r="BD193" s="171"/>
    </row>
    <row r="194" spans="1:56" ht="14.15" customHeight="1">
      <c r="A194" s="54"/>
      <c r="B194" s="54"/>
      <c r="C194" s="54"/>
      <c r="D194" s="54"/>
      <c r="E194" s="54"/>
      <c r="F194" s="569"/>
      <c r="G194" s="569"/>
      <c r="H194" s="539"/>
      <c r="I194" s="539"/>
      <c r="J194" s="539"/>
      <c r="K194" s="539"/>
      <c r="L194" s="539"/>
      <c r="M194" s="539"/>
      <c r="N194" s="539"/>
      <c r="O194" s="54"/>
      <c r="P194" s="54"/>
      <c r="Q194" s="54"/>
      <c r="R194" s="54"/>
      <c r="S194" s="54"/>
      <c r="T194" s="54"/>
      <c r="U194" s="54"/>
      <c r="V194" s="54"/>
      <c r="W194" s="54"/>
      <c r="X194" s="54"/>
      <c r="Y194" s="54"/>
      <c r="Z194" s="54"/>
      <c r="AA194" s="49">
        <v>162</v>
      </c>
      <c r="AB194" s="49">
        <v>7.7</v>
      </c>
      <c r="AC194" s="54"/>
      <c r="AD194" s="54"/>
      <c r="AE194" s="54"/>
      <c r="AF194" s="54"/>
      <c r="AG194" s="54"/>
      <c r="AH194" s="54"/>
      <c r="AI194" s="54"/>
      <c r="AJ194" s="54"/>
      <c r="AK194" s="54"/>
      <c r="AL194" s="54"/>
      <c r="AM194" s="54"/>
      <c r="AN194" s="54"/>
      <c r="AO194" s="54"/>
      <c r="AP194" s="54"/>
      <c r="AQ194" s="54"/>
      <c r="AR194" s="54" t="s">
        <v>2510</v>
      </c>
      <c r="AS194" s="54"/>
      <c r="AT194" s="142"/>
      <c r="AU194" s="142"/>
      <c r="AV194" s="142"/>
      <c r="AW194" s="142"/>
      <c r="AX194" s="142"/>
      <c r="AY194" s="142"/>
      <c r="AZ194" s="142"/>
      <c r="BA194" s="142"/>
      <c r="BB194" s="142"/>
      <c r="BC194" s="171"/>
      <c r="BD194" s="171"/>
    </row>
    <row r="195" spans="1:56" ht="14.1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49">
        <v>356</v>
      </c>
      <c r="AB195" s="49">
        <v>9.5299999999999994</v>
      </c>
      <c r="AC195" s="54"/>
      <c r="AD195" s="54"/>
      <c r="AE195" s="54"/>
      <c r="AF195" s="54"/>
      <c r="AG195" s="54"/>
      <c r="AH195" s="54"/>
      <c r="AI195" s="54"/>
      <c r="AJ195" s="54"/>
      <c r="AK195" s="54"/>
      <c r="AL195" s="54"/>
      <c r="AM195" s="54"/>
      <c r="AN195" s="54"/>
      <c r="AO195" s="54"/>
      <c r="AP195" s="54"/>
      <c r="AQ195" s="54"/>
      <c r="AR195" s="54"/>
      <c r="AS195" s="54"/>
      <c r="AT195" s="142"/>
      <c r="AU195" s="142"/>
      <c r="AV195" s="142"/>
      <c r="AW195" s="142"/>
      <c r="AX195" s="142"/>
      <c r="AY195" s="142"/>
      <c r="AZ195" s="142"/>
      <c r="BA195" s="142"/>
      <c r="BB195" s="142"/>
      <c r="BC195" s="171"/>
      <c r="BD195" s="171"/>
    </row>
    <row r="196" spans="1:56" ht="14.15" customHeight="1">
      <c r="A196" s="54"/>
      <c r="B196" s="54"/>
      <c r="C196" s="54"/>
      <c r="D196" s="54"/>
      <c r="E196" s="54"/>
      <c r="F196" s="569" t="s">
        <v>2511</v>
      </c>
      <c r="G196" s="569"/>
      <c r="H196" s="539" t="s">
        <v>2512</v>
      </c>
      <c r="I196" s="539"/>
      <c r="J196" s="539"/>
      <c r="K196" s="539"/>
      <c r="L196" s="539"/>
      <c r="M196" s="539"/>
      <c r="N196" s="539"/>
      <c r="O196" s="539"/>
      <c r="P196" s="539"/>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142"/>
      <c r="AU196" s="142"/>
      <c r="AV196" s="142"/>
      <c r="AW196" s="142"/>
      <c r="AX196" s="142"/>
      <c r="AY196" s="142"/>
      <c r="AZ196" s="142"/>
      <c r="BA196" s="142"/>
      <c r="BB196" s="142"/>
      <c r="BC196" s="171"/>
      <c r="BD196" s="171"/>
    </row>
    <row r="197" spans="1:56" ht="14.15" customHeight="1">
      <c r="A197" s="54"/>
      <c r="B197" s="54"/>
      <c r="C197" s="54"/>
      <c r="D197" s="54"/>
      <c r="E197" s="54"/>
      <c r="F197" s="569"/>
      <c r="G197" s="569"/>
      <c r="H197" s="539"/>
      <c r="I197" s="539"/>
      <c r="J197" s="539"/>
      <c r="K197" s="539"/>
      <c r="L197" s="539"/>
      <c r="M197" s="539"/>
      <c r="N197" s="539"/>
      <c r="O197" s="539"/>
      <c r="P197" s="539"/>
      <c r="Q197" s="54"/>
      <c r="R197" s="54"/>
      <c r="S197" s="54"/>
      <c r="T197" s="54"/>
      <c r="U197" s="54"/>
      <c r="V197" s="54"/>
      <c r="W197" s="54"/>
      <c r="X197" s="54"/>
      <c r="Y197" s="54"/>
      <c r="Z197" s="54"/>
      <c r="AA197" s="54" t="s">
        <v>2513</v>
      </c>
      <c r="AB197" s="54"/>
      <c r="AC197" s="54"/>
      <c r="AD197" s="54"/>
      <c r="AE197" s="54"/>
      <c r="AF197" s="54"/>
      <c r="AG197" s="54"/>
      <c r="AH197" s="54"/>
      <c r="AI197" s="54"/>
      <c r="AJ197" s="54"/>
      <c r="AK197" s="54"/>
      <c r="AL197" s="54"/>
      <c r="AM197" s="54"/>
      <c r="AN197" s="54"/>
      <c r="AO197" s="54"/>
      <c r="AP197" s="83" t="s">
        <v>2514</v>
      </c>
      <c r="AQ197" s="83" t="s">
        <v>244</v>
      </c>
      <c r="AR197" s="83" t="s">
        <v>2515</v>
      </c>
      <c r="AS197" s="83" t="s">
        <v>2516</v>
      </c>
      <c r="AT197" s="142"/>
      <c r="AU197" s="142"/>
      <c r="AV197" s="142"/>
      <c r="AW197" s="142"/>
      <c r="AX197" s="142"/>
      <c r="AY197" s="142"/>
      <c r="AZ197" s="142"/>
      <c r="BA197" s="142"/>
      <c r="BB197" s="142"/>
      <c r="BC197" s="171"/>
      <c r="BD197" s="171"/>
    </row>
    <row r="198" spans="1:56" ht="14.15" customHeight="1">
      <c r="A198" s="54"/>
      <c r="B198" s="54"/>
      <c r="C198" s="54"/>
      <c r="D198" s="54"/>
      <c r="E198" s="54"/>
      <c r="F198" s="54"/>
      <c r="G198" s="54"/>
      <c r="H198" s="54" t="s">
        <v>2517</v>
      </c>
      <c r="I198" s="54"/>
      <c r="J198" s="54"/>
      <c r="K198" s="54"/>
      <c r="L198" s="54"/>
      <c r="M198" s="54"/>
      <c r="N198" s="54"/>
      <c r="O198" s="54"/>
      <c r="P198" s="54"/>
      <c r="Q198" s="54"/>
      <c r="R198" s="54"/>
      <c r="S198" s="54"/>
      <c r="T198" s="54"/>
      <c r="U198" s="54"/>
      <c r="V198" s="54"/>
      <c r="W198" s="54"/>
      <c r="X198" s="54"/>
      <c r="Y198" s="54"/>
      <c r="Z198" s="54"/>
      <c r="AA198" s="54" t="s">
        <v>2518</v>
      </c>
      <c r="AB198" s="54"/>
      <c r="AC198" s="54"/>
      <c r="AD198" s="54"/>
      <c r="AE198" s="54"/>
      <c r="AF198" s="54"/>
      <c r="AG198" s="54"/>
      <c r="AH198" s="54"/>
      <c r="AI198" s="54"/>
      <c r="AJ198" s="54"/>
      <c r="AK198" s="54"/>
      <c r="AL198" s="54"/>
      <c r="AM198" s="54"/>
      <c r="AN198" s="54"/>
      <c r="AO198" s="54"/>
      <c r="AP198" s="83" t="s">
        <v>2</v>
      </c>
      <c r="AQ198" s="83">
        <v>1620</v>
      </c>
      <c r="AR198" s="83">
        <f>ROUNDUP(AQ198/60,0)</f>
        <v>27</v>
      </c>
      <c r="AS198" s="83">
        <f>ROUNDUP(AQ198/(60*2.8),0)</f>
        <v>10</v>
      </c>
      <c r="AT198" s="142"/>
      <c r="AU198" s="142"/>
      <c r="AV198" s="142"/>
      <c r="AW198" s="142"/>
      <c r="AX198" s="142"/>
      <c r="AY198" s="142"/>
      <c r="AZ198" s="142"/>
      <c r="BA198" s="142"/>
      <c r="BB198" s="142"/>
      <c r="BC198" s="171"/>
      <c r="BD198" s="171"/>
    </row>
    <row r="199" spans="1:56" ht="14.1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83" t="s">
        <v>9</v>
      </c>
      <c r="AQ199" s="83">
        <v>1430</v>
      </c>
      <c r="AR199" s="83">
        <f t="shared" ref="AR199:AR208" si="0">ROUNDUP(AQ199/60,0)</f>
        <v>24</v>
      </c>
      <c r="AS199" s="83">
        <f t="shared" ref="AS199:AS208" si="1">ROUNDUP(AQ199/(60*2.8),0)</f>
        <v>9</v>
      </c>
      <c r="AT199" s="142"/>
      <c r="AU199" s="142"/>
      <c r="AV199" s="142"/>
      <c r="AW199" s="142"/>
      <c r="AX199" s="142"/>
      <c r="AY199" s="142"/>
      <c r="AZ199" s="142"/>
      <c r="BA199" s="142"/>
      <c r="BB199" s="142"/>
      <c r="BC199" s="171"/>
      <c r="BD199" s="171"/>
    </row>
    <row r="200" spans="1:56" ht="14.15" customHeight="1">
      <c r="A200" s="54"/>
      <c r="B200" s="54"/>
      <c r="C200" s="54"/>
      <c r="D200" s="54"/>
      <c r="E200" s="54"/>
      <c r="F200" s="569" t="s">
        <v>2519</v>
      </c>
      <c r="G200" s="569"/>
      <c r="H200" s="539" t="s">
        <v>2520</v>
      </c>
      <c r="I200" s="539"/>
      <c r="J200" s="539"/>
      <c r="K200" s="539"/>
      <c r="L200" s="539"/>
      <c r="M200" s="539"/>
      <c r="N200" s="539"/>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83" t="s">
        <v>20</v>
      </c>
      <c r="AQ200" s="83">
        <v>980</v>
      </c>
      <c r="AR200" s="83">
        <f t="shared" si="0"/>
        <v>17</v>
      </c>
      <c r="AS200" s="83">
        <f t="shared" si="1"/>
        <v>6</v>
      </c>
      <c r="AT200" s="142"/>
      <c r="AU200" s="142"/>
      <c r="AV200" s="142"/>
      <c r="AW200" s="142"/>
      <c r="AX200" s="142"/>
      <c r="AY200" s="142"/>
      <c r="AZ200" s="142"/>
      <c r="BA200" s="142"/>
      <c r="BB200" s="142"/>
      <c r="BC200" s="171"/>
      <c r="BD200" s="171"/>
    </row>
    <row r="201" spans="1:56" ht="14.15" customHeight="1">
      <c r="A201" s="54"/>
      <c r="B201" s="54"/>
      <c r="C201" s="54"/>
      <c r="D201" s="54"/>
      <c r="E201" s="54"/>
      <c r="F201" s="569"/>
      <c r="G201" s="569"/>
      <c r="H201" s="539"/>
      <c r="I201" s="539"/>
      <c r="J201" s="539"/>
      <c r="K201" s="539"/>
      <c r="L201" s="539"/>
      <c r="M201" s="539"/>
      <c r="N201" s="539"/>
      <c r="O201" s="54"/>
      <c r="P201" s="54"/>
      <c r="Q201" s="54"/>
      <c r="R201" s="54"/>
      <c r="S201" s="54"/>
      <c r="T201" s="54"/>
      <c r="U201" s="54"/>
      <c r="V201" s="54"/>
      <c r="W201" s="54"/>
      <c r="X201" s="54"/>
      <c r="Y201" s="547" t="s">
        <v>2521</v>
      </c>
      <c r="Z201" s="547"/>
      <c r="AA201" s="539" t="s">
        <v>2522</v>
      </c>
      <c r="AB201" s="539"/>
      <c r="AC201" s="539"/>
      <c r="AD201" s="539"/>
      <c r="AE201" s="539"/>
      <c r="AF201" s="539"/>
      <c r="AG201" s="539"/>
      <c r="AH201" s="539"/>
      <c r="AI201" s="539"/>
      <c r="AJ201" s="539"/>
      <c r="AK201" s="54"/>
      <c r="AL201" s="54"/>
      <c r="AM201" s="54"/>
      <c r="AN201" s="54"/>
      <c r="AO201" s="54"/>
      <c r="AP201" s="83" t="s">
        <v>26</v>
      </c>
      <c r="AQ201" s="83">
        <v>1400</v>
      </c>
      <c r="AR201" s="83">
        <f t="shared" si="0"/>
        <v>24</v>
      </c>
      <c r="AS201" s="83">
        <f t="shared" si="1"/>
        <v>9</v>
      </c>
      <c r="AT201" s="142"/>
      <c r="AU201" s="142"/>
      <c r="AV201" s="142"/>
      <c r="AW201" s="142"/>
      <c r="AX201" s="142"/>
      <c r="AY201" s="142"/>
      <c r="AZ201" s="142"/>
      <c r="BA201" s="142"/>
      <c r="BB201" s="142"/>
      <c r="BC201" s="171"/>
      <c r="BD201" s="171"/>
    </row>
    <row r="202" spans="1:56" ht="14.1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7"/>
      <c r="Z202" s="547"/>
      <c r="AA202" s="539"/>
      <c r="AB202" s="539"/>
      <c r="AC202" s="539"/>
      <c r="AD202" s="539"/>
      <c r="AE202" s="539"/>
      <c r="AF202" s="539"/>
      <c r="AG202" s="539"/>
      <c r="AH202" s="539"/>
      <c r="AI202" s="539"/>
      <c r="AJ202" s="539"/>
      <c r="AK202" s="54"/>
      <c r="AL202" s="54"/>
      <c r="AM202" s="54"/>
      <c r="AN202" s="54"/>
      <c r="AO202" s="54"/>
      <c r="AP202" s="83" t="s">
        <v>32</v>
      </c>
      <c r="AQ202" s="83">
        <v>2240</v>
      </c>
      <c r="AR202" s="83">
        <f t="shared" si="0"/>
        <v>38</v>
      </c>
      <c r="AS202" s="83">
        <f t="shared" si="1"/>
        <v>14</v>
      </c>
      <c r="AT202" s="142"/>
      <c r="AU202" s="142"/>
      <c r="AV202" s="142"/>
      <c r="AW202" s="142"/>
      <c r="AX202" s="142"/>
      <c r="AY202" s="142"/>
      <c r="AZ202" s="142"/>
      <c r="BA202" s="142"/>
      <c r="BB202" s="142"/>
      <c r="BC202" s="171"/>
      <c r="BD202" s="171"/>
    </row>
    <row r="203" spans="1:56" ht="14.15" customHeight="1">
      <c r="A203" s="54"/>
      <c r="B203" s="54"/>
      <c r="C203" s="54"/>
      <c r="D203" s="54"/>
      <c r="E203" s="54"/>
      <c r="F203" s="569" t="s">
        <v>2523</v>
      </c>
      <c r="G203" s="569"/>
      <c r="H203" s="539" t="s">
        <v>2524</v>
      </c>
      <c r="I203" s="539"/>
      <c r="J203" s="539"/>
      <c r="K203" s="539"/>
      <c r="L203" s="539"/>
      <c r="M203" s="539"/>
      <c r="N203" s="539"/>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83" t="s">
        <v>38</v>
      </c>
      <c r="AQ203" s="83">
        <v>1050</v>
      </c>
      <c r="AR203" s="83">
        <f t="shared" si="0"/>
        <v>18</v>
      </c>
      <c r="AS203" s="83">
        <f t="shared" si="1"/>
        <v>7</v>
      </c>
      <c r="AT203" s="142"/>
      <c r="AU203" s="142"/>
      <c r="AV203" s="142"/>
      <c r="AW203" s="142"/>
      <c r="AX203" s="142"/>
      <c r="AY203" s="142"/>
      <c r="AZ203" s="142"/>
      <c r="BA203" s="142"/>
      <c r="BB203" s="142"/>
      <c r="BC203" s="171"/>
      <c r="BD203" s="171"/>
    </row>
    <row r="204" spans="1:56" ht="14.15" customHeight="1">
      <c r="A204" s="54"/>
      <c r="B204" s="54"/>
      <c r="C204" s="54"/>
      <c r="D204" s="54"/>
      <c r="E204" s="54"/>
      <c r="F204" s="569"/>
      <c r="G204" s="569"/>
      <c r="H204" s="539"/>
      <c r="I204" s="539"/>
      <c r="J204" s="539"/>
      <c r="K204" s="539"/>
      <c r="L204" s="539"/>
      <c r="M204" s="539"/>
      <c r="N204" s="539"/>
      <c r="O204" s="54"/>
      <c r="P204" s="54"/>
      <c r="Q204" s="54"/>
      <c r="R204" s="54"/>
      <c r="S204" s="54"/>
      <c r="T204" s="54"/>
      <c r="U204" s="54"/>
      <c r="V204" s="54"/>
      <c r="W204" s="54"/>
      <c r="X204" s="54"/>
      <c r="Y204" s="547" t="s">
        <v>2525</v>
      </c>
      <c r="Z204" s="547"/>
      <c r="AA204" s="49" t="s">
        <v>2526</v>
      </c>
      <c r="AB204" s="54"/>
      <c r="AC204" s="54"/>
      <c r="AD204" s="54"/>
      <c r="AE204" s="54"/>
      <c r="AF204" s="54"/>
      <c r="AG204" s="54"/>
      <c r="AH204" s="54"/>
      <c r="AI204" s="54"/>
      <c r="AJ204" s="54"/>
      <c r="AK204" s="54"/>
      <c r="AL204" s="54"/>
      <c r="AM204" s="54"/>
      <c r="AN204" s="54"/>
      <c r="AO204" s="54"/>
      <c r="AP204" s="83" t="s">
        <v>43</v>
      </c>
      <c r="AQ204" s="83">
        <v>980</v>
      </c>
      <c r="AR204" s="83">
        <f t="shared" si="0"/>
        <v>17</v>
      </c>
      <c r="AS204" s="83">
        <f t="shared" si="1"/>
        <v>6</v>
      </c>
      <c r="AT204" s="142"/>
      <c r="AU204" s="142"/>
      <c r="AV204" s="142"/>
      <c r="AW204" s="142"/>
      <c r="AX204" s="142"/>
      <c r="AY204" s="142"/>
      <c r="AZ204" s="142"/>
      <c r="BA204" s="142"/>
      <c r="BB204" s="142"/>
      <c r="BC204" s="171"/>
      <c r="BD204" s="171"/>
    </row>
    <row r="205" spans="1:56" ht="14.1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7"/>
      <c r="Z205" s="547"/>
      <c r="AA205" s="49" t="s">
        <v>2527</v>
      </c>
      <c r="AB205" s="54"/>
      <c r="AC205" s="54"/>
      <c r="AD205" s="54"/>
      <c r="AE205" s="54"/>
      <c r="AF205" s="54"/>
      <c r="AG205" s="54"/>
      <c r="AH205" s="54"/>
      <c r="AI205" s="54"/>
      <c r="AJ205" s="54"/>
      <c r="AK205" s="54"/>
      <c r="AL205" s="54"/>
      <c r="AM205" s="54"/>
      <c r="AN205" s="54"/>
      <c r="AO205" s="54"/>
      <c r="AP205" s="83" t="s">
        <v>49</v>
      </c>
      <c r="AQ205" s="83">
        <v>1600</v>
      </c>
      <c r="AR205" s="83">
        <f t="shared" si="0"/>
        <v>27</v>
      </c>
      <c r="AS205" s="83">
        <f t="shared" si="1"/>
        <v>10</v>
      </c>
      <c r="AT205" s="142"/>
      <c r="AU205" s="142"/>
      <c r="AV205" s="142"/>
      <c r="AW205" s="142"/>
      <c r="AX205" s="142"/>
      <c r="AY205" s="142"/>
      <c r="AZ205" s="142"/>
      <c r="BA205" s="142"/>
      <c r="BB205" s="142"/>
      <c r="BC205" s="171"/>
      <c r="BD205" s="171"/>
    </row>
    <row r="206" spans="1:56" ht="14.1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49" t="s">
        <v>2528</v>
      </c>
      <c r="AB206" s="54"/>
      <c r="AC206" s="54"/>
      <c r="AD206" s="54"/>
      <c r="AE206" s="54"/>
      <c r="AF206" s="54"/>
      <c r="AG206" s="54"/>
      <c r="AH206" s="54"/>
      <c r="AI206" s="54"/>
      <c r="AJ206" s="54"/>
      <c r="AK206" s="54"/>
      <c r="AL206" s="54"/>
      <c r="AM206" s="54"/>
      <c r="AN206" s="54"/>
      <c r="AO206" s="54"/>
      <c r="AP206" s="83" t="s">
        <v>2529</v>
      </c>
      <c r="AQ206" s="83">
        <v>3500</v>
      </c>
      <c r="AR206" s="83">
        <f t="shared" si="0"/>
        <v>59</v>
      </c>
      <c r="AS206" s="83">
        <f t="shared" si="1"/>
        <v>21</v>
      </c>
      <c r="AT206" s="142"/>
      <c r="AU206" s="142"/>
      <c r="AV206" s="142"/>
      <c r="AW206" s="142"/>
      <c r="AX206" s="142"/>
      <c r="AY206" s="142"/>
      <c r="AZ206" s="142"/>
      <c r="BA206" s="142"/>
      <c r="BB206" s="142"/>
      <c r="BC206" s="171"/>
      <c r="BD206" s="171"/>
    </row>
    <row r="207" spans="1:56" ht="14.15" customHeight="1">
      <c r="A207" s="54"/>
      <c r="B207" s="54"/>
      <c r="C207" s="54"/>
      <c r="D207" s="54"/>
      <c r="E207" s="54"/>
      <c r="F207" s="54"/>
      <c r="G207" s="54"/>
      <c r="H207" s="137" t="s">
        <v>2</v>
      </c>
      <c r="I207" s="202"/>
      <c r="J207" s="137" t="s">
        <v>1084</v>
      </c>
      <c r="K207" s="142" t="s">
        <v>2530</v>
      </c>
      <c r="L207" s="202"/>
      <c r="M207" s="202"/>
      <c r="N207" s="202"/>
      <c r="O207" s="54"/>
      <c r="P207" s="54"/>
      <c r="Q207" s="54"/>
      <c r="R207" s="54"/>
      <c r="S207" s="54"/>
      <c r="T207" s="54"/>
      <c r="U207" s="54"/>
      <c r="V207" s="54"/>
      <c r="W207" s="54"/>
      <c r="X207" s="54"/>
      <c r="Y207" s="54"/>
      <c r="Z207" s="54"/>
      <c r="AA207" s="49" t="s">
        <v>2531</v>
      </c>
      <c r="AB207" s="54"/>
      <c r="AC207" s="54"/>
      <c r="AD207" s="54"/>
      <c r="AE207" s="54"/>
      <c r="AF207" s="54"/>
      <c r="AG207" s="54"/>
      <c r="AH207" s="54"/>
      <c r="AI207" s="54"/>
      <c r="AJ207" s="54"/>
      <c r="AK207" s="54"/>
      <c r="AL207" s="54"/>
      <c r="AM207" s="54"/>
      <c r="AN207" s="54"/>
      <c r="AO207" s="54"/>
      <c r="AP207" s="83" t="s">
        <v>59</v>
      </c>
      <c r="AQ207" s="83">
        <v>3000</v>
      </c>
      <c r="AR207" s="83">
        <f t="shared" si="0"/>
        <v>50</v>
      </c>
      <c r="AS207" s="83">
        <f t="shared" si="1"/>
        <v>18</v>
      </c>
      <c r="AT207" s="142"/>
      <c r="AU207" s="142"/>
      <c r="AV207" s="142"/>
      <c r="AW207" s="142"/>
      <c r="AX207" s="142"/>
      <c r="AY207" s="142"/>
      <c r="AZ207" s="142"/>
      <c r="BA207" s="142"/>
      <c r="BB207" s="142"/>
      <c r="BC207" s="171"/>
      <c r="BD207" s="171"/>
    </row>
    <row r="208" spans="1:56" ht="14.15" customHeight="1">
      <c r="A208" s="54"/>
      <c r="B208" s="54"/>
      <c r="C208" s="54"/>
      <c r="D208" s="54"/>
      <c r="E208" s="54"/>
      <c r="F208" s="54"/>
      <c r="G208" s="54"/>
      <c r="H208" s="134" t="s">
        <v>1099</v>
      </c>
      <c r="I208" s="203"/>
      <c r="J208" s="204" t="s">
        <v>243</v>
      </c>
      <c r="K208" s="136" t="s">
        <v>244</v>
      </c>
      <c r="L208" s="136" t="s">
        <v>1100</v>
      </c>
      <c r="M208" s="136" t="s">
        <v>1101</v>
      </c>
      <c r="N208" s="136" t="s">
        <v>250</v>
      </c>
      <c r="O208" s="54"/>
      <c r="P208" s="54"/>
      <c r="Q208" s="54"/>
      <c r="R208" s="54"/>
      <c r="S208" s="54"/>
      <c r="T208" s="54"/>
      <c r="U208" s="54"/>
      <c r="V208" s="54"/>
      <c r="W208" s="54"/>
      <c r="X208" s="54"/>
      <c r="Y208" s="54"/>
      <c r="Z208" s="54"/>
      <c r="AA208" s="54" t="s">
        <v>2532</v>
      </c>
      <c r="AB208" s="54"/>
      <c r="AC208" s="54"/>
      <c r="AD208" s="54"/>
      <c r="AE208" s="54"/>
      <c r="AF208" s="54"/>
      <c r="AG208" s="54"/>
      <c r="AH208" s="54"/>
      <c r="AI208" s="54"/>
      <c r="AJ208" s="54"/>
      <c r="AK208" s="54"/>
      <c r="AL208" s="54"/>
      <c r="AM208" s="54"/>
      <c r="AN208" s="54"/>
      <c r="AO208" s="54"/>
      <c r="AP208" s="83" t="s">
        <v>63</v>
      </c>
      <c r="AQ208" s="83">
        <v>4800</v>
      </c>
      <c r="AR208" s="83">
        <f t="shared" si="0"/>
        <v>80</v>
      </c>
      <c r="AS208" s="83">
        <f t="shared" si="1"/>
        <v>29</v>
      </c>
      <c r="AT208" s="142"/>
      <c r="AU208" s="142"/>
      <c r="AV208" s="142"/>
      <c r="AW208" s="142"/>
      <c r="AX208" s="142"/>
      <c r="AY208" s="142"/>
      <c r="AZ208" s="142"/>
      <c r="BA208" s="142"/>
      <c r="BB208" s="142"/>
      <c r="BC208" s="171"/>
      <c r="BD208" s="171"/>
    </row>
    <row r="209" spans="1:56" ht="14.15" customHeight="1">
      <c r="A209" s="54"/>
      <c r="B209" s="54"/>
      <c r="C209" s="54"/>
      <c r="D209" s="54"/>
      <c r="E209" s="54"/>
      <c r="F209" s="54"/>
      <c r="G209" s="54"/>
      <c r="H209" s="137" t="s">
        <v>1112</v>
      </c>
      <c r="I209" s="205"/>
      <c r="J209" s="87">
        <v>1</v>
      </c>
      <c r="K209" s="120">
        <v>420</v>
      </c>
      <c r="L209" s="120">
        <v>9</v>
      </c>
      <c r="M209" s="206"/>
      <c r="N209" s="120">
        <v>7.2</v>
      </c>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83" t="s">
        <v>3</v>
      </c>
      <c r="AQ209" s="83">
        <v>7500</v>
      </c>
      <c r="AR209" s="83">
        <f>ROUNDUP(AQ209/(60*0.15),0)</f>
        <v>834</v>
      </c>
      <c r="AS209" s="83">
        <f>ROUNDUP(AQ209/(60*2.8*0.15),0)</f>
        <v>298</v>
      </c>
      <c r="AT209" s="142" t="s">
        <v>2533</v>
      </c>
      <c r="AU209" s="142"/>
      <c r="AV209" s="142"/>
      <c r="AW209" s="142"/>
      <c r="AX209" s="142"/>
      <c r="AY209" s="142"/>
      <c r="AZ209" s="142"/>
      <c r="BA209" s="142"/>
      <c r="BB209" s="142"/>
      <c r="BC209" s="171"/>
      <c r="BD209" s="171"/>
    </row>
    <row r="210" spans="1:56" ht="14.15" customHeight="1">
      <c r="A210" s="54"/>
      <c r="B210" s="54"/>
      <c r="C210" s="54"/>
      <c r="D210" s="54"/>
      <c r="E210" s="54"/>
      <c r="F210" s="54"/>
      <c r="G210" s="54"/>
      <c r="H210" s="140" t="s">
        <v>895</v>
      </c>
      <c r="I210" s="207"/>
      <c r="J210" s="87">
        <v>2</v>
      </c>
      <c r="K210" s="120">
        <v>470</v>
      </c>
      <c r="L210" s="120">
        <v>11</v>
      </c>
      <c r="M210" s="206"/>
      <c r="N210" s="120">
        <v>8.8000000000000007</v>
      </c>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142"/>
      <c r="AU210" s="142"/>
      <c r="AV210" s="142"/>
      <c r="AW210" s="142"/>
      <c r="AX210" s="142"/>
      <c r="AY210" s="142"/>
      <c r="AZ210" s="142"/>
      <c r="BA210" s="142"/>
      <c r="BB210" s="142"/>
      <c r="BC210" s="171"/>
      <c r="BD210" s="171"/>
    </row>
    <row r="211" spans="1:56" ht="14.15" customHeight="1">
      <c r="A211" s="54"/>
      <c r="B211" s="54"/>
      <c r="C211" s="54"/>
      <c r="D211" s="54"/>
      <c r="E211" s="54"/>
      <c r="F211" s="54"/>
      <c r="G211" s="54"/>
      <c r="H211" s="134" t="s">
        <v>1126</v>
      </c>
      <c r="I211" s="203"/>
      <c r="J211" s="87">
        <v>3</v>
      </c>
      <c r="K211" s="120">
        <v>520</v>
      </c>
      <c r="L211" s="120">
        <v>15</v>
      </c>
      <c r="M211" s="206"/>
      <c r="N211" s="120">
        <v>12</v>
      </c>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69" t="s">
        <v>2534</v>
      </c>
      <c r="AQ211" s="569"/>
      <c r="AR211" s="570" t="s">
        <v>2535</v>
      </c>
      <c r="AS211" s="570"/>
      <c r="AT211" s="570"/>
      <c r="AU211" s="570"/>
      <c r="AV211" s="570"/>
      <c r="AW211" s="570"/>
      <c r="AX211" s="570"/>
      <c r="AY211" s="570"/>
      <c r="AZ211" s="570"/>
      <c r="BA211" s="142"/>
      <c r="BB211" s="142"/>
      <c r="BC211" s="171"/>
      <c r="BD211" s="171"/>
    </row>
    <row r="212" spans="1:56" ht="14.15" customHeight="1">
      <c r="A212" s="54"/>
      <c r="B212" s="54"/>
      <c r="C212" s="54"/>
      <c r="D212" s="54"/>
      <c r="E212" s="54"/>
      <c r="F212" s="54"/>
      <c r="G212" s="54"/>
      <c r="H212" s="137" t="s">
        <v>1107</v>
      </c>
      <c r="I212" s="205"/>
      <c r="J212" s="87">
        <v>4</v>
      </c>
      <c r="K212" s="120">
        <v>570</v>
      </c>
      <c r="L212" s="120">
        <v>19</v>
      </c>
      <c r="M212" s="206"/>
      <c r="N212" s="120">
        <v>15.2</v>
      </c>
      <c r="O212" s="54"/>
      <c r="P212" s="54"/>
      <c r="Q212" s="54"/>
      <c r="R212" s="54"/>
      <c r="S212" s="54"/>
      <c r="T212" s="54"/>
      <c r="U212" s="54"/>
      <c r="V212" s="54"/>
      <c r="W212" s="54"/>
      <c r="X212" s="54"/>
      <c r="Y212" s="573" t="s">
        <v>117</v>
      </c>
      <c r="Z212" s="573"/>
      <c r="AA212" s="571" t="s">
        <v>2536</v>
      </c>
      <c r="AB212" s="571"/>
      <c r="AC212" s="571"/>
      <c r="AD212" s="571"/>
      <c r="AE212" s="571"/>
      <c r="AF212" s="571"/>
      <c r="AG212" s="571"/>
      <c r="AH212" s="571"/>
      <c r="AI212" s="571"/>
      <c r="AJ212" s="571"/>
      <c r="AK212" s="571"/>
      <c r="AL212" s="54"/>
      <c r="AM212" s="54"/>
      <c r="AN212" s="54"/>
      <c r="AO212" s="54"/>
      <c r="AP212" s="569"/>
      <c r="AQ212" s="569"/>
      <c r="AR212" s="570"/>
      <c r="AS212" s="570"/>
      <c r="AT212" s="570"/>
      <c r="AU212" s="570"/>
      <c r="AV212" s="570"/>
      <c r="AW212" s="570"/>
      <c r="AX212" s="570"/>
      <c r="AY212" s="570"/>
      <c r="AZ212" s="570"/>
      <c r="BA212" s="142"/>
      <c r="BB212" s="142"/>
      <c r="BC212" s="171"/>
      <c r="BD212" s="171"/>
    </row>
    <row r="213" spans="1:56" ht="14.15" customHeight="1">
      <c r="A213" s="54"/>
      <c r="B213" s="54"/>
      <c r="C213" s="54"/>
      <c r="D213" s="54"/>
      <c r="E213" s="54"/>
      <c r="F213" s="54"/>
      <c r="G213" s="54"/>
      <c r="H213" s="137" t="s">
        <v>1117</v>
      </c>
      <c r="I213" s="205"/>
      <c r="J213" s="87">
        <v>5</v>
      </c>
      <c r="K213" s="120">
        <v>620</v>
      </c>
      <c r="L213" s="120">
        <v>25</v>
      </c>
      <c r="M213" s="206"/>
      <c r="N213" s="120">
        <v>20</v>
      </c>
      <c r="O213" s="54"/>
      <c r="P213" s="54"/>
      <c r="Q213" s="54"/>
      <c r="R213" s="54"/>
      <c r="S213" s="54"/>
      <c r="T213" s="54"/>
      <c r="U213" s="54"/>
      <c r="V213" s="54"/>
      <c r="W213" s="54"/>
      <c r="X213" s="54"/>
      <c r="Y213" s="574"/>
      <c r="Z213" s="574"/>
      <c r="AA213" s="572"/>
      <c r="AB213" s="572"/>
      <c r="AC213" s="572"/>
      <c r="AD213" s="572"/>
      <c r="AE213" s="572"/>
      <c r="AF213" s="572"/>
      <c r="AG213" s="572"/>
      <c r="AH213" s="572"/>
      <c r="AI213" s="572"/>
      <c r="AJ213" s="572"/>
      <c r="AK213" s="572"/>
      <c r="AL213" s="54"/>
      <c r="AM213" s="54"/>
      <c r="AN213" s="54"/>
      <c r="AO213" s="54"/>
      <c r="AP213" s="54"/>
      <c r="AQ213" s="54"/>
      <c r="AR213" s="54"/>
      <c r="AS213" s="515" t="s">
        <v>2537</v>
      </c>
      <c r="AT213" s="516"/>
      <c r="AU213" s="515" t="s">
        <v>2538</v>
      </c>
      <c r="AV213" s="516"/>
      <c r="AW213" s="142"/>
      <c r="AX213" s="142"/>
      <c r="AY213" s="142"/>
      <c r="AZ213" s="142"/>
      <c r="BA213" s="142"/>
      <c r="BB213" s="142"/>
      <c r="BC213" s="171"/>
      <c r="BD213" s="171"/>
    </row>
    <row r="214" spans="1:56" ht="14.1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83" t="s">
        <v>2514</v>
      </c>
      <c r="AQ214" s="83" t="s">
        <v>244</v>
      </c>
      <c r="AR214" s="83" t="s">
        <v>2539</v>
      </c>
      <c r="AS214" s="54" t="s">
        <v>2540</v>
      </c>
      <c r="AT214" s="142" t="s">
        <v>2541</v>
      </c>
      <c r="AU214" s="54" t="s">
        <v>2540</v>
      </c>
      <c r="AV214" s="142" t="s">
        <v>2541</v>
      </c>
      <c r="AW214" s="142"/>
      <c r="AX214" s="142"/>
      <c r="AY214" s="142"/>
      <c r="AZ214" s="142"/>
      <c r="BA214" s="142"/>
      <c r="BB214" s="142"/>
      <c r="BC214" s="171"/>
      <c r="BD214" s="171"/>
    </row>
    <row r="215" spans="1:56" ht="14.15" customHeight="1">
      <c r="A215" s="54"/>
      <c r="B215" s="54"/>
      <c r="C215" s="54"/>
      <c r="D215" s="54"/>
      <c r="E215" s="54"/>
      <c r="F215" s="54"/>
      <c r="G215" s="54"/>
      <c r="H215" s="54" t="s">
        <v>2542</v>
      </c>
      <c r="I215" s="54"/>
      <c r="J215" s="54"/>
      <c r="K215" s="54"/>
      <c r="L215" s="54"/>
      <c r="M215" s="54"/>
      <c r="N215" s="54"/>
      <c r="O215" s="54"/>
      <c r="P215" s="54"/>
      <c r="Q215" s="54"/>
      <c r="R215" s="54"/>
      <c r="S215" s="54"/>
      <c r="T215" s="54"/>
      <c r="U215" s="54"/>
      <c r="V215" s="54"/>
      <c r="W215" s="54"/>
      <c r="X215" s="54"/>
      <c r="Y215" s="547" t="s">
        <v>2543</v>
      </c>
      <c r="Z215" s="547"/>
      <c r="AA215" s="570" t="s">
        <v>2544</v>
      </c>
      <c r="AB215" s="570"/>
      <c r="AC215" s="570"/>
      <c r="AD215" s="570"/>
      <c r="AE215" s="570"/>
      <c r="AF215" s="570"/>
      <c r="AG215" s="54"/>
      <c r="AH215" s="54"/>
      <c r="AI215" s="54"/>
      <c r="AJ215" s="54"/>
      <c r="AK215" s="54"/>
      <c r="AL215" s="54"/>
      <c r="AM215" s="54"/>
      <c r="AN215" s="54"/>
      <c r="AO215" s="54"/>
      <c r="AP215" s="83" t="s">
        <v>9</v>
      </c>
      <c r="AQ215" s="83">
        <v>1430</v>
      </c>
      <c r="AR215" s="83">
        <v>500</v>
      </c>
      <c r="AS215" s="83">
        <v>15</v>
      </c>
      <c r="AT215" s="215">
        <v>5.5</v>
      </c>
      <c r="AU215" s="123">
        <v>10</v>
      </c>
      <c r="AV215" s="215">
        <v>3.5</v>
      </c>
      <c r="AW215" s="142"/>
      <c r="AX215" s="142"/>
      <c r="AY215" s="142"/>
      <c r="AZ215" s="142"/>
      <c r="BA215" s="142"/>
      <c r="BB215" s="142"/>
      <c r="BC215" s="171"/>
      <c r="BD215" s="171"/>
    </row>
    <row r="216" spans="1:56" ht="14.1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7"/>
      <c r="Z216" s="547"/>
      <c r="AA216" s="570"/>
      <c r="AB216" s="570"/>
      <c r="AC216" s="570"/>
      <c r="AD216" s="570"/>
      <c r="AE216" s="570"/>
      <c r="AF216" s="570"/>
      <c r="AG216" s="54"/>
      <c r="AH216" s="54"/>
      <c r="AI216" s="54"/>
      <c r="AJ216" s="54"/>
      <c r="AK216" s="54"/>
      <c r="AL216" s="54"/>
      <c r="AM216" s="54"/>
      <c r="AN216" s="54"/>
      <c r="AO216" s="54"/>
      <c r="AP216" s="83" t="s">
        <v>26</v>
      </c>
      <c r="AQ216" s="83">
        <v>1400</v>
      </c>
      <c r="AR216" s="83">
        <v>1000</v>
      </c>
      <c r="AS216" s="83">
        <v>10</v>
      </c>
      <c r="AT216" s="215">
        <v>7.5</v>
      </c>
      <c r="AU216" s="123">
        <v>6</v>
      </c>
      <c r="AV216" s="215">
        <v>5.5</v>
      </c>
      <c r="AW216" s="142"/>
      <c r="AX216" s="142"/>
      <c r="AY216" s="142"/>
      <c r="AZ216" s="142"/>
      <c r="BA216" s="142"/>
      <c r="BB216" s="142"/>
      <c r="BC216" s="171"/>
      <c r="BD216" s="171"/>
    </row>
    <row r="217" spans="1:56" ht="14.15" customHeight="1">
      <c r="A217" s="54"/>
      <c r="B217" s="54"/>
      <c r="C217" s="54"/>
      <c r="D217" s="54"/>
      <c r="E217" s="54"/>
      <c r="F217" s="54"/>
      <c r="G217" s="54"/>
      <c r="H217" s="196" t="s">
        <v>2545</v>
      </c>
      <c r="I217" s="208"/>
      <c r="J217" s="54" t="s">
        <v>2546</v>
      </c>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83" t="s">
        <v>43</v>
      </c>
      <c r="AQ217" s="83">
        <v>980</v>
      </c>
      <c r="AR217" s="83">
        <v>700</v>
      </c>
      <c r="AS217" s="83">
        <v>11</v>
      </c>
      <c r="AT217" s="215">
        <v>5.5</v>
      </c>
      <c r="AU217" s="123">
        <v>7</v>
      </c>
      <c r="AV217" s="215">
        <v>3.5</v>
      </c>
      <c r="AW217" s="142"/>
      <c r="AX217" s="142"/>
      <c r="AY217" s="142"/>
      <c r="AZ217" s="142"/>
      <c r="BA217" s="142"/>
      <c r="BB217" s="142"/>
      <c r="BC217" s="171"/>
      <c r="BD217" s="171"/>
    </row>
    <row r="218" spans="1:56" ht="14.15" customHeight="1">
      <c r="A218" s="54"/>
      <c r="B218" s="54"/>
      <c r="C218" s="54"/>
      <c r="D218" s="54"/>
      <c r="E218" s="54"/>
      <c r="F218" s="54"/>
      <c r="G218" s="54"/>
      <c r="H218" s="115" t="s">
        <v>2547</v>
      </c>
      <c r="I218" s="209"/>
      <c r="J218" s="54" t="s">
        <v>2548</v>
      </c>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83" t="s">
        <v>2549</v>
      </c>
      <c r="AQ218" s="83">
        <v>3000</v>
      </c>
      <c r="AR218" s="83">
        <v>128</v>
      </c>
      <c r="AS218" s="123">
        <v>44</v>
      </c>
      <c r="AT218" s="215">
        <v>3.5</v>
      </c>
      <c r="AU218" s="83">
        <v>28</v>
      </c>
      <c r="AV218" s="215">
        <v>3.5</v>
      </c>
      <c r="AW218" s="142"/>
      <c r="AX218" s="142"/>
      <c r="AY218" s="142"/>
      <c r="AZ218" s="142"/>
      <c r="BA218" s="142"/>
      <c r="BB218" s="142"/>
      <c r="BC218" s="171"/>
      <c r="BD218" s="171"/>
    </row>
    <row r="219" spans="1:56" ht="14.15" customHeight="1">
      <c r="A219" s="54"/>
      <c r="B219" s="54"/>
      <c r="C219" s="54"/>
      <c r="D219" s="54"/>
      <c r="E219" s="54"/>
      <c r="F219" s="54"/>
      <c r="G219" s="54"/>
      <c r="H219" s="115" t="s">
        <v>2550</v>
      </c>
      <c r="I219" s="209"/>
      <c r="J219" s="54" t="s">
        <v>2551</v>
      </c>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83" t="s">
        <v>2552</v>
      </c>
      <c r="AQ219" s="83">
        <v>3000</v>
      </c>
      <c r="AR219" s="83">
        <v>25</v>
      </c>
      <c r="AS219" s="83">
        <v>110</v>
      </c>
      <c r="AT219" s="215">
        <v>1.5</v>
      </c>
      <c r="AU219" s="123">
        <v>78</v>
      </c>
      <c r="AV219" s="215">
        <v>1.5</v>
      </c>
      <c r="AW219" s="142"/>
      <c r="AX219" s="142"/>
      <c r="AY219" s="142"/>
      <c r="AZ219" s="142"/>
      <c r="BA219" s="142"/>
      <c r="BB219" s="142"/>
      <c r="BC219" s="171"/>
      <c r="BD219" s="171"/>
    </row>
    <row r="220" spans="1:56" ht="14.15" customHeight="1">
      <c r="A220" s="54"/>
      <c r="B220" s="54"/>
      <c r="C220" s="54"/>
      <c r="D220" s="54"/>
      <c r="E220" s="54"/>
      <c r="F220" s="54"/>
      <c r="G220" s="54"/>
      <c r="H220" s="197" t="s">
        <v>2553</v>
      </c>
      <c r="I220" s="210"/>
      <c r="J220" s="54" t="s">
        <v>2554</v>
      </c>
      <c r="K220" s="54"/>
      <c r="L220" s="54"/>
      <c r="M220" s="54"/>
      <c r="N220" s="54"/>
      <c r="O220" s="54"/>
      <c r="P220" s="54"/>
      <c r="Q220" s="54"/>
      <c r="R220" s="54"/>
      <c r="S220" s="54"/>
      <c r="T220" s="54"/>
      <c r="U220" s="54"/>
      <c r="V220" s="54"/>
      <c r="W220" s="54"/>
      <c r="X220" s="54"/>
      <c r="Y220" s="547" t="s">
        <v>2555</v>
      </c>
      <c r="Z220" s="547"/>
      <c r="AA220" s="570" t="s">
        <v>2556</v>
      </c>
      <c r="AB220" s="570"/>
      <c r="AC220" s="570"/>
      <c r="AD220" s="570"/>
      <c r="AE220" s="570"/>
      <c r="AF220" s="570"/>
      <c r="AG220" s="54"/>
      <c r="AH220" s="54"/>
      <c r="AI220" s="54"/>
      <c r="AJ220" s="54"/>
      <c r="AK220" s="54"/>
      <c r="AL220" s="54"/>
      <c r="AM220" s="54"/>
      <c r="AN220" s="54"/>
      <c r="AO220" s="54"/>
      <c r="AP220" s="83" t="s">
        <v>2529</v>
      </c>
      <c r="AQ220" s="83">
        <v>3500</v>
      </c>
      <c r="AR220" s="83">
        <v>128</v>
      </c>
      <c r="AS220" s="83">
        <v>47</v>
      </c>
      <c r="AT220" s="215">
        <v>5.5</v>
      </c>
      <c r="AU220" s="123">
        <v>30</v>
      </c>
      <c r="AV220" s="215">
        <v>3.5</v>
      </c>
      <c r="AW220" s="142"/>
      <c r="AX220" s="142"/>
      <c r="AY220" s="142"/>
      <c r="AZ220" s="142"/>
      <c r="BA220" s="142"/>
      <c r="BB220" s="142"/>
      <c r="BC220" s="171"/>
      <c r="BD220" s="171"/>
    </row>
    <row r="221" spans="1:56" ht="14.1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7"/>
      <c r="Z221" s="547"/>
      <c r="AA221" s="570"/>
      <c r="AB221" s="570"/>
      <c r="AC221" s="570"/>
      <c r="AD221" s="570"/>
      <c r="AE221" s="570"/>
      <c r="AF221" s="570"/>
      <c r="AG221" s="54"/>
      <c r="AH221" s="54"/>
      <c r="AI221" s="54"/>
      <c r="AJ221" s="54"/>
      <c r="AK221" s="54"/>
      <c r="AL221" s="54"/>
      <c r="AM221" s="54"/>
      <c r="AN221" s="54"/>
      <c r="AO221" s="54"/>
      <c r="AP221" s="83" t="s">
        <v>3</v>
      </c>
      <c r="AQ221" s="83">
        <f>7500/0.15</f>
        <v>50000</v>
      </c>
      <c r="AR221" s="83">
        <v>125</v>
      </c>
      <c r="AS221" s="83">
        <v>168</v>
      </c>
      <c r="AT221" s="215">
        <v>19.5</v>
      </c>
      <c r="AU221" s="123">
        <v>102</v>
      </c>
      <c r="AV221" s="215">
        <v>11.5</v>
      </c>
      <c r="AW221" s="142"/>
      <c r="AX221" s="142"/>
      <c r="AY221" s="142"/>
      <c r="AZ221" s="142"/>
      <c r="BA221" s="142"/>
      <c r="BB221" s="142"/>
      <c r="BC221" s="171"/>
      <c r="BD221" s="171"/>
    </row>
    <row r="222" spans="1:56" ht="14.15" customHeight="1">
      <c r="A222" s="54"/>
      <c r="B222" s="54"/>
      <c r="C222" s="54"/>
      <c r="D222" s="54"/>
      <c r="E222" s="54"/>
      <c r="F222" s="54"/>
      <c r="G222" s="54"/>
      <c r="H222" s="54" t="s">
        <v>2557</v>
      </c>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142"/>
      <c r="AU222" s="142"/>
      <c r="AV222" s="142"/>
      <c r="AW222" s="142"/>
      <c r="AX222" s="142"/>
      <c r="AY222" s="142"/>
      <c r="AZ222" s="142"/>
      <c r="BA222" s="142"/>
      <c r="BB222" s="142"/>
      <c r="BC222" s="171"/>
      <c r="BD222" s="171"/>
    </row>
    <row r="223" spans="1:56" ht="14.1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142"/>
      <c r="AU223" s="142"/>
      <c r="AV223" s="142"/>
      <c r="AW223" s="142"/>
      <c r="AX223" s="142"/>
      <c r="AY223" s="142"/>
      <c r="AZ223" s="142"/>
      <c r="BA223" s="142"/>
      <c r="BB223" s="142"/>
      <c r="BC223" s="171"/>
      <c r="BD223" s="171"/>
    </row>
    <row r="224" spans="1:56" ht="14.1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t="s">
        <v>2558</v>
      </c>
      <c r="AQ224" s="54"/>
      <c r="AR224" s="54"/>
      <c r="AS224" s="54"/>
      <c r="AT224" s="142"/>
      <c r="AU224" s="142"/>
      <c r="AV224" s="142"/>
      <c r="AW224" s="142"/>
      <c r="AX224" s="142"/>
      <c r="AY224" s="142"/>
      <c r="AZ224" s="142"/>
      <c r="BA224" s="142"/>
      <c r="BB224" s="142"/>
      <c r="BC224" s="171"/>
      <c r="BD224" s="171"/>
    </row>
    <row r="225" spans="1:56" ht="14.1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142"/>
      <c r="AU225" s="142"/>
      <c r="AV225" s="142"/>
      <c r="AW225" s="142"/>
      <c r="AX225" s="142"/>
      <c r="AY225" s="142"/>
      <c r="AZ225" s="142"/>
      <c r="BA225" s="142"/>
      <c r="BB225" s="142"/>
      <c r="BC225" s="171"/>
      <c r="BD225" s="171"/>
    </row>
    <row r="226" spans="1:56" ht="14.15" customHeight="1">
      <c r="A226" s="54"/>
      <c r="B226" s="54"/>
      <c r="C226" s="54"/>
      <c r="D226" s="54"/>
      <c r="E226" s="54"/>
      <c r="F226" s="573" t="s">
        <v>2559</v>
      </c>
      <c r="G226" s="573"/>
      <c r="H226" s="571" t="s">
        <v>2560</v>
      </c>
      <c r="I226" s="571"/>
      <c r="J226" s="571"/>
      <c r="K226" s="571"/>
      <c r="L226" s="571"/>
      <c r="M226" s="571"/>
      <c r="N226" s="571"/>
      <c r="O226" s="571"/>
      <c r="P226" s="571"/>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69" t="s">
        <v>2561</v>
      </c>
      <c r="AQ226" s="569"/>
      <c r="AR226" s="570" t="s">
        <v>2562</v>
      </c>
      <c r="AS226" s="570"/>
      <c r="AT226" s="570"/>
      <c r="AU226" s="570"/>
      <c r="AV226" s="570"/>
      <c r="AW226" s="570"/>
      <c r="AX226" s="570"/>
      <c r="AY226" s="570"/>
      <c r="AZ226" s="570"/>
      <c r="BA226" s="142"/>
      <c r="BB226" s="142"/>
      <c r="BC226" s="171"/>
      <c r="BD226" s="171"/>
    </row>
    <row r="227" spans="1:56" ht="14.15" customHeight="1">
      <c r="A227" s="54"/>
      <c r="B227" s="54"/>
      <c r="C227" s="54"/>
      <c r="D227" s="54"/>
      <c r="E227" s="54"/>
      <c r="F227" s="574"/>
      <c r="G227" s="574"/>
      <c r="H227" s="572"/>
      <c r="I227" s="572"/>
      <c r="J227" s="572"/>
      <c r="K227" s="572"/>
      <c r="L227" s="572"/>
      <c r="M227" s="572"/>
      <c r="N227" s="572"/>
      <c r="O227" s="572"/>
      <c r="P227" s="572"/>
      <c r="Q227" s="165" t="s">
        <v>2563</v>
      </c>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69"/>
      <c r="AQ227" s="569"/>
      <c r="AR227" s="570"/>
      <c r="AS227" s="570"/>
      <c r="AT227" s="570"/>
      <c r="AU227" s="570"/>
      <c r="AV227" s="570"/>
      <c r="AW227" s="570"/>
      <c r="AX227" s="570"/>
      <c r="AY227" s="570"/>
      <c r="AZ227" s="570"/>
      <c r="BA227" s="142"/>
      <c r="BB227" s="142"/>
      <c r="BC227" s="171"/>
      <c r="BD227" s="171"/>
    </row>
    <row r="228" spans="1:56" ht="14.1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7" t="s">
        <v>2564</v>
      </c>
      <c r="Z228" s="547"/>
      <c r="AA228" s="570" t="s">
        <v>2565</v>
      </c>
      <c r="AB228" s="570"/>
      <c r="AC228" s="570"/>
      <c r="AD228" s="570"/>
      <c r="AE228" s="570"/>
      <c r="AF228" s="570"/>
      <c r="AG228" s="54"/>
      <c r="AH228" s="54"/>
      <c r="AI228" s="54"/>
      <c r="AJ228" s="54"/>
      <c r="AK228" s="54"/>
      <c r="AL228" s="54"/>
      <c r="AM228" s="54"/>
      <c r="AN228" s="54"/>
      <c r="AO228" s="54"/>
      <c r="AP228" s="54"/>
      <c r="AQ228" s="54"/>
      <c r="AR228" s="54"/>
      <c r="AS228" s="54"/>
      <c r="AT228" s="142"/>
      <c r="AU228" s="142"/>
      <c r="AV228" s="142"/>
      <c r="AW228" s="142"/>
      <c r="AX228" s="142"/>
      <c r="AY228" s="142"/>
      <c r="AZ228" s="142"/>
      <c r="BA228" s="142"/>
      <c r="BB228" s="142"/>
      <c r="BC228" s="171"/>
      <c r="BD228" s="171"/>
    </row>
    <row r="229" spans="1:56" ht="14.15" customHeight="1">
      <c r="A229" s="54"/>
      <c r="B229" s="54"/>
      <c r="C229" s="54"/>
      <c r="D229" s="54"/>
      <c r="E229" s="54"/>
      <c r="F229" s="579" t="s">
        <v>2566</v>
      </c>
      <c r="G229" s="579"/>
      <c r="H229" s="539" t="s">
        <v>2567</v>
      </c>
      <c r="I229" s="539"/>
      <c r="J229" s="539"/>
      <c r="K229" s="539"/>
      <c r="L229" s="539"/>
      <c r="M229" s="539"/>
      <c r="N229" s="539"/>
      <c r="O229" s="539"/>
      <c r="P229" s="539"/>
      <c r="Q229" s="539"/>
      <c r="R229" s="54"/>
      <c r="S229" s="54"/>
      <c r="T229" s="54"/>
      <c r="U229" s="54"/>
      <c r="V229" s="54"/>
      <c r="W229" s="54"/>
      <c r="X229" s="54"/>
      <c r="Y229" s="547"/>
      <c r="Z229" s="547"/>
      <c r="AA229" s="570"/>
      <c r="AB229" s="570"/>
      <c r="AC229" s="570"/>
      <c r="AD229" s="570"/>
      <c r="AE229" s="570"/>
      <c r="AF229" s="570"/>
      <c r="AG229" s="54"/>
      <c r="AH229" s="54"/>
      <c r="AI229" s="54"/>
      <c r="AJ229" s="54"/>
      <c r="AK229" s="54"/>
      <c r="AL229" s="54"/>
      <c r="AM229" s="54"/>
      <c r="AN229" s="54"/>
      <c r="AO229" s="54"/>
      <c r="AP229" s="54"/>
      <c r="AQ229" s="54"/>
      <c r="AR229" s="54"/>
      <c r="AS229" s="54"/>
      <c r="AT229" s="142"/>
      <c r="AU229" s="142"/>
      <c r="AV229" s="142"/>
      <c r="AW229" s="142"/>
      <c r="AX229" s="142"/>
      <c r="AY229" s="142"/>
      <c r="AZ229" s="142"/>
      <c r="BA229" s="142"/>
      <c r="BB229" s="142"/>
      <c r="BC229" s="171"/>
      <c r="BD229" s="171"/>
    </row>
    <row r="230" spans="1:56" ht="14.15" customHeight="1">
      <c r="A230" s="54"/>
      <c r="B230" s="54"/>
      <c r="C230" s="54"/>
      <c r="D230" s="54"/>
      <c r="E230" s="54"/>
      <c r="F230" s="579"/>
      <c r="G230" s="579"/>
      <c r="H230" s="539"/>
      <c r="I230" s="539"/>
      <c r="J230" s="539"/>
      <c r="K230" s="539"/>
      <c r="L230" s="539"/>
      <c r="M230" s="539"/>
      <c r="N230" s="539"/>
      <c r="O230" s="539"/>
      <c r="P230" s="539"/>
      <c r="Q230" s="539"/>
      <c r="R230" s="54"/>
      <c r="S230" s="54"/>
      <c r="T230" s="54"/>
      <c r="U230" s="54"/>
      <c r="V230" s="54"/>
      <c r="W230" s="54"/>
      <c r="X230" s="54"/>
      <c r="Y230" s="54"/>
      <c r="Z230" s="54"/>
      <c r="AA230" s="570"/>
      <c r="AB230" s="570"/>
      <c r="AC230" s="570"/>
      <c r="AD230" s="570"/>
      <c r="AE230" s="570"/>
      <c r="AF230" s="570"/>
      <c r="AG230" s="54"/>
      <c r="AH230" s="54"/>
      <c r="AI230" s="54"/>
      <c r="AJ230" s="54"/>
      <c r="AK230" s="54"/>
      <c r="AL230" s="54"/>
      <c r="AM230" s="54"/>
      <c r="AN230" s="54"/>
      <c r="AO230" s="54"/>
      <c r="AP230" s="571" t="s">
        <v>2568</v>
      </c>
      <c r="AQ230" s="571"/>
      <c r="AR230" s="54"/>
      <c r="AS230" s="54"/>
      <c r="AT230" s="54"/>
      <c r="AU230" s="54"/>
      <c r="AV230" s="54"/>
      <c r="AW230" s="54"/>
      <c r="AX230" s="54"/>
      <c r="AY230" s="54"/>
      <c r="AZ230" s="54"/>
      <c r="BA230" s="142"/>
      <c r="BB230" s="142"/>
      <c r="BC230" s="171"/>
      <c r="BD230" s="171"/>
    </row>
    <row r="231" spans="1:56" ht="14.15" customHeight="1">
      <c r="A231" s="54"/>
      <c r="B231" s="54"/>
      <c r="C231" s="54"/>
      <c r="D231" s="54"/>
      <c r="E231" s="54"/>
      <c r="F231" s="198" t="s">
        <v>2569</v>
      </c>
      <c r="G231" s="54"/>
      <c r="H231" s="54"/>
      <c r="I231" s="54"/>
      <c r="J231" s="54"/>
      <c r="K231" s="54"/>
      <c r="L231" s="54"/>
      <c r="M231" s="54"/>
      <c r="N231" s="54"/>
      <c r="O231" s="54"/>
      <c r="P231" s="54"/>
      <c r="Q231" s="54"/>
      <c r="R231" s="54"/>
      <c r="S231" s="54"/>
      <c r="T231" s="54"/>
      <c r="U231" s="54"/>
      <c r="V231" s="54"/>
      <c r="W231" s="54"/>
      <c r="X231" s="54"/>
      <c r="Y231" s="54"/>
      <c r="Z231" s="54"/>
      <c r="AA231" s="54" t="s">
        <v>2570</v>
      </c>
      <c r="AB231" s="54"/>
      <c r="AC231" s="54"/>
      <c r="AD231" s="54"/>
      <c r="AE231" s="54"/>
      <c r="AF231" s="54"/>
      <c r="AG231" s="54"/>
      <c r="AH231" s="54"/>
      <c r="AI231" s="54"/>
      <c r="AJ231" s="54"/>
      <c r="AK231" s="54"/>
      <c r="AL231" s="54"/>
      <c r="AM231" s="54"/>
      <c r="AN231" s="54"/>
      <c r="AO231" s="54"/>
      <c r="AP231" s="572"/>
      <c r="AQ231" s="572"/>
      <c r="AR231" s="165"/>
      <c r="AS231" s="165"/>
      <c r="AT231" s="165"/>
      <c r="AU231" s="165"/>
      <c r="AV231" s="165"/>
      <c r="AW231" s="165"/>
      <c r="AX231" s="165"/>
      <c r="AY231" s="165"/>
      <c r="AZ231" s="165"/>
      <c r="BA231" s="142"/>
      <c r="BB231" s="142"/>
      <c r="BC231" s="171"/>
      <c r="BD231" s="171"/>
    </row>
    <row r="232" spans="1:56" ht="14.15" customHeight="1">
      <c r="A232" s="54"/>
      <c r="B232" s="54"/>
      <c r="C232" s="54"/>
      <c r="D232" s="54"/>
      <c r="E232" s="54"/>
      <c r="F232" s="579" t="s">
        <v>2571</v>
      </c>
      <c r="G232" s="579"/>
      <c r="H232" s="539" t="s">
        <v>2572</v>
      </c>
      <c r="I232" s="539"/>
      <c r="J232" s="539"/>
      <c r="K232" s="539"/>
      <c r="L232" s="539"/>
      <c r="M232" s="539"/>
      <c r="N232" s="539"/>
      <c r="O232" s="539"/>
      <c r="P232" s="539"/>
      <c r="Q232" s="539"/>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t="s">
        <v>2573</v>
      </c>
      <c r="AQ232" s="54"/>
      <c r="AR232" s="54"/>
      <c r="AS232" s="54"/>
      <c r="AT232" s="142"/>
      <c r="AU232" s="142"/>
      <c r="AV232" s="142"/>
      <c r="AW232" s="142"/>
      <c r="AX232" s="142"/>
      <c r="AY232" s="142"/>
      <c r="AZ232" s="142"/>
      <c r="BA232" s="142"/>
      <c r="BB232" s="142"/>
      <c r="BC232" s="171"/>
      <c r="BD232" s="171"/>
    </row>
    <row r="233" spans="1:56" ht="14.15" customHeight="1">
      <c r="A233" s="54"/>
      <c r="B233" s="54"/>
      <c r="C233" s="54"/>
      <c r="D233" s="54"/>
      <c r="E233" s="54"/>
      <c r="F233" s="579"/>
      <c r="G233" s="579"/>
      <c r="H233" s="539"/>
      <c r="I233" s="539"/>
      <c r="J233" s="539"/>
      <c r="K233" s="539"/>
      <c r="L233" s="539"/>
      <c r="M233" s="539"/>
      <c r="N233" s="539"/>
      <c r="O233" s="539"/>
      <c r="P233" s="539"/>
      <c r="Q233" s="539"/>
      <c r="R233" s="54"/>
      <c r="S233" s="54"/>
      <c r="T233" s="54"/>
      <c r="U233" s="54"/>
      <c r="V233" s="54"/>
      <c r="W233" s="54"/>
      <c r="X233" s="54"/>
      <c r="Y233" s="547" t="s">
        <v>2574</v>
      </c>
      <c r="Z233" s="547"/>
      <c r="AA233" s="570" t="s">
        <v>2575</v>
      </c>
      <c r="AB233" s="570"/>
      <c r="AC233" s="570"/>
      <c r="AD233" s="570"/>
      <c r="AE233" s="570"/>
      <c r="AF233" s="570"/>
      <c r="AG233" s="54"/>
      <c r="AH233" s="54"/>
      <c r="AI233" s="54"/>
      <c r="AJ233" s="54"/>
      <c r="AK233" s="54"/>
      <c r="AL233" s="54"/>
      <c r="AM233" s="54"/>
      <c r="AN233" s="54"/>
      <c r="AO233" s="54"/>
      <c r="AP233" s="54"/>
      <c r="AQ233" s="54"/>
      <c r="AR233" s="54"/>
      <c r="AS233" s="54"/>
      <c r="AT233" s="142"/>
      <c r="AU233" s="142"/>
      <c r="AV233" s="142"/>
      <c r="AW233" s="142"/>
      <c r="AX233" s="142"/>
      <c r="AY233" s="142"/>
      <c r="AZ233" s="142"/>
      <c r="BA233" s="142"/>
      <c r="BB233" s="142"/>
      <c r="BC233" s="171"/>
      <c r="BD233" s="171"/>
    </row>
    <row r="234" spans="1:56" ht="14.1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7"/>
      <c r="Z234" s="547"/>
      <c r="AA234" s="570"/>
      <c r="AB234" s="570"/>
      <c r="AC234" s="570"/>
      <c r="AD234" s="570"/>
      <c r="AE234" s="570"/>
      <c r="AF234" s="570"/>
      <c r="AG234" s="54"/>
      <c r="AH234" s="54"/>
      <c r="AI234" s="54"/>
      <c r="AJ234" s="54"/>
      <c r="AK234" s="54"/>
      <c r="AL234" s="54"/>
      <c r="AM234" s="54"/>
      <c r="AN234" s="54"/>
      <c r="AO234" s="54"/>
      <c r="AP234" s="54"/>
      <c r="AQ234" s="83" t="s">
        <v>2576</v>
      </c>
      <c r="AR234" s="83" t="s">
        <v>244</v>
      </c>
      <c r="AS234" s="83" t="s">
        <v>2577</v>
      </c>
      <c r="AT234" s="123" t="s">
        <v>2578</v>
      </c>
      <c r="AU234" s="142"/>
      <c r="AV234" s="142"/>
      <c r="AW234" s="142"/>
      <c r="AX234" s="142"/>
      <c r="AY234" s="142"/>
      <c r="AZ234" s="142"/>
      <c r="BA234" s="142"/>
      <c r="BB234" s="142"/>
      <c r="BC234" s="171"/>
      <c r="BD234" s="171"/>
    </row>
    <row r="235" spans="1:56" ht="14.15" customHeight="1">
      <c r="A235" s="54"/>
      <c r="B235" s="54"/>
      <c r="C235" s="54"/>
      <c r="D235" s="54"/>
      <c r="E235" s="54"/>
      <c r="F235" s="579" t="s">
        <v>2579</v>
      </c>
      <c r="G235" s="579"/>
      <c r="H235" s="539" t="s">
        <v>2580</v>
      </c>
      <c r="I235" s="539"/>
      <c r="J235" s="539"/>
      <c r="K235" s="539"/>
      <c r="L235" s="539"/>
      <c r="M235" s="539"/>
      <c r="N235" s="539"/>
      <c r="O235" s="539"/>
      <c r="P235" s="539"/>
      <c r="Q235" s="539"/>
      <c r="R235" s="54"/>
      <c r="S235" s="54"/>
      <c r="T235" s="54"/>
      <c r="U235" s="54"/>
      <c r="V235" s="54"/>
      <c r="W235" s="54"/>
      <c r="X235" s="54"/>
      <c r="Y235" s="54"/>
      <c r="Z235" s="54"/>
      <c r="AA235" s="570"/>
      <c r="AB235" s="570"/>
      <c r="AC235" s="570"/>
      <c r="AD235" s="570"/>
      <c r="AE235" s="570"/>
      <c r="AF235" s="570"/>
      <c r="AG235" s="54"/>
      <c r="AH235" s="54"/>
      <c r="AI235" s="54"/>
      <c r="AJ235" s="54"/>
      <c r="AK235" s="54"/>
      <c r="AL235" s="54"/>
      <c r="AM235" s="54"/>
      <c r="AN235" s="54"/>
      <c r="AO235" s="54"/>
      <c r="AP235" s="54"/>
      <c r="AQ235" s="83" t="s">
        <v>2</v>
      </c>
      <c r="AR235" s="83">
        <v>2000</v>
      </c>
      <c r="AS235" s="83" t="str">
        <f>IF(AR235&lt;1960,"拿下","不")</f>
        <v>不</v>
      </c>
      <c r="AT235" s="123">
        <f>IF(AR235&gt;1960,AR235-1960,0)</f>
        <v>40</v>
      </c>
      <c r="AU235" s="142"/>
      <c r="AV235" s="142"/>
      <c r="AW235" s="142"/>
      <c r="AX235" s="142"/>
      <c r="AY235" s="142"/>
      <c r="AZ235" s="142"/>
      <c r="BA235" s="142"/>
      <c r="BB235" s="142"/>
      <c r="BC235" s="171"/>
      <c r="BD235" s="171"/>
    </row>
    <row r="236" spans="1:56" ht="14.15" customHeight="1">
      <c r="A236" s="54"/>
      <c r="B236" s="54"/>
      <c r="C236" s="54"/>
      <c r="D236" s="54"/>
      <c r="E236" s="54"/>
      <c r="F236" s="579"/>
      <c r="G236" s="579"/>
      <c r="H236" s="539"/>
      <c r="I236" s="539"/>
      <c r="J236" s="539"/>
      <c r="K236" s="539"/>
      <c r="L236" s="539"/>
      <c r="M236" s="539"/>
      <c r="N236" s="539"/>
      <c r="O236" s="539"/>
      <c r="P236" s="539"/>
      <c r="Q236" s="539"/>
      <c r="R236" s="54"/>
      <c r="S236" s="54"/>
      <c r="T236" s="54"/>
      <c r="U236" s="54"/>
      <c r="V236" s="54"/>
      <c r="W236" s="54"/>
      <c r="X236" s="54"/>
      <c r="Y236" s="54"/>
      <c r="Z236" s="54"/>
      <c r="AA236" s="54" t="s">
        <v>2581</v>
      </c>
      <c r="AB236" s="54"/>
      <c r="AC236" s="54"/>
      <c r="AD236" s="54"/>
      <c r="AE236" s="54"/>
      <c r="AF236" s="54"/>
      <c r="AG236" s="54"/>
      <c r="AH236" s="54"/>
      <c r="AI236" s="54"/>
      <c r="AJ236" s="54"/>
      <c r="AK236" s="54"/>
      <c r="AL236" s="54"/>
      <c r="AM236" s="54"/>
      <c r="AN236" s="54"/>
      <c r="AO236" s="54"/>
      <c r="AP236" s="54"/>
      <c r="AQ236" s="83" t="s">
        <v>9</v>
      </c>
      <c r="AR236" s="83">
        <v>1600</v>
      </c>
      <c r="AS236" s="83" t="str">
        <f t="shared" ref="AS236:AS245" si="2">IF(AR236&lt;1960,"拿下","不")</f>
        <v>拿下</v>
      </c>
      <c r="AT236" s="123">
        <f t="shared" ref="AT236:AT245" si="3">IF(AR236&gt;1960,AR236-1960,0)</f>
        <v>0</v>
      </c>
      <c r="AU236" s="142"/>
      <c r="AV236" s="142"/>
      <c r="AW236" s="142"/>
      <c r="AX236" s="142"/>
      <c r="AY236" s="142"/>
      <c r="AZ236" s="142"/>
      <c r="BA236" s="142"/>
      <c r="BB236" s="142"/>
      <c r="BC236" s="171"/>
      <c r="BD236" s="171"/>
    </row>
    <row r="237" spans="1:56" ht="14.15" customHeight="1">
      <c r="A237" s="54"/>
      <c r="B237" s="54"/>
      <c r="C237" s="54"/>
      <c r="D237" s="54"/>
      <c r="E237" s="54"/>
      <c r="F237" s="54"/>
      <c r="G237" s="54"/>
      <c r="H237" s="54" t="s">
        <v>2582</v>
      </c>
      <c r="I237" s="54"/>
      <c r="J237" s="54"/>
      <c r="K237" s="54"/>
      <c r="L237" s="54"/>
      <c r="M237" s="54"/>
      <c r="N237" s="54"/>
      <c r="O237" s="54"/>
      <c r="P237" s="54"/>
      <c r="Q237" s="54"/>
      <c r="R237" s="54"/>
      <c r="S237" s="54"/>
      <c r="T237" s="54"/>
      <c r="U237" s="54"/>
      <c r="V237" s="54"/>
      <c r="W237" s="54"/>
      <c r="X237" s="54"/>
      <c r="Y237" s="54"/>
      <c r="Z237" s="54"/>
      <c r="AA237" s="54" t="s">
        <v>2583</v>
      </c>
      <c r="AB237" s="54"/>
      <c r="AC237" s="54"/>
      <c r="AD237" s="54"/>
      <c r="AE237" s="54"/>
      <c r="AF237" s="54"/>
      <c r="AG237" s="54"/>
      <c r="AH237" s="54"/>
      <c r="AI237" s="54"/>
      <c r="AJ237" s="54"/>
      <c r="AK237" s="54"/>
      <c r="AL237" s="54"/>
      <c r="AM237" s="54"/>
      <c r="AN237" s="54"/>
      <c r="AO237" s="54"/>
      <c r="AP237" s="54"/>
      <c r="AQ237" s="83" t="s">
        <v>20</v>
      </c>
      <c r="AR237" s="83">
        <v>1100</v>
      </c>
      <c r="AS237" s="83" t="str">
        <f t="shared" si="2"/>
        <v>拿下</v>
      </c>
      <c r="AT237" s="123">
        <f t="shared" si="3"/>
        <v>0</v>
      </c>
      <c r="AU237" s="142"/>
      <c r="AV237" s="142"/>
      <c r="AW237" s="142"/>
      <c r="AX237" s="142"/>
      <c r="AY237" s="142"/>
      <c r="AZ237" s="142"/>
      <c r="BA237" s="142"/>
      <c r="BB237" s="142"/>
      <c r="BC237" s="171"/>
      <c r="BD237" s="171"/>
    </row>
    <row r="238" spans="1:56" ht="14.1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83" t="s">
        <v>26</v>
      </c>
      <c r="AR238" s="83">
        <v>1500</v>
      </c>
      <c r="AS238" s="83" t="str">
        <f t="shared" si="2"/>
        <v>拿下</v>
      </c>
      <c r="AT238" s="123">
        <f t="shared" si="3"/>
        <v>0</v>
      </c>
      <c r="AU238" s="142"/>
      <c r="AV238" s="142"/>
      <c r="AW238" s="142"/>
      <c r="AX238" s="142"/>
      <c r="AY238" s="142"/>
      <c r="AZ238" s="142"/>
      <c r="BA238" s="142"/>
      <c r="BB238" s="142"/>
      <c r="BC238" s="171"/>
      <c r="BD238" s="171"/>
    </row>
    <row r="239" spans="1:56" ht="14.15" customHeight="1">
      <c r="A239" s="54"/>
      <c r="B239" s="54"/>
      <c r="C239" s="54"/>
      <c r="D239" s="54"/>
      <c r="E239" s="54"/>
      <c r="F239" s="577" t="s">
        <v>2584</v>
      </c>
      <c r="G239" s="577"/>
      <c r="H239" s="199" t="s">
        <v>2585</v>
      </c>
      <c r="I239" s="199" t="s">
        <v>2586</v>
      </c>
      <c r="J239" s="199" t="s">
        <v>2587</v>
      </c>
      <c r="K239" s="54"/>
      <c r="L239" s="577" t="s">
        <v>2588</v>
      </c>
      <c r="M239" s="577"/>
      <c r="N239" s="211" t="s">
        <v>2589</v>
      </c>
      <c r="O239" s="199" t="s">
        <v>2590</v>
      </c>
      <c r="P239" s="199" t="s">
        <v>31</v>
      </c>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83" t="s">
        <v>32</v>
      </c>
      <c r="AR239" s="83">
        <v>2480</v>
      </c>
      <c r="AS239" s="83" t="str">
        <f t="shared" si="2"/>
        <v>不</v>
      </c>
      <c r="AT239" s="123">
        <f t="shared" si="3"/>
        <v>520</v>
      </c>
      <c r="AU239" s="142"/>
      <c r="AV239" s="142"/>
      <c r="AW239" s="142"/>
      <c r="AX239" s="142"/>
      <c r="AY239" s="142"/>
      <c r="AZ239" s="142"/>
      <c r="BA239" s="142"/>
      <c r="BB239" s="142"/>
      <c r="BC239" s="171"/>
      <c r="BD239" s="171"/>
    </row>
    <row r="240" spans="1:56" ht="14.15" customHeight="1">
      <c r="A240" s="54"/>
      <c r="B240" s="54"/>
      <c r="C240" s="54"/>
      <c r="D240" s="54"/>
      <c r="E240" s="54"/>
      <c r="F240" s="578"/>
      <c r="G240" s="578"/>
      <c r="H240" s="200">
        <v>1</v>
      </c>
      <c r="I240" s="212">
        <v>49</v>
      </c>
      <c r="J240" s="200">
        <f>IF(H240&lt;2,IF(H240=0,MIN(ROUNDDOWN(I240/10,0),4),MIN(ROUNDDOWN(I240/(100/11)+5,0),15)),IF(H240=2,MIN(ROUNDDOWN((I240-50)/(50/17)+16,0),32),40))</f>
        <v>10</v>
      </c>
      <c r="K240" s="54"/>
      <c r="L240" s="578"/>
      <c r="M240" s="578"/>
      <c r="N240" s="213">
        <v>10</v>
      </c>
      <c r="O240" s="213">
        <f>IF(N240=1,1000,IF(N240=2,2500,IF(N240=3,6250,IF(N240=4,12500,IF(N240=5,20000,IF(N240=6,30000,IF(N240&lt;9,50000*N240-300000,IF(N240&lt;12,100000*N240-750000,50000*N240-150000))))))))</f>
        <v>250000</v>
      </c>
      <c r="P240" s="213">
        <f>IF(N240&lt;7,0,IF(N240&gt;12,7000,IF(N240=7,125,IF(N240=8,200,IF(N240=9,500,IF(N240=10,1200,IF(N240=11,3250,6500)))))))</f>
        <v>1200</v>
      </c>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83" t="s">
        <v>38</v>
      </c>
      <c r="AR240" s="83">
        <v>1050</v>
      </c>
      <c r="AS240" s="83" t="str">
        <f t="shared" si="2"/>
        <v>拿下</v>
      </c>
      <c r="AT240" s="123">
        <f t="shared" si="3"/>
        <v>0</v>
      </c>
      <c r="AU240" s="142"/>
      <c r="AV240" s="142"/>
      <c r="AW240" s="142"/>
      <c r="AX240" s="142"/>
      <c r="AY240" s="142"/>
      <c r="AZ240" s="142"/>
      <c r="BA240" s="142"/>
      <c r="BB240" s="142"/>
      <c r="BC240" s="171"/>
      <c r="BD240" s="171"/>
    </row>
    <row r="241" spans="1:56" ht="14.15" customHeight="1">
      <c r="A241" s="54"/>
      <c r="B241" s="54"/>
      <c r="C241" s="54"/>
      <c r="D241" s="54"/>
      <c r="E241" s="54"/>
      <c r="F241" s="201" t="s">
        <v>2591</v>
      </c>
      <c r="G241" s="54"/>
      <c r="H241" s="54"/>
      <c r="I241" s="54"/>
      <c r="J241" s="54"/>
      <c r="K241" s="54"/>
      <c r="L241" s="54"/>
      <c r="M241" s="54"/>
      <c r="N241" s="54"/>
      <c r="O241" s="54"/>
      <c r="P241" s="54"/>
      <c r="Q241" s="54"/>
      <c r="R241" s="54"/>
      <c r="S241" s="54"/>
      <c r="T241" s="54"/>
      <c r="U241" s="54"/>
      <c r="V241" s="54"/>
      <c r="W241" s="54"/>
      <c r="X241" s="54"/>
      <c r="Y241" s="573" t="s">
        <v>57</v>
      </c>
      <c r="Z241" s="573"/>
      <c r="AA241" s="571" t="s">
        <v>2592</v>
      </c>
      <c r="AB241" s="571"/>
      <c r="AC241" s="571"/>
      <c r="AD241" s="571"/>
      <c r="AE241" s="571"/>
      <c r="AF241" s="571"/>
      <c r="AG241" s="571"/>
      <c r="AH241" s="571"/>
      <c r="AI241" s="571"/>
      <c r="AJ241" s="54" t="s">
        <v>2593</v>
      </c>
      <c r="AK241" s="54"/>
      <c r="AL241" s="54"/>
      <c r="AM241" s="54"/>
      <c r="AN241" s="54"/>
      <c r="AO241" s="54"/>
      <c r="AP241" s="54"/>
      <c r="AQ241" s="83" t="s">
        <v>43</v>
      </c>
      <c r="AR241" s="83">
        <v>1200</v>
      </c>
      <c r="AS241" s="83" t="str">
        <f t="shared" si="2"/>
        <v>拿下</v>
      </c>
      <c r="AT241" s="123">
        <f t="shared" si="3"/>
        <v>0</v>
      </c>
      <c r="AU241" s="142"/>
      <c r="AV241" s="142"/>
      <c r="AW241" s="142"/>
      <c r="AX241" s="142"/>
      <c r="AY241" s="142"/>
      <c r="AZ241" s="142"/>
      <c r="BA241" s="142"/>
      <c r="BB241" s="142"/>
      <c r="BC241" s="171"/>
      <c r="BD241" s="171"/>
    </row>
    <row r="242" spans="1:56" ht="14.1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74"/>
      <c r="Z242" s="574"/>
      <c r="AA242" s="572"/>
      <c r="AB242" s="572"/>
      <c r="AC242" s="572"/>
      <c r="AD242" s="572"/>
      <c r="AE242" s="572"/>
      <c r="AF242" s="572"/>
      <c r="AG242" s="572"/>
      <c r="AH242" s="572"/>
      <c r="AI242" s="572"/>
      <c r="AJ242" s="165" t="s">
        <v>2594</v>
      </c>
      <c r="AK242" s="165"/>
      <c r="AL242" s="54"/>
      <c r="AM242" s="54"/>
      <c r="AN242" s="54"/>
      <c r="AO242" s="54"/>
      <c r="AP242" s="54"/>
      <c r="AQ242" s="83" t="s">
        <v>49</v>
      </c>
      <c r="AR242" s="83">
        <v>1900</v>
      </c>
      <c r="AS242" s="83" t="str">
        <f t="shared" si="2"/>
        <v>拿下</v>
      </c>
      <c r="AT242" s="123">
        <f t="shared" si="3"/>
        <v>0</v>
      </c>
      <c r="AU242" s="142"/>
      <c r="AV242" s="142"/>
      <c r="AW242" s="142"/>
      <c r="AX242" s="142"/>
      <c r="AY242" s="142"/>
      <c r="AZ242" s="142"/>
      <c r="BA242" s="142"/>
      <c r="BB242" s="142"/>
      <c r="BC242" s="171"/>
      <c r="BD242" s="171"/>
    </row>
    <row r="243" spans="1:56" ht="14.15" customHeight="1">
      <c r="A243" s="54"/>
      <c r="B243" s="54"/>
      <c r="C243" s="54"/>
      <c r="D243" s="54"/>
      <c r="E243" s="54"/>
      <c r="F243" s="573" t="s">
        <v>2595</v>
      </c>
      <c r="G243" s="573"/>
      <c r="H243" s="581" t="s">
        <v>2596</v>
      </c>
      <c r="I243" s="581"/>
      <c r="J243" s="581"/>
      <c r="K243" s="581"/>
      <c r="L243" s="581"/>
      <c r="M243" s="581"/>
      <c r="N243" s="581"/>
      <c r="O243" s="581"/>
      <c r="P243" s="581"/>
      <c r="Q243" s="54" t="s">
        <v>2597</v>
      </c>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83" t="s">
        <v>2598</v>
      </c>
      <c r="AR243" s="83">
        <v>4200</v>
      </c>
      <c r="AS243" s="83" t="str">
        <f t="shared" si="2"/>
        <v>不</v>
      </c>
      <c r="AT243" s="123">
        <f t="shared" si="3"/>
        <v>2240</v>
      </c>
      <c r="AU243" s="142"/>
      <c r="AV243" s="142"/>
      <c r="AW243" s="142"/>
      <c r="AX243" s="142"/>
      <c r="AY243" s="142"/>
      <c r="AZ243" s="142"/>
      <c r="BA243" s="142"/>
      <c r="BB243" s="142"/>
      <c r="BC243" s="171"/>
      <c r="BD243" s="171"/>
    </row>
    <row r="244" spans="1:56" ht="14.15" customHeight="1">
      <c r="A244" s="54"/>
      <c r="B244" s="54"/>
      <c r="C244" s="54"/>
      <c r="D244" s="54"/>
      <c r="E244" s="54"/>
      <c r="F244" s="574"/>
      <c r="G244" s="574"/>
      <c r="H244" s="582"/>
      <c r="I244" s="582"/>
      <c r="J244" s="582"/>
      <c r="K244" s="582"/>
      <c r="L244" s="582"/>
      <c r="M244" s="582"/>
      <c r="N244" s="582"/>
      <c r="O244" s="582"/>
      <c r="P244" s="582"/>
      <c r="Q244" s="165" t="s">
        <v>2599</v>
      </c>
      <c r="R244" s="165"/>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83" t="s">
        <v>63</v>
      </c>
      <c r="AR244" s="83">
        <v>5200</v>
      </c>
      <c r="AS244" s="83" t="str">
        <f t="shared" si="2"/>
        <v>不</v>
      </c>
      <c r="AT244" s="123">
        <f t="shared" si="3"/>
        <v>3240</v>
      </c>
      <c r="AU244" s="142"/>
      <c r="AV244" s="142"/>
      <c r="AW244" s="142"/>
      <c r="AX244" s="142"/>
      <c r="AY244" s="142"/>
      <c r="AZ244" s="142"/>
      <c r="BA244" s="142"/>
      <c r="BB244" s="142"/>
      <c r="BC244" s="171"/>
      <c r="BD244" s="171"/>
    </row>
    <row r="245" spans="1:56" ht="14.15" customHeight="1">
      <c r="A245" s="54"/>
      <c r="B245" s="54"/>
      <c r="C245" s="54"/>
      <c r="D245" s="54"/>
      <c r="E245" s="54"/>
      <c r="F245" s="54" t="s">
        <v>2600</v>
      </c>
      <c r="G245" s="54"/>
      <c r="H245" s="54"/>
      <c r="I245" s="54"/>
      <c r="J245" s="54"/>
      <c r="K245" s="54"/>
      <c r="L245" s="54"/>
      <c r="M245" s="54"/>
      <c r="N245" s="54"/>
      <c r="O245" s="54"/>
      <c r="P245" s="54"/>
      <c r="Q245" s="54"/>
      <c r="R245" s="54"/>
      <c r="S245" s="54"/>
      <c r="T245" s="54"/>
      <c r="U245" s="54"/>
      <c r="V245" s="54"/>
      <c r="W245" s="54"/>
      <c r="X245" s="54"/>
      <c r="Y245" s="569" t="s">
        <v>2601</v>
      </c>
      <c r="Z245" s="569"/>
      <c r="AA245" s="570" t="s">
        <v>2602</v>
      </c>
      <c r="AB245" s="570"/>
      <c r="AC245" s="570"/>
      <c r="AD245" s="570"/>
      <c r="AE245" s="570"/>
      <c r="AF245" s="570"/>
      <c r="AG245" s="570"/>
      <c r="AH245" s="54"/>
      <c r="AI245" s="54"/>
      <c r="AJ245" s="54"/>
      <c r="AK245" s="54"/>
      <c r="AL245" s="54"/>
      <c r="AM245" s="54"/>
      <c r="AN245" s="54"/>
      <c r="AO245" s="54"/>
      <c r="AP245" s="54"/>
      <c r="AQ245" s="83" t="s">
        <v>3</v>
      </c>
      <c r="AR245" s="83">
        <v>8200</v>
      </c>
      <c r="AS245" s="83" t="str">
        <f t="shared" si="2"/>
        <v>不</v>
      </c>
      <c r="AT245" s="123">
        <f t="shared" si="3"/>
        <v>6240</v>
      </c>
      <c r="AU245" s="142"/>
      <c r="AV245" s="142"/>
      <c r="AW245" s="142"/>
      <c r="AX245" s="142"/>
      <c r="AY245" s="142"/>
      <c r="AZ245" s="142"/>
      <c r="BA245" s="142"/>
      <c r="BB245" s="142"/>
      <c r="BC245" s="171"/>
      <c r="BD245" s="171"/>
    </row>
    <row r="246" spans="1:56" ht="14.1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69"/>
      <c r="Z246" s="569"/>
      <c r="AA246" s="570"/>
      <c r="AB246" s="570"/>
      <c r="AC246" s="570"/>
      <c r="AD246" s="570"/>
      <c r="AE246" s="570"/>
      <c r="AF246" s="570"/>
      <c r="AG246" s="570"/>
      <c r="AH246" s="54"/>
      <c r="AI246" s="54"/>
      <c r="AJ246" s="54"/>
      <c r="AK246" s="54"/>
      <c r="AL246" s="54"/>
      <c r="AM246" s="54"/>
      <c r="AN246" s="54"/>
      <c r="AO246" s="54"/>
      <c r="AP246" s="54"/>
      <c r="AQ246" s="54"/>
      <c r="AR246" s="54"/>
      <c r="AS246" s="54"/>
      <c r="AT246" s="142"/>
      <c r="AU246" s="142"/>
      <c r="AV246" s="142"/>
      <c r="AW246" s="142"/>
      <c r="AX246" s="142"/>
      <c r="AY246" s="142"/>
      <c r="AZ246" s="142"/>
      <c r="BA246" s="142"/>
      <c r="BB246" s="142"/>
      <c r="BC246" s="171"/>
      <c r="BD246" s="171"/>
    </row>
    <row r="247" spans="1:56" ht="14.15" customHeight="1">
      <c r="A247" s="54"/>
      <c r="B247" s="54"/>
      <c r="C247" s="54"/>
      <c r="D247" s="54"/>
      <c r="E247" s="54"/>
      <c r="F247" s="569" t="s">
        <v>2603</v>
      </c>
      <c r="G247" s="569"/>
      <c r="H247" s="570" t="s">
        <v>2604</v>
      </c>
      <c r="I247" s="570"/>
      <c r="J247" s="570"/>
      <c r="K247" s="570"/>
      <c r="L247" s="570"/>
      <c r="M247" s="570"/>
      <c r="N247" s="570"/>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142"/>
      <c r="AU247" s="142"/>
      <c r="AV247" s="142"/>
      <c r="AW247" s="142"/>
      <c r="AX247" s="142"/>
      <c r="AY247" s="142"/>
      <c r="AZ247" s="142"/>
      <c r="BA247" s="142"/>
      <c r="BB247" s="142"/>
      <c r="BC247" s="171"/>
      <c r="BD247" s="171"/>
    </row>
    <row r="248" spans="1:56" ht="14.15" customHeight="1">
      <c r="A248" s="54"/>
      <c r="B248" s="54"/>
      <c r="C248" s="54"/>
      <c r="D248" s="54"/>
      <c r="E248" s="54"/>
      <c r="F248" s="569"/>
      <c r="G248" s="569"/>
      <c r="H248" s="570"/>
      <c r="I248" s="570"/>
      <c r="J248" s="570"/>
      <c r="K248" s="570"/>
      <c r="L248" s="570"/>
      <c r="M248" s="570"/>
      <c r="N248" s="570"/>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142"/>
      <c r="AU248" s="142"/>
      <c r="AV248" s="142"/>
      <c r="AW248" s="142"/>
      <c r="AX248" s="142"/>
      <c r="AY248" s="142"/>
      <c r="AZ248" s="142"/>
      <c r="BA248" s="142"/>
      <c r="BB248" s="142"/>
      <c r="BC248" s="171"/>
      <c r="BD248" s="171"/>
    </row>
    <row r="249" spans="1:56" ht="14.1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71" t="s">
        <v>2605</v>
      </c>
      <c r="AQ249" s="571"/>
      <c r="AR249" s="54"/>
      <c r="AS249" s="54"/>
      <c r="AT249" s="54"/>
      <c r="AU249" s="54"/>
      <c r="AV249" s="54"/>
      <c r="AW249" s="54"/>
      <c r="AX249" s="54"/>
      <c r="AY249" s="54"/>
      <c r="AZ249" s="54"/>
      <c r="BA249" s="142"/>
      <c r="BB249" s="142"/>
      <c r="BC249" s="171"/>
      <c r="BD249" s="171"/>
    </row>
    <row r="250" spans="1:56" ht="14.15" customHeight="1">
      <c r="A250" s="54"/>
      <c r="B250" s="54"/>
      <c r="C250" s="54"/>
      <c r="D250" s="54"/>
      <c r="E250" s="54"/>
      <c r="F250" s="54"/>
      <c r="G250" s="54"/>
      <c r="H250" s="570" t="s">
        <v>2606</v>
      </c>
      <c r="I250" s="570"/>
      <c r="J250" s="570"/>
      <c r="K250" s="570"/>
      <c r="L250" s="570"/>
      <c r="M250" s="570"/>
      <c r="N250" s="570"/>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72"/>
      <c r="AQ250" s="572"/>
      <c r="AR250" s="165"/>
      <c r="AS250" s="165"/>
      <c r="AT250" s="165"/>
      <c r="AU250" s="165"/>
      <c r="AV250" s="165"/>
      <c r="AW250" s="165"/>
      <c r="AX250" s="165"/>
      <c r="AY250" s="165"/>
      <c r="AZ250" s="165"/>
      <c r="BA250" s="142"/>
      <c r="BB250" s="142"/>
      <c r="BC250" s="171"/>
      <c r="BD250" s="171"/>
    </row>
    <row r="251" spans="1:56" ht="14.15" customHeight="1">
      <c r="A251" s="54"/>
      <c r="B251" s="54"/>
      <c r="C251" s="54"/>
      <c r="D251" s="54"/>
      <c r="E251" s="54"/>
      <c r="F251" s="54"/>
      <c r="G251" s="54"/>
      <c r="H251" s="570"/>
      <c r="I251" s="570"/>
      <c r="J251" s="570"/>
      <c r="K251" s="570"/>
      <c r="L251" s="570"/>
      <c r="M251" s="570"/>
      <c r="N251" s="570"/>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171"/>
      <c r="BD251" s="171"/>
    </row>
    <row r="252" spans="1:56" ht="14.1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69" t="s">
        <v>2607</v>
      </c>
      <c r="Z252" s="569"/>
      <c r="AA252" s="570" t="s">
        <v>2608</v>
      </c>
      <c r="AB252" s="570"/>
      <c r="AC252" s="570"/>
      <c r="AD252" s="570"/>
      <c r="AE252" s="570"/>
      <c r="AF252" s="570"/>
      <c r="AG252" s="570"/>
      <c r="AH252" s="54"/>
      <c r="AI252" s="54"/>
      <c r="AJ252" s="54"/>
      <c r="AK252" s="54"/>
      <c r="AL252" s="54"/>
      <c r="AM252" s="54"/>
      <c r="AN252" s="54"/>
      <c r="AO252" s="54"/>
      <c r="AP252" s="54" t="s">
        <v>2609</v>
      </c>
      <c r="AQ252" s="54"/>
      <c r="AR252" s="54"/>
      <c r="AS252" s="54"/>
      <c r="AT252" s="54"/>
      <c r="AU252" s="54"/>
      <c r="AV252" s="54"/>
      <c r="AW252" s="83"/>
      <c r="AX252" s="83"/>
      <c r="AY252" s="83"/>
      <c r="AZ252" s="83"/>
      <c r="BA252" s="83"/>
      <c r="BB252" s="83"/>
      <c r="BC252" s="83"/>
      <c r="BD252" s="171"/>
    </row>
    <row r="253" spans="1:56" ht="14.1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69"/>
      <c r="Z253" s="569"/>
      <c r="AA253" s="570"/>
      <c r="AB253" s="570"/>
      <c r="AC253" s="570"/>
      <c r="AD253" s="570"/>
      <c r="AE253" s="570"/>
      <c r="AF253" s="570"/>
      <c r="AG253" s="570"/>
      <c r="AH253" s="54"/>
      <c r="AI253" s="54"/>
      <c r="AJ253" s="54"/>
      <c r="AK253" s="54"/>
      <c r="AL253" s="54"/>
      <c r="AM253" s="54"/>
      <c r="AN253" s="214"/>
      <c r="AO253" s="54"/>
      <c r="AP253" s="54"/>
      <c r="AQ253" s="54"/>
      <c r="AR253" s="54"/>
      <c r="AS253" s="54"/>
      <c r="AT253" s="54"/>
      <c r="AU253" s="54"/>
      <c r="AV253" s="54"/>
      <c r="AW253" s="83"/>
      <c r="AX253" s="83"/>
      <c r="AY253" s="83"/>
      <c r="AZ253" s="83"/>
      <c r="BA253" s="83"/>
      <c r="BB253" s="83"/>
      <c r="BC253" s="83"/>
      <c r="BD253" s="171"/>
    </row>
    <row r="254" spans="1:56" ht="14.15" customHeight="1">
      <c r="A254" s="54"/>
      <c r="B254" s="54"/>
      <c r="C254" s="54"/>
      <c r="D254" s="54"/>
      <c r="E254" s="54"/>
      <c r="F254" s="569" t="s">
        <v>2610</v>
      </c>
      <c r="G254" s="569"/>
      <c r="H254" s="570" t="s">
        <v>2611</v>
      </c>
      <c r="I254" s="570"/>
      <c r="J254" s="570"/>
      <c r="K254" s="570"/>
      <c r="L254" s="570"/>
      <c r="M254" s="570"/>
      <c r="N254" s="570"/>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214"/>
      <c r="AO254" s="54"/>
      <c r="AP254" s="54" t="s">
        <v>2612</v>
      </c>
      <c r="AQ254" s="54"/>
      <c r="AR254" s="54"/>
      <c r="AS254" s="54"/>
      <c r="AT254" s="54" t="s">
        <v>2613</v>
      </c>
      <c r="AU254" s="54"/>
      <c r="AV254" s="54"/>
      <c r="AW254" s="83"/>
      <c r="AX254" s="83"/>
      <c r="AY254" s="83"/>
      <c r="AZ254" s="83"/>
      <c r="BA254" s="83"/>
      <c r="BB254" s="83"/>
      <c r="BC254" s="83"/>
      <c r="BD254" s="171"/>
    </row>
    <row r="255" spans="1:56" ht="14.15" customHeight="1">
      <c r="A255" s="54"/>
      <c r="B255" s="54"/>
      <c r="C255" s="54"/>
      <c r="D255" s="54"/>
      <c r="E255" s="54"/>
      <c r="F255" s="569"/>
      <c r="G255" s="569"/>
      <c r="H255" s="570"/>
      <c r="I255" s="570"/>
      <c r="J255" s="570"/>
      <c r="K255" s="570"/>
      <c r="L255" s="570"/>
      <c r="M255" s="570"/>
      <c r="N255" s="570"/>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214"/>
      <c r="AO255" s="54"/>
      <c r="AP255" s="54" t="s">
        <v>2614</v>
      </c>
      <c r="AQ255" s="54"/>
      <c r="AR255" s="54"/>
      <c r="AS255" s="54"/>
      <c r="AT255" s="54" t="s">
        <v>2615</v>
      </c>
      <c r="AU255" s="54"/>
      <c r="AV255" s="54"/>
      <c r="AW255" s="83"/>
      <c r="AX255" s="83"/>
      <c r="AY255" s="83"/>
      <c r="AZ255" s="83"/>
      <c r="BA255" s="83"/>
      <c r="BB255" s="83"/>
      <c r="BC255" s="83"/>
      <c r="BD255" s="171"/>
    </row>
    <row r="256" spans="1:56" ht="14.1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t="s">
        <v>2616</v>
      </c>
      <c r="AQ256" s="54"/>
      <c r="AR256" s="54"/>
      <c r="AS256" s="54"/>
      <c r="AT256" s="54" t="s">
        <v>2617</v>
      </c>
      <c r="AU256" s="54"/>
      <c r="AV256" s="54"/>
      <c r="AW256" s="83"/>
      <c r="AX256" s="83"/>
      <c r="AY256" s="83"/>
      <c r="AZ256" s="83"/>
      <c r="BA256" s="83"/>
      <c r="BB256" s="83"/>
      <c r="BC256" s="83"/>
      <c r="BD256" s="171"/>
    </row>
    <row r="257" spans="1:56" ht="14.1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69" t="s">
        <v>2618</v>
      </c>
      <c r="Z257" s="569"/>
      <c r="AA257" s="54" t="s">
        <v>2619</v>
      </c>
      <c r="AB257" s="54"/>
      <c r="AC257" s="54"/>
      <c r="AD257" s="54"/>
      <c r="AE257" s="54"/>
      <c r="AF257" s="54"/>
      <c r="AG257" s="54"/>
      <c r="AH257" s="54"/>
      <c r="AI257" s="54"/>
      <c r="AJ257" s="54"/>
      <c r="AK257" s="54"/>
      <c r="AL257" s="54"/>
      <c r="AM257" s="54"/>
      <c r="AN257" s="54"/>
      <c r="AO257" s="54"/>
      <c r="AP257" s="54" t="s">
        <v>2620</v>
      </c>
      <c r="AQ257" s="54"/>
      <c r="AR257" s="54"/>
      <c r="AS257" s="54"/>
      <c r="AT257" s="54" t="s">
        <v>2621</v>
      </c>
      <c r="AU257" s="54"/>
      <c r="AV257" s="54"/>
      <c r="AW257" s="83"/>
      <c r="AX257" s="83"/>
      <c r="AY257" s="83"/>
      <c r="AZ257" s="83"/>
      <c r="BA257" s="83"/>
      <c r="BB257" s="83"/>
      <c r="BC257" s="83"/>
      <c r="BD257" s="171"/>
    </row>
    <row r="258" spans="1:56" ht="14.1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69"/>
      <c r="Z258" s="569"/>
      <c r="AA258" s="54"/>
      <c r="AB258" s="54"/>
      <c r="AC258" s="54"/>
      <c r="AD258" s="54"/>
      <c r="AE258" s="54"/>
      <c r="AF258" s="54"/>
      <c r="AG258" s="54"/>
      <c r="AH258" s="54"/>
      <c r="AI258" s="54"/>
      <c r="AJ258" s="54"/>
      <c r="AK258" s="54"/>
      <c r="AL258" s="54"/>
      <c r="AM258" s="54"/>
      <c r="AN258" s="54"/>
      <c r="AO258" s="54"/>
      <c r="AP258" s="54" t="s">
        <v>2622</v>
      </c>
      <c r="AQ258" s="54"/>
      <c r="AR258" s="54"/>
      <c r="AS258" s="54"/>
      <c r="AT258" s="54" t="s">
        <v>2623</v>
      </c>
      <c r="AU258" s="54"/>
      <c r="AV258" s="54"/>
      <c r="AW258" s="83"/>
      <c r="AX258" s="83"/>
      <c r="AY258" s="83"/>
      <c r="AZ258" s="83"/>
      <c r="BA258" s="83"/>
      <c r="BB258" s="83"/>
      <c r="BC258" s="171"/>
      <c r="BD258" s="171"/>
    </row>
    <row r="259" spans="1:56" ht="14.1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83"/>
      <c r="AX259" s="83"/>
      <c r="AY259" s="83"/>
      <c r="AZ259" s="83"/>
      <c r="BA259" s="83"/>
      <c r="BB259" s="83"/>
      <c r="BC259" s="171"/>
      <c r="BD259" s="171"/>
    </row>
    <row r="260" spans="1:56" ht="14.15" customHeight="1">
      <c r="A260" s="54"/>
      <c r="B260" s="54"/>
      <c r="C260" s="54"/>
      <c r="D260" s="54"/>
      <c r="E260" s="54"/>
      <c r="F260" s="569" t="s">
        <v>2624</v>
      </c>
      <c r="G260" s="569"/>
      <c r="H260" s="570" t="s">
        <v>2625</v>
      </c>
      <c r="I260" s="570"/>
      <c r="J260" s="570"/>
      <c r="K260" s="570"/>
      <c r="L260" s="570"/>
      <c r="M260" s="570"/>
      <c r="N260" s="570"/>
      <c r="O260" s="189"/>
      <c r="P260" s="189"/>
      <c r="Q260" s="189"/>
      <c r="R260" s="189"/>
      <c r="S260" s="189"/>
      <c r="T260" s="189"/>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t="s">
        <v>2626</v>
      </c>
      <c r="AQ260" s="54"/>
      <c r="AR260" s="54"/>
      <c r="AS260" s="54"/>
      <c r="AT260" s="54"/>
      <c r="AU260" s="54"/>
      <c r="AV260" s="54"/>
      <c r="AW260" s="83"/>
      <c r="AX260" s="83"/>
      <c r="AY260" s="83"/>
      <c r="AZ260" s="83"/>
      <c r="BA260" s="83"/>
      <c r="BB260" s="83"/>
      <c r="BC260" s="171"/>
      <c r="BD260" s="171"/>
    </row>
    <row r="261" spans="1:56" ht="14.15" customHeight="1">
      <c r="A261" s="54"/>
      <c r="B261" s="54"/>
      <c r="C261" s="54"/>
      <c r="D261" s="54"/>
      <c r="E261" s="54"/>
      <c r="F261" s="569"/>
      <c r="G261" s="569"/>
      <c r="H261" s="570"/>
      <c r="I261" s="570"/>
      <c r="J261" s="570"/>
      <c r="K261" s="570"/>
      <c r="L261" s="570"/>
      <c r="M261" s="570"/>
      <c r="N261" s="570"/>
      <c r="O261" s="189"/>
      <c r="P261" s="189"/>
      <c r="Q261" s="189"/>
      <c r="R261" s="189"/>
      <c r="S261" s="189"/>
      <c r="T261" s="189"/>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t="s">
        <v>2627</v>
      </c>
      <c r="AQ261" s="54"/>
      <c r="AR261" s="54"/>
      <c r="AS261" s="54"/>
      <c r="AT261" s="54"/>
      <c r="AU261" s="54"/>
      <c r="AV261" s="54"/>
      <c r="AW261" s="83"/>
      <c r="AX261" s="83"/>
      <c r="AY261" s="83"/>
      <c r="AZ261" s="83"/>
      <c r="BA261" s="83"/>
      <c r="BB261" s="83"/>
      <c r="BC261" s="171"/>
      <c r="BD261" s="171"/>
    </row>
    <row r="262" spans="1:56" ht="14.15" customHeight="1">
      <c r="A262" s="54"/>
      <c r="B262" s="54"/>
      <c r="C262" s="54"/>
      <c r="D262" s="54"/>
      <c r="E262" s="54"/>
      <c r="F262" s="54"/>
      <c r="G262" s="54"/>
      <c r="H262" s="570"/>
      <c r="I262" s="570"/>
      <c r="J262" s="570"/>
      <c r="K262" s="570"/>
      <c r="L262" s="570"/>
      <c r="M262" s="570"/>
      <c r="N262" s="570"/>
      <c r="O262" s="189"/>
      <c r="P262" s="189"/>
      <c r="Q262" s="189"/>
      <c r="R262" s="189"/>
      <c r="S262" s="189"/>
      <c r="T262" s="189"/>
      <c r="U262" s="54"/>
      <c r="V262" s="54"/>
      <c r="W262" s="54"/>
      <c r="X262" s="54"/>
      <c r="Y262" s="569" t="s">
        <v>2628</v>
      </c>
      <c r="Z262" s="569"/>
      <c r="AA262" s="570" t="s">
        <v>2629</v>
      </c>
      <c r="AB262" s="570"/>
      <c r="AC262" s="570"/>
      <c r="AD262" s="570"/>
      <c r="AE262" s="570"/>
      <c r="AF262" s="570"/>
      <c r="AG262" s="570"/>
      <c r="AH262" s="54"/>
      <c r="AI262" s="54"/>
      <c r="AJ262" s="54"/>
      <c r="AK262" s="54"/>
      <c r="AL262" s="54"/>
      <c r="AM262" s="54"/>
      <c r="AN262" s="54"/>
      <c r="AO262" s="54"/>
      <c r="AP262" s="54" t="s">
        <v>2630</v>
      </c>
      <c r="AQ262" s="54"/>
      <c r="AR262" s="54"/>
      <c r="AS262" s="54"/>
      <c r="AT262" s="54"/>
      <c r="AU262" s="54"/>
      <c r="AV262" s="54"/>
      <c r="AW262" s="83"/>
      <c r="AX262" s="83"/>
      <c r="AY262" s="83"/>
      <c r="AZ262" s="83"/>
      <c r="BA262" s="83"/>
      <c r="BB262" s="83"/>
      <c r="BC262" s="171"/>
      <c r="BD262" s="171"/>
    </row>
    <row r="263" spans="1:56" ht="14.15" customHeight="1">
      <c r="A263" s="54"/>
      <c r="B263" s="54"/>
      <c r="C263" s="54"/>
      <c r="D263" s="54"/>
      <c r="E263" s="54"/>
      <c r="F263" s="54"/>
      <c r="G263" s="54"/>
      <c r="H263" s="54"/>
      <c r="I263" s="54"/>
      <c r="J263" s="54"/>
      <c r="K263" s="54"/>
      <c r="L263" s="54"/>
      <c r="M263" s="54"/>
      <c r="N263" s="54"/>
      <c r="O263" s="189"/>
      <c r="P263" s="189"/>
      <c r="Q263" s="189"/>
      <c r="R263" s="189"/>
      <c r="S263" s="189"/>
      <c r="T263" s="189"/>
      <c r="U263" s="54"/>
      <c r="V263" s="54"/>
      <c r="W263" s="54"/>
      <c r="X263" s="54"/>
      <c r="Y263" s="569"/>
      <c r="Z263" s="569"/>
      <c r="AA263" s="570"/>
      <c r="AB263" s="570"/>
      <c r="AC263" s="570"/>
      <c r="AD263" s="570"/>
      <c r="AE263" s="570"/>
      <c r="AF263" s="570"/>
      <c r="AG263" s="570"/>
      <c r="AH263" s="54"/>
      <c r="AI263" s="54"/>
      <c r="AJ263" s="54"/>
      <c r="AK263" s="54"/>
      <c r="AL263" s="54"/>
      <c r="AM263" s="54"/>
      <c r="AN263" s="54"/>
      <c r="AO263" s="54"/>
      <c r="AP263" s="54" t="s">
        <v>2631</v>
      </c>
      <c r="AQ263" s="54"/>
      <c r="AR263" s="54"/>
      <c r="AS263" s="54"/>
      <c r="AT263" s="54"/>
      <c r="AU263" s="54"/>
      <c r="AV263" s="54"/>
      <c r="AW263" s="83"/>
      <c r="AX263" s="83"/>
      <c r="AY263" s="83"/>
      <c r="AZ263" s="83"/>
      <c r="BA263" s="83"/>
      <c r="BB263" s="83"/>
      <c r="BC263" s="171"/>
      <c r="BD263" s="171"/>
    </row>
    <row r="264" spans="1:56" ht="14.15" customHeight="1">
      <c r="A264" s="54"/>
      <c r="B264" s="54"/>
      <c r="C264" s="54"/>
      <c r="D264" s="54"/>
      <c r="E264" s="54"/>
      <c r="F264" s="54"/>
      <c r="G264" s="54"/>
      <c r="H264" s="54"/>
      <c r="I264" s="54"/>
      <c r="J264" s="54"/>
      <c r="K264" s="54"/>
      <c r="L264" s="54"/>
      <c r="M264" s="54"/>
      <c r="N264" s="54"/>
      <c r="O264" s="189"/>
      <c r="P264" s="189"/>
      <c r="Q264" s="189"/>
      <c r="R264" s="189"/>
      <c r="S264" s="189"/>
      <c r="T264" s="189"/>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t="s">
        <v>2632</v>
      </c>
      <c r="AQ264" s="54"/>
      <c r="AR264" s="54"/>
      <c r="AS264" s="54"/>
      <c r="AT264" s="54"/>
      <c r="AU264" s="54"/>
      <c r="AV264" s="54"/>
      <c r="AW264" s="83"/>
      <c r="AX264" s="83"/>
      <c r="AY264" s="83"/>
      <c r="AZ264" s="83"/>
      <c r="BA264" s="83"/>
      <c r="BB264" s="83"/>
      <c r="BC264" s="171"/>
      <c r="BD264" s="171"/>
    </row>
    <row r="265" spans="1:56" ht="14.15" customHeight="1">
      <c r="A265" s="54"/>
      <c r="B265" s="54"/>
      <c r="C265" s="54"/>
      <c r="D265" s="54"/>
      <c r="E265" s="54"/>
      <c r="F265" s="54"/>
      <c r="G265" s="54"/>
      <c r="H265" s="54"/>
      <c r="I265" s="54"/>
      <c r="J265" s="54"/>
      <c r="K265" s="54"/>
      <c r="L265" s="54"/>
      <c r="M265" s="54"/>
      <c r="N265" s="54"/>
      <c r="O265" s="189"/>
      <c r="P265" s="189"/>
      <c r="Q265" s="189"/>
      <c r="R265" s="189"/>
      <c r="S265" s="189"/>
      <c r="T265" s="189"/>
      <c r="U265" s="54"/>
      <c r="V265" s="54"/>
      <c r="W265" s="54"/>
      <c r="X265" s="54"/>
      <c r="Y265" s="54"/>
      <c r="Z265" s="54"/>
      <c r="AA265" s="54" t="s">
        <v>2633</v>
      </c>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83"/>
      <c r="AX265" s="83"/>
      <c r="AY265" s="83"/>
      <c r="AZ265" s="83"/>
      <c r="BA265" s="83"/>
      <c r="BB265" s="83"/>
      <c r="BC265" s="171"/>
      <c r="BD265" s="171"/>
    </row>
    <row r="266" spans="1:56" ht="14.15" customHeight="1">
      <c r="A266" s="54"/>
      <c r="B266" s="54"/>
      <c r="C266" s="54"/>
      <c r="D266" s="54"/>
      <c r="E266" s="54"/>
      <c r="F266" s="54"/>
      <c r="G266" s="54"/>
      <c r="H266" s="54"/>
      <c r="I266" s="54"/>
      <c r="J266" s="54"/>
      <c r="K266" s="54"/>
      <c r="L266" s="54"/>
      <c r="M266" s="54"/>
      <c r="N266" s="54"/>
      <c r="O266" s="189"/>
      <c r="P266" s="189"/>
      <c r="Q266" s="189"/>
      <c r="R266" s="189"/>
      <c r="S266" s="189"/>
      <c r="T266" s="189"/>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83"/>
      <c r="AX266" s="83"/>
      <c r="AY266" s="83"/>
      <c r="AZ266" s="83"/>
      <c r="BA266" s="83"/>
      <c r="BB266" s="83"/>
      <c r="BC266" s="171"/>
      <c r="BD266" s="171"/>
    </row>
    <row r="267" spans="1:56" ht="14.1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t="s">
        <v>2634</v>
      </c>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83"/>
      <c r="AX267" s="83"/>
      <c r="AY267" s="83"/>
      <c r="AZ267" s="83"/>
      <c r="BA267" s="83"/>
      <c r="BB267" s="83"/>
      <c r="BC267" s="171"/>
      <c r="BD267" s="171"/>
    </row>
    <row r="268" spans="1:56" ht="14.15" customHeight="1">
      <c r="A268" s="54"/>
      <c r="B268" s="54"/>
      <c r="C268" s="54"/>
      <c r="D268" s="54"/>
      <c r="E268" s="54"/>
      <c r="F268" s="569" t="s">
        <v>2635</v>
      </c>
      <c r="G268" s="569"/>
      <c r="H268" s="570" t="s">
        <v>2636</v>
      </c>
      <c r="I268" s="570"/>
      <c r="J268" s="570"/>
      <c r="K268" s="570"/>
      <c r="L268" s="570"/>
      <c r="M268" s="570"/>
      <c r="N268" s="570"/>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86" t="s">
        <v>2637</v>
      </c>
      <c r="AQ268" s="586"/>
      <c r="AR268" s="54"/>
      <c r="AS268" s="54"/>
      <c r="AT268" s="54"/>
      <c r="AU268" s="54"/>
      <c r="AV268" s="54"/>
      <c r="AW268" s="83"/>
      <c r="AX268" s="83"/>
      <c r="AY268" s="83"/>
      <c r="AZ268" s="83"/>
      <c r="BA268" s="83"/>
      <c r="BB268" s="83"/>
      <c r="BC268" s="171"/>
      <c r="BD268" s="171"/>
    </row>
    <row r="269" spans="1:56" ht="14.15" customHeight="1">
      <c r="A269" s="54"/>
      <c r="B269" s="54"/>
      <c r="C269" s="54"/>
      <c r="D269" s="54"/>
      <c r="E269" s="54"/>
      <c r="F269" s="569"/>
      <c r="G269" s="569"/>
      <c r="H269" s="570"/>
      <c r="I269" s="570"/>
      <c r="J269" s="570"/>
      <c r="K269" s="570"/>
      <c r="L269" s="570"/>
      <c r="M269" s="570"/>
      <c r="N269" s="570"/>
      <c r="O269" s="54"/>
      <c r="P269" s="54"/>
      <c r="Q269" s="54"/>
      <c r="R269" s="54"/>
      <c r="S269" s="54"/>
      <c r="T269" s="54"/>
      <c r="U269" s="54"/>
      <c r="V269" s="54"/>
      <c r="W269" s="54"/>
      <c r="X269" s="54"/>
      <c r="Y269" s="54"/>
      <c r="Z269" s="54"/>
      <c r="AA269" s="54" t="s">
        <v>2638</v>
      </c>
      <c r="AB269" s="54">
        <v>270</v>
      </c>
      <c r="AC269" s="54"/>
      <c r="AD269" s="54"/>
      <c r="AE269" s="54"/>
      <c r="AF269" s="54"/>
      <c r="AG269" s="54"/>
      <c r="AH269" s="54"/>
      <c r="AI269" s="54"/>
      <c r="AJ269" s="54"/>
      <c r="AK269" s="54"/>
      <c r="AL269" s="54"/>
      <c r="AM269" s="54"/>
      <c r="AN269" s="54"/>
      <c r="AO269" s="54"/>
      <c r="AP269" s="587"/>
      <c r="AQ269" s="587"/>
      <c r="AR269" s="165"/>
      <c r="AS269" s="165"/>
      <c r="AT269" s="165"/>
      <c r="AU269" s="165"/>
      <c r="AV269" s="165"/>
      <c r="AW269" s="83"/>
      <c r="AX269" s="83"/>
      <c r="AY269" s="83"/>
      <c r="AZ269" s="83"/>
      <c r="BA269" s="83"/>
      <c r="BB269" s="83"/>
      <c r="BC269" s="171"/>
      <c r="BD269" s="171"/>
    </row>
    <row r="270" spans="1:56" ht="14.1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t="s">
        <v>2639</v>
      </c>
      <c r="AB270" s="54" t="s">
        <v>244</v>
      </c>
      <c r="AC270" s="54" t="s">
        <v>2509</v>
      </c>
      <c r="AD270" s="54"/>
      <c r="AE270" s="54" t="s">
        <v>2639</v>
      </c>
      <c r="AF270" s="54" t="s">
        <v>244</v>
      </c>
      <c r="AG270" s="54" t="s">
        <v>2509</v>
      </c>
      <c r="AH270" s="54"/>
      <c r="AI270" s="54"/>
      <c r="AJ270" s="54"/>
      <c r="AK270" s="54"/>
      <c r="AL270" s="54"/>
      <c r="AM270" s="54"/>
      <c r="AN270" s="54"/>
      <c r="AO270" s="54"/>
      <c r="AP270" s="227"/>
      <c r="AQ270" s="227" t="s">
        <v>2640</v>
      </c>
      <c r="AR270" s="228" t="s">
        <v>2641</v>
      </c>
      <c r="AS270" s="227"/>
      <c r="AT270" s="227" t="s">
        <v>2642</v>
      </c>
      <c r="AU270" s="229">
        <v>0</v>
      </c>
      <c r="AV270" s="227"/>
      <c r="AW270" s="227"/>
      <c r="AX270" s="227"/>
      <c r="AY270" s="227"/>
      <c r="AZ270" s="227"/>
      <c r="BA270" s="227"/>
      <c r="BB270" s="227"/>
      <c r="BC270" s="171"/>
      <c r="BD270" s="171"/>
    </row>
    <row r="271" spans="1:56" ht="14.1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216" t="s">
        <v>2643</v>
      </c>
      <c r="AB271" s="54">
        <v>30</v>
      </c>
      <c r="AC271" s="217">
        <v>3.383</v>
      </c>
      <c r="AD271" s="54"/>
      <c r="AE271" s="216" t="s">
        <v>65</v>
      </c>
      <c r="AF271" s="54">
        <v>1000</v>
      </c>
      <c r="AG271" s="217">
        <v>11.132999999999999</v>
      </c>
      <c r="AH271" s="54"/>
      <c r="AI271" s="54"/>
      <c r="AJ271" s="54"/>
      <c r="AK271" s="54"/>
      <c r="AL271" s="54"/>
      <c r="AM271" s="54"/>
      <c r="AN271" s="54"/>
      <c r="AO271" s="54"/>
      <c r="AP271" s="83"/>
      <c r="AQ271" s="230" t="s">
        <v>2644</v>
      </c>
      <c r="AR271" s="87">
        <v>1</v>
      </c>
      <c r="AS271" s="87">
        <v>2</v>
      </c>
      <c r="AT271" s="87">
        <v>3</v>
      </c>
      <c r="AU271" s="99">
        <v>4</v>
      </c>
      <c r="AV271" s="90">
        <v>5</v>
      </c>
      <c r="AW271" s="92">
        <v>6</v>
      </c>
      <c r="AX271" s="93">
        <v>7</v>
      </c>
      <c r="AY271" s="94">
        <v>8</v>
      </c>
      <c r="AZ271" s="100">
        <v>9</v>
      </c>
      <c r="BA271" s="121">
        <v>10</v>
      </c>
      <c r="BB271" s="122">
        <v>11</v>
      </c>
      <c r="BC271" s="171"/>
      <c r="BD271" s="171"/>
    </row>
    <row r="272" spans="1:56" ht="14.1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216" t="s">
        <v>2645</v>
      </c>
      <c r="AB272" s="54">
        <v>50</v>
      </c>
      <c r="AC272" s="217">
        <v>4.3</v>
      </c>
      <c r="AD272" s="54"/>
      <c r="AE272" s="216" t="s">
        <v>2646</v>
      </c>
      <c r="AF272" s="54">
        <v>1100</v>
      </c>
      <c r="AG272" s="217">
        <v>11.532999999999999</v>
      </c>
      <c r="AH272" s="54"/>
      <c r="AI272" s="54"/>
      <c r="AJ272" s="54"/>
      <c r="AK272" s="54"/>
      <c r="AL272" s="54"/>
      <c r="AM272" s="54"/>
      <c r="AN272" s="54"/>
      <c r="AO272" s="54"/>
      <c r="AP272" s="83"/>
      <c r="AQ272" s="83" t="s">
        <v>2647</v>
      </c>
      <c r="AR272" s="231">
        <f>IF($AU$270=0,0,IF($AU$270="对应本满级",0,$AU$270*0.1+1.2))</f>
        <v>0</v>
      </c>
      <c r="AS272" s="232">
        <f>IF($AU$270=0,0,IF($AU$270="对应本满级",0,$AU$270*0.1+1.2))</f>
        <v>0</v>
      </c>
      <c r="AT272" s="232">
        <f>IF($AU$270=0,0,IF($AU$270="对应本满级",0,$AU$270*0.1+1.2))</f>
        <v>0</v>
      </c>
      <c r="AU272" s="232">
        <f>IF($AU$270=0,0,IF($AU$270="对应本满级",1.6,$AU$270*0.1+1.2))</f>
        <v>0</v>
      </c>
      <c r="AV272" s="232">
        <f>IF($AU$270=0,0,IF($AU$270="对应本满级",1.7,$AU$270*0.1+1.2))</f>
        <v>0</v>
      </c>
      <c r="AW272" s="232">
        <f>IF($AU$270=0,0,IF($AU$270="对应本满级",1.7,$AU$270*0.1+1.2))</f>
        <v>0</v>
      </c>
      <c r="AX272" s="232">
        <f>IF($AU$270=0,0,IF($AU$270="对应本满级",1.7,$AU$270*0.1+1.2))</f>
        <v>0</v>
      </c>
      <c r="AY272" s="232">
        <f>IF($AU$270=0,0,IF($AU$270="对应本满级",1.8,$AU$270*0.1+1.2))</f>
        <v>0</v>
      </c>
      <c r="AZ272" s="232">
        <f>IF($AU$270=0,0,IF($AU$270="对应本满级",1.8,$AU$270*0.1+1.2))</f>
        <v>0</v>
      </c>
      <c r="BA272" s="232">
        <f>IF($AU$270=0,0,IF($AU$270="对应本满级",1.8,$AU$270*0.1+1.2))</f>
        <v>0</v>
      </c>
      <c r="BB272" s="232">
        <f>IF($AU$270=0,0,IF($AU$270="对应本满级",1.8,$AU$270*0.1+1.2))</f>
        <v>0</v>
      </c>
      <c r="BC272" s="171"/>
      <c r="BD272" s="171"/>
    </row>
    <row r="273" spans="1:56" ht="14.1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216" t="s">
        <v>11</v>
      </c>
      <c r="AB273" s="54">
        <v>52</v>
      </c>
      <c r="AC273" s="217">
        <v>4.3330000000000002</v>
      </c>
      <c r="AD273" s="54"/>
      <c r="AE273" s="216" t="s">
        <v>2648</v>
      </c>
      <c r="AF273" s="54">
        <v>1500</v>
      </c>
      <c r="AG273" s="217">
        <v>12.9</v>
      </c>
      <c r="AH273" s="54"/>
      <c r="AI273" s="54"/>
      <c r="AJ273" s="54"/>
      <c r="AK273" s="54"/>
      <c r="AL273" s="54"/>
      <c r="AM273" s="54"/>
      <c r="AN273" s="54"/>
      <c r="AO273" s="54"/>
      <c r="AP273" s="83"/>
      <c r="AQ273" s="83" t="s">
        <v>2649</v>
      </c>
      <c r="AR273" s="233">
        <v>6</v>
      </c>
      <c r="AS273" s="83">
        <v>10</v>
      </c>
      <c r="AT273" s="83">
        <v>15</v>
      </c>
      <c r="AU273" s="83">
        <v>20</v>
      </c>
      <c r="AV273" s="83">
        <v>43</v>
      </c>
      <c r="AW273" s="83">
        <v>55</v>
      </c>
      <c r="AX273" s="83">
        <v>66</v>
      </c>
      <c r="AY273" s="83">
        <v>75</v>
      </c>
      <c r="AZ273" s="83">
        <v>86</v>
      </c>
      <c r="BA273" s="83">
        <v>94</v>
      </c>
      <c r="BB273" s="83">
        <v>102</v>
      </c>
      <c r="BC273" s="171"/>
      <c r="BD273" s="171"/>
    </row>
    <row r="274" spans="1:56" ht="14.15" customHeight="1">
      <c r="A274" s="54"/>
      <c r="B274" s="54"/>
      <c r="C274" s="54"/>
      <c r="D274" s="54"/>
      <c r="E274" s="54"/>
      <c r="F274" s="569" t="s">
        <v>2650</v>
      </c>
      <c r="G274" s="569"/>
      <c r="H274" s="570" t="s">
        <v>2651</v>
      </c>
      <c r="I274" s="570"/>
      <c r="J274" s="570"/>
      <c r="K274" s="570"/>
      <c r="L274" s="570"/>
      <c r="M274" s="570"/>
      <c r="N274" s="570"/>
      <c r="O274" s="189"/>
      <c r="P274" s="189"/>
      <c r="Q274" s="189"/>
      <c r="R274" s="189"/>
      <c r="S274" s="189"/>
      <c r="T274" s="54"/>
      <c r="U274" s="54"/>
      <c r="V274" s="54"/>
      <c r="W274" s="54"/>
      <c r="X274" s="54"/>
      <c r="Y274" s="54"/>
      <c r="Z274" s="54"/>
      <c r="AA274" s="216" t="s">
        <v>87</v>
      </c>
      <c r="AB274" s="54">
        <v>102</v>
      </c>
      <c r="AC274" s="217">
        <v>5.617</v>
      </c>
      <c r="AD274" s="54"/>
      <c r="AE274" s="216" t="s">
        <v>45</v>
      </c>
      <c r="AF274" s="54">
        <v>1600</v>
      </c>
      <c r="AG274" s="217">
        <v>13.3</v>
      </c>
      <c r="AH274" s="54"/>
      <c r="AI274" s="54"/>
      <c r="AJ274" s="54"/>
      <c r="AK274" s="54"/>
      <c r="AL274" s="54"/>
      <c r="AM274" s="54"/>
      <c r="AN274" s="54"/>
      <c r="AO274" s="54"/>
      <c r="AP274" s="83"/>
      <c r="AQ274" s="83" t="s">
        <v>354</v>
      </c>
      <c r="AR274" s="233">
        <v>6</v>
      </c>
      <c r="AS274" s="83">
        <v>9</v>
      </c>
      <c r="AT274" s="83">
        <v>13</v>
      </c>
      <c r="AU274" s="83">
        <v>16</v>
      </c>
      <c r="AV274" s="83">
        <v>23</v>
      </c>
      <c r="AW274" s="83">
        <v>30</v>
      </c>
      <c r="AX274" s="83">
        <v>36</v>
      </c>
      <c r="AY274" s="83">
        <v>42</v>
      </c>
      <c r="AZ274" s="83">
        <v>48</v>
      </c>
      <c r="BA274" s="83">
        <v>54</v>
      </c>
      <c r="BB274" s="83">
        <v>60</v>
      </c>
      <c r="BC274" s="171"/>
      <c r="BD274" s="171"/>
    </row>
    <row r="275" spans="1:56" ht="14.15" customHeight="1">
      <c r="A275" s="54"/>
      <c r="B275" s="54"/>
      <c r="C275" s="54"/>
      <c r="D275" s="54"/>
      <c r="E275" s="54"/>
      <c r="F275" s="569"/>
      <c r="G275" s="569"/>
      <c r="H275" s="570"/>
      <c r="I275" s="570"/>
      <c r="J275" s="570"/>
      <c r="K275" s="570"/>
      <c r="L275" s="570"/>
      <c r="M275" s="570"/>
      <c r="N275" s="570"/>
      <c r="O275" s="189"/>
      <c r="P275" s="189"/>
      <c r="Q275" s="189"/>
      <c r="R275" s="189"/>
      <c r="S275" s="189"/>
      <c r="T275" s="54"/>
      <c r="U275" s="54"/>
      <c r="V275" s="54"/>
      <c r="W275" s="54"/>
      <c r="X275" s="54"/>
      <c r="Y275" s="54"/>
      <c r="Z275" s="54"/>
      <c r="AA275" s="216" t="s">
        <v>28</v>
      </c>
      <c r="AB275" s="54">
        <v>112</v>
      </c>
      <c r="AC275" s="217">
        <v>5.95</v>
      </c>
      <c r="AD275" s="54"/>
      <c r="AE275" s="216" t="s">
        <v>93</v>
      </c>
      <c r="AF275" s="54">
        <v>1650</v>
      </c>
      <c r="AG275" s="217">
        <v>13.45</v>
      </c>
      <c r="AH275" s="54"/>
      <c r="AI275" s="54"/>
      <c r="AJ275" s="54"/>
      <c r="AK275" s="54"/>
      <c r="AL275" s="54"/>
      <c r="AM275" s="54"/>
      <c r="AN275" s="54"/>
      <c r="AO275" s="54"/>
      <c r="AP275" s="83" t="s">
        <v>2652</v>
      </c>
      <c r="AQ275" s="83" t="s">
        <v>244</v>
      </c>
      <c r="AR275" s="233"/>
      <c r="AS275" s="83"/>
      <c r="AT275" s="83"/>
      <c r="AU275" s="83"/>
      <c r="AV275" s="83"/>
      <c r="AW275" s="83"/>
      <c r="AX275" s="83"/>
      <c r="AY275" s="83"/>
      <c r="AZ275" s="83"/>
      <c r="BA275" s="83"/>
      <c r="BB275" s="83"/>
      <c r="BC275" s="171"/>
      <c r="BD275" s="171"/>
    </row>
    <row r="276" spans="1:56" ht="14.1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216" t="s">
        <v>22</v>
      </c>
      <c r="AB276" s="54">
        <v>126</v>
      </c>
      <c r="AC276" s="217">
        <v>6.0670000000000002</v>
      </c>
      <c r="AD276" s="54"/>
      <c r="AE276" s="216" t="s">
        <v>61</v>
      </c>
      <c r="AF276" s="54">
        <v>1700</v>
      </c>
      <c r="AG276" s="217">
        <v>13.667</v>
      </c>
      <c r="AH276" s="54"/>
      <c r="AI276" s="54"/>
      <c r="AJ276" s="54"/>
      <c r="AK276" s="54"/>
      <c r="AL276" s="54"/>
      <c r="AM276" s="54"/>
      <c r="AN276" s="54"/>
      <c r="AO276" s="54"/>
      <c r="AP276" s="234">
        <v>1</v>
      </c>
      <c r="AQ276" s="227">
        <v>300</v>
      </c>
      <c r="AR276" s="235">
        <f t="shared" ref="AR276:BB285" si="4">ROUNDUP(IF($AR$270="失败",$AQ276/AR$274/40,ROUNDUP($AQ276/(AR$273+AR$273*AR$272+AR$274)/40,0)),0)</f>
        <v>1</v>
      </c>
      <c r="AS276" s="227">
        <f t="shared" si="4"/>
        <v>1</v>
      </c>
      <c r="AT276" s="227">
        <f t="shared" si="4"/>
        <v>1</v>
      </c>
      <c r="AU276" s="227">
        <f t="shared" si="4"/>
        <v>1</v>
      </c>
      <c r="AV276" s="227">
        <f t="shared" si="4"/>
        <v>1</v>
      </c>
      <c r="AW276" s="227">
        <f t="shared" si="4"/>
        <v>1</v>
      </c>
      <c r="AX276" s="227">
        <f t="shared" si="4"/>
        <v>1</v>
      </c>
      <c r="AY276" s="227">
        <f t="shared" si="4"/>
        <v>1</v>
      </c>
      <c r="AZ276" s="227">
        <f t="shared" si="4"/>
        <v>1</v>
      </c>
      <c r="BA276" s="227">
        <f t="shared" si="4"/>
        <v>1</v>
      </c>
      <c r="BB276" s="227">
        <f t="shared" si="4"/>
        <v>1</v>
      </c>
      <c r="BC276" s="171"/>
      <c r="BD276" s="171"/>
    </row>
    <row r="277" spans="1:56" ht="14.1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216" t="s">
        <v>4</v>
      </c>
      <c r="AB277" s="54">
        <v>230</v>
      </c>
      <c r="AC277" s="217">
        <v>7.5830000000000002</v>
      </c>
      <c r="AD277" s="54"/>
      <c r="AE277" s="218" t="s">
        <v>16</v>
      </c>
      <c r="AF277" s="165">
        <v>1850</v>
      </c>
      <c r="AG277" s="225">
        <v>14.183</v>
      </c>
      <c r="AH277" s="54"/>
      <c r="AI277" s="54"/>
      <c r="AJ277" s="54"/>
      <c r="AK277" s="54"/>
      <c r="AL277" s="54"/>
      <c r="AM277" s="54"/>
      <c r="AN277" s="54"/>
      <c r="AO277" s="54"/>
      <c r="AP277" s="87">
        <v>2</v>
      </c>
      <c r="AQ277" s="83">
        <v>500</v>
      </c>
      <c r="AR277" s="233">
        <f t="shared" si="4"/>
        <v>2</v>
      </c>
      <c r="AS277" s="83">
        <f t="shared" si="4"/>
        <v>1</v>
      </c>
      <c r="AT277" s="83">
        <f t="shared" si="4"/>
        <v>1</v>
      </c>
      <c r="AU277" s="83">
        <f t="shared" si="4"/>
        <v>1</v>
      </c>
      <c r="AV277" s="83">
        <f t="shared" si="4"/>
        <v>1</v>
      </c>
      <c r="AW277" s="83">
        <f t="shared" si="4"/>
        <v>1</v>
      </c>
      <c r="AX277" s="83">
        <f t="shared" si="4"/>
        <v>1</v>
      </c>
      <c r="AY277" s="83">
        <f t="shared" si="4"/>
        <v>1</v>
      </c>
      <c r="AZ277" s="83">
        <f t="shared" si="4"/>
        <v>1</v>
      </c>
      <c r="BA277" s="83">
        <f t="shared" si="4"/>
        <v>1</v>
      </c>
      <c r="BB277" s="83">
        <f t="shared" si="4"/>
        <v>1</v>
      </c>
      <c r="BC277" s="171"/>
      <c r="BD277" s="171"/>
    </row>
    <row r="278" spans="1:56" ht="14.1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216" t="s">
        <v>40</v>
      </c>
      <c r="AB278" s="54">
        <v>230</v>
      </c>
      <c r="AC278" s="217">
        <v>7.5330000000000004</v>
      </c>
      <c r="AD278" s="54"/>
      <c r="AE278" s="219" t="s">
        <v>114</v>
      </c>
      <c r="AF278" s="220">
        <v>3400</v>
      </c>
      <c r="AG278" s="226">
        <v>19.75</v>
      </c>
      <c r="AH278" s="54"/>
      <c r="AI278" s="54"/>
      <c r="AJ278" s="54"/>
      <c r="AK278" s="54"/>
      <c r="AL278" s="54"/>
      <c r="AM278" s="54"/>
      <c r="AN278" s="54"/>
      <c r="AO278" s="236"/>
      <c r="AP278" s="87">
        <v>3</v>
      </c>
      <c r="AQ278" s="83">
        <v>700</v>
      </c>
      <c r="AR278" s="237">
        <f t="shared" si="4"/>
        <v>2</v>
      </c>
      <c r="AS278" s="83">
        <f t="shared" si="4"/>
        <v>1</v>
      </c>
      <c r="AT278" s="83">
        <f t="shared" si="4"/>
        <v>1</v>
      </c>
      <c r="AU278" s="83">
        <f t="shared" si="4"/>
        <v>1</v>
      </c>
      <c r="AV278" s="83">
        <f t="shared" si="4"/>
        <v>1</v>
      </c>
      <c r="AW278" s="83">
        <f t="shared" si="4"/>
        <v>1</v>
      </c>
      <c r="AX278" s="83">
        <f t="shared" si="4"/>
        <v>1</v>
      </c>
      <c r="AY278" s="83">
        <f t="shared" si="4"/>
        <v>1</v>
      </c>
      <c r="AZ278" s="83">
        <f t="shared" si="4"/>
        <v>1</v>
      </c>
      <c r="BA278" s="83">
        <f t="shared" si="4"/>
        <v>1</v>
      </c>
      <c r="BB278" s="83">
        <f t="shared" si="4"/>
        <v>1</v>
      </c>
      <c r="BC278" s="171"/>
      <c r="BD278" s="171"/>
    </row>
    <row r="279" spans="1:56" ht="14.1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216" t="s">
        <v>2653</v>
      </c>
      <c r="AB279" s="54">
        <v>320</v>
      </c>
      <c r="AC279" s="217">
        <v>8.4</v>
      </c>
      <c r="AD279" s="54"/>
      <c r="AE279" s="216" t="s">
        <v>75</v>
      </c>
      <c r="AF279" s="54">
        <v>3500</v>
      </c>
      <c r="AG279" s="217">
        <v>20.132999999999999</v>
      </c>
      <c r="AH279" s="54"/>
      <c r="AI279" s="54"/>
      <c r="AJ279" s="54"/>
      <c r="AK279" s="54"/>
      <c r="AL279" s="54"/>
      <c r="AM279" s="54"/>
      <c r="AN279" s="54"/>
      <c r="AO279" s="236"/>
      <c r="AP279" s="87">
        <v>4</v>
      </c>
      <c r="AQ279" s="83">
        <v>900</v>
      </c>
      <c r="AR279" s="233">
        <f t="shared" si="4"/>
        <v>2</v>
      </c>
      <c r="AS279" s="238">
        <f t="shared" si="4"/>
        <v>2</v>
      </c>
      <c r="AT279" s="83">
        <f t="shared" si="4"/>
        <v>1</v>
      </c>
      <c r="AU279" s="83">
        <f t="shared" si="4"/>
        <v>1</v>
      </c>
      <c r="AV279" s="83">
        <f t="shared" si="4"/>
        <v>1</v>
      </c>
      <c r="AW279" s="83">
        <f t="shared" si="4"/>
        <v>1</v>
      </c>
      <c r="AX279" s="83">
        <f t="shared" si="4"/>
        <v>1</v>
      </c>
      <c r="AY279" s="83">
        <f t="shared" si="4"/>
        <v>1</v>
      </c>
      <c r="AZ279" s="83">
        <f t="shared" si="4"/>
        <v>1</v>
      </c>
      <c r="BA279" s="83">
        <f t="shared" si="4"/>
        <v>1</v>
      </c>
      <c r="BB279" s="83">
        <f t="shared" si="4"/>
        <v>1</v>
      </c>
      <c r="BC279" s="171"/>
      <c r="BD279" s="171"/>
    </row>
    <row r="280" spans="1:56" ht="14.15" customHeight="1">
      <c r="A280" s="54"/>
      <c r="B280" s="54"/>
      <c r="C280" s="54"/>
      <c r="D280" s="54"/>
      <c r="E280" s="54"/>
      <c r="F280" s="573" t="s">
        <v>113</v>
      </c>
      <c r="G280" s="573"/>
      <c r="H280" s="571" t="s">
        <v>2654</v>
      </c>
      <c r="I280" s="571"/>
      <c r="J280" s="571"/>
      <c r="K280" s="571"/>
      <c r="L280" s="571"/>
      <c r="M280" s="571"/>
      <c r="N280" s="571"/>
      <c r="O280" s="571"/>
      <c r="P280" s="571"/>
      <c r="Q280" s="54" t="s">
        <v>2655</v>
      </c>
      <c r="R280" s="54" t="s">
        <v>2656</v>
      </c>
      <c r="S280" s="54"/>
      <c r="T280" s="54"/>
      <c r="U280" s="54"/>
      <c r="V280" s="54"/>
      <c r="W280" s="54"/>
      <c r="X280" s="54"/>
      <c r="Y280" s="54"/>
      <c r="Z280" s="54"/>
      <c r="AA280" s="216" t="s">
        <v>2657</v>
      </c>
      <c r="AB280" s="54">
        <v>400</v>
      </c>
      <c r="AC280" s="217"/>
      <c r="AD280" s="54"/>
      <c r="AE280" s="216" t="s">
        <v>2658</v>
      </c>
      <c r="AF280" s="54">
        <v>4200</v>
      </c>
      <c r="AG280" s="217">
        <v>22.6</v>
      </c>
      <c r="AH280" s="54"/>
      <c r="AI280" s="54"/>
      <c r="AJ280" s="54"/>
      <c r="AK280" s="54"/>
      <c r="AL280" s="54"/>
      <c r="AM280" s="54"/>
      <c r="AN280" s="54"/>
      <c r="AO280" s="54"/>
      <c r="AP280" s="87">
        <v>5</v>
      </c>
      <c r="AQ280" s="83">
        <v>1400</v>
      </c>
      <c r="AR280" s="233">
        <f t="shared" si="4"/>
        <v>3</v>
      </c>
      <c r="AS280" s="238">
        <f t="shared" si="4"/>
        <v>2</v>
      </c>
      <c r="AT280" s="83">
        <f t="shared" si="4"/>
        <v>2</v>
      </c>
      <c r="AU280" s="83">
        <f t="shared" si="4"/>
        <v>1</v>
      </c>
      <c r="AV280" s="83">
        <f t="shared" si="4"/>
        <v>1</v>
      </c>
      <c r="AW280" s="83">
        <f t="shared" si="4"/>
        <v>1</v>
      </c>
      <c r="AX280" s="83">
        <f t="shared" si="4"/>
        <v>1</v>
      </c>
      <c r="AY280" s="83">
        <f t="shared" si="4"/>
        <v>1</v>
      </c>
      <c r="AZ280" s="83">
        <f t="shared" si="4"/>
        <v>1</v>
      </c>
      <c r="BA280" s="83">
        <f t="shared" si="4"/>
        <v>1</v>
      </c>
      <c r="BB280" s="83">
        <f t="shared" si="4"/>
        <v>1</v>
      </c>
      <c r="BC280" s="171"/>
      <c r="BD280" s="171"/>
    </row>
    <row r="281" spans="1:56" ht="14.15" customHeight="1">
      <c r="A281" s="54"/>
      <c r="B281" s="54"/>
      <c r="C281" s="54"/>
      <c r="D281" s="54"/>
      <c r="E281" s="54"/>
      <c r="F281" s="574"/>
      <c r="G281" s="574"/>
      <c r="H281" s="572"/>
      <c r="I281" s="572"/>
      <c r="J281" s="572"/>
      <c r="K281" s="572"/>
      <c r="L281" s="572"/>
      <c r="M281" s="572"/>
      <c r="N281" s="572"/>
      <c r="O281" s="572"/>
      <c r="P281" s="572"/>
      <c r="Q281" s="165" t="s">
        <v>2659</v>
      </c>
      <c r="R281" s="165" t="s">
        <v>2660</v>
      </c>
      <c r="S281" s="54"/>
      <c r="T281" s="54"/>
      <c r="U281" s="54"/>
      <c r="V281" s="54"/>
      <c r="W281" s="54"/>
      <c r="X281" s="54"/>
      <c r="Y281" s="54"/>
      <c r="Z281" s="54"/>
      <c r="AA281" s="216" t="s">
        <v>109</v>
      </c>
      <c r="AB281" s="54">
        <v>430</v>
      </c>
      <c r="AC281" s="217">
        <v>8.9830000000000005</v>
      </c>
      <c r="AD281" s="54"/>
      <c r="AE281" s="216" t="s">
        <v>51</v>
      </c>
      <c r="AF281" s="54">
        <v>4200</v>
      </c>
      <c r="AG281" s="217">
        <v>22.6</v>
      </c>
      <c r="AH281" s="54"/>
      <c r="AI281" s="54"/>
      <c r="AJ281" s="54"/>
      <c r="AK281" s="54"/>
      <c r="AL281" s="54"/>
      <c r="AM281" s="54"/>
      <c r="AN281" s="54"/>
      <c r="AO281" s="54"/>
      <c r="AP281" s="87">
        <v>6</v>
      </c>
      <c r="AQ281" s="83">
        <v>2000</v>
      </c>
      <c r="AR281" s="233">
        <f t="shared" si="4"/>
        <v>5</v>
      </c>
      <c r="AS281" s="83">
        <f t="shared" si="4"/>
        <v>3</v>
      </c>
      <c r="AT281" s="87">
        <f t="shared" si="4"/>
        <v>2</v>
      </c>
      <c r="AU281" s="83">
        <f t="shared" si="4"/>
        <v>2</v>
      </c>
      <c r="AV281" s="83">
        <f t="shared" si="4"/>
        <v>1</v>
      </c>
      <c r="AW281" s="83">
        <f t="shared" si="4"/>
        <v>1</v>
      </c>
      <c r="AX281" s="83">
        <f t="shared" si="4"/>
        <v>1</v>
      </c>
      <c r="AY281" s="83">
        <f t="shared" si="4"/>
        <v>1</v>
      </c>
      <c r="AZ281" s="83">
        <f t="shared" si="4"/>
        <v>1</v>
      </c>
      <c r="BA281" s="83">
        <f t="shared" si="4"/>
        <v>1</v>
      </c>
      <c r="BB281" s="83">
        <f t="shared" si="4"/>
        <v>1</v>
      </c>
      <c r="BC281" s="171"/>
      <c r="BD281" s="171"/>
    </row>
    <row r="282" spans="1:56" ht="14.15" customHeight="1">
      <c r="A282" s="54"/>
      <c r="B282" s="54"/>
      <c r="C282" s="54"/>
      <c r="D282" s="54"/>
      <c r="E282" s="54"/>
      <c r="F282" s="54" t="s">
        <v>2661</v>
      </c>
      <c r="G282" s="54"/>
      <c r="H282" s="54"/>
      <c r="I282" s="54"/>
      <c r="J282" s="54"/>
      <c r="K282" s="54"/>
      <c r="L282" s="54"/>
      <c r="M282" s="54"/>
      <c r="N282" s="54"/>
      <c r="O282" s="54"/>
      <c r="P282" s="54"/>
      <c r="Q282" s="54"/>
      <c r="R282" s="54"/>
      <c r="S282" s="54"/>
      <c r="T282" s="54"/>
      <c r="U282" s="54"/>
      <c r="V282" s="54"/>
      <c r="W282" s="54"/>
      <c r="X282" s="54"/>
      <c r="Y282" s="54"/>
      <c r="Z282" s="54"/>
      <c r="AA282" s="216" t="s">
        <v>2662</v>
      </c>
      <c r="AB282" s="54">
        <v>450</v>
      </c>
      <c r="AC282" s="217"/>
      <c r="AD282" s="54"/>
      <c r="AE282" s="216" t="s">
        <v>69</v>
      </c>
      <c r="AF282" s="54">
        <v>4500</v>
      </c>
      <c r="AG282" s="217">
        <v>23.617000000000001</v>
      </c>
      <c r="AH282" s="54"/>
      <c r="AI282" s="54"/>
      <c r="AJ282" s="54"/>
      <c r="AK282" s="54"/>
      <c r="AL282" s="54"/>
      <c r="AM282" s="54"/>
      <c r="AN282" s="54"/>
      <c r="AO282" s="54"/>
      <c r="AP282" s="99">
        <v>7</v>
      </c>
      <c r="AQ282" s="83">
        <v>2500</v>
      </c>
      <c r="AR282" s="233">
        <f t="shared" si="4"/>
        <v>6</v>
      </c>
      <c r="AS282" s="83">
        <f t="shared" si="4"/>
        <v>4</v>
      </c>
      <c r="AT282" s="83">
        <f t="shared" si="4"/>
        <v>3</v>
      </c>
      <c r="AU282" s="99">
        <f t="shared" si="4"/>
        <v>2</v>
      </c>
      <c r="AV282" s="83">
        <f t="shared" si="4"/>
        <v>1</v>
      </c>
      <c r="AW282" s="83">
        <f t="shared" si="4"/>
        <v>1</v>
      </c>
      <c r="AX282" s="83">
        <f t="shared" si="4"/>
        <v>1</v>
      </c>
      <c r="AY282" s="83">
        <f t="shared" si="4"/>
        <v>1</v>
      </c>
      <c r="AZ282" s="83">
        <f t="shared" si="4"/>
        <v>1</v>
      </c>
      <c r="BA282" s="83">
        <f t="shared" si="4"/>
        <v>1</v>
      </c>
      <c r="BB282" s="83">
        <f t="shared" si="4"/>
        <v>1</v>
      </c>
      <c r="BC282" s="171"/>
      <c r="BD282" s="171"/>
    </row>
    <row r="283" spans="1:56" ht="14.1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216" t="s">
        <v>101</v>
      </c>
      <c r="AB283" s="54">
        <v>480</v>
      </c>
      <c r="AC283" s="217">
        <v>9.1999999999999993</v>
      </c>
      <c r="AD283" s="54"/>
      <c r="AE283" s="216" t="s">
        <v>56</v>
      </c>
      <c r="AF283" s="54">
        <v>6300</v>
      </c>
      <c r="AG283" s="217">
        <v>30.05</v>
      </c>
      <c r="AH283" s="54"/>
      <c r="AI283" s="54"/>
      <c r="AJ283" s="54"/>
      <c r="AK283" s="54"/>
      <c r="AL283" s="54"/>
      <c r="AM283" s="54"/>
      <c r="AN283" s="54"/>
      <c r="AO283" s="54"/>
      <c r="AP283" s="90">
        <v>8</v>
      </c>
      <c r="AQ283" s="83">
        <v>3000</v>
      </c>
      <c r="AR283" s="233">
        <f t="shared" si="4"/>
        <v>7</v>
      </c>
      <c r="AS283" s="83">
        <f t="shared" si="4"/>
        <v>4</v>
      </c>
      <c r="AT283" s="83">
        <f t="shared" si="4"/>
        <v>3</v>
      </c>
      <c r="AU283" s="83">
        <f t="shared" si="4"/>
        <v>3</v>
      </c>
      <c r="AV283" s="90">
        <f t="shared" si="4"/>
        <v>2</v>
      </c>
      <c r="AW283" s="83">
        <f t="shared" si="4"/>
        <v>1</v>
      </c>
      <c r="AX283" s="83">
        <f t="shared" si="4"/>
        <v>1</v>
      </c>
      <c r="AY283" s="83">
        <f t="shared" si="4"/>
        <v>1</v>
      </c>
      <c r="AZ283" s="83">
        <f t="shared" si="4"/>
        <v>1</v>
      </c>
      <c r="BA283" s="83">
        <f t="shared" si="4"/>
        <v>1</v>
      </c>
      <c r="BB283" s="83">
        <f t="shared" si="4"/>
        <v>1</v>
      </c>
      <c r="BC283" s="171"/>
      <c r="BD283" s="171"/>
    </row>
    <row r="284" spans="1:56" ht="14.15" customHeight="1">
      <c r="A284" s="54"/>
      <c r="B284" s="54"/>
      <c r="C284" s="54"/>
      <c r="D284" s="54"/>
      <c r="E284" s="54"/>
      <c r="F284" s="569" t="s">
        <v>2663</v>
      </c>
      <c r="G284" s="569"/>
      <c r="H284" s="580" t="s">
        <v>2664</v>
      </c>
      <c r="I284" s="580"/>
      <c r="J284" s="580"/>
      <c r="K284" s="580"/>
      <c r="L284" s="580"/>
      <c r="M284" s="580"/>
      <c r="N284" s="580"/>
      <c r="O284" s="580"/>
      <c r="P284" s="580"/>
      <c r="Q284" s="54"/>
      <c r="R284" s="54"/>
      <c r="S284" s="54"/>
      <c r="T284" s="54"/>
      <c r="U284" s="54"/>
      <c r="V284" s="54"/>
      <c r="W284" s="54"/>
      <c r="X284" s="54"/>
      <c r="Y284" s="54"/>
      <c r="Z284" s="54"/>
      <c r="AA284" s="216" t="s">
        <v>34</v>
      </c>
      <c r="AB284" s="54">
        <v>940</v>
      </c>
      <c r="AC284" s="217">
        <v>10.917</v>
      </c>
      <c r="AD284" s="54"/>
      <c r="AE284" s="216" t="s">
        <v>96</v>
      </c>
      <c r="AF284" s="54">
        <v>7500</v>
      </c>
      <c r="AG284" s="217">
        <v>34.332999999999998</v>
      </c>
      <c r="AH284" s="54"/>
      <c r="AI284" s="54"/>
      <c r="AJ284" s="54"/>
      <c r="AK284" s="54"/>
      <c r="AL284" s="54"/>
      <c r="AM284" s="54"/>
      <c r="AN284" s="54"/>
      <c r="AO284" s="54"/>
      <c r="AP284" s="91">
        <v>9</v>
      </c>
      <c r="AQ284" s="83">
        <v>3500</v>
      </c>
      <c r="AR284" s="233">
        <f t="shared" si="4"/>
        <v>8</v>
      </c>
      <c r="AS284" s="83">
        <f t="shared" si="4"/>
        <v>5</v>
      </c>
      <c r="AT284" s="83">
        <f t="shared" si="4"/>
        <v>4</v>
      </c>
      <c r="AU284" s="83">
        <f t="shared" si="4"/>
        <v>3</v>
      </c>
      <c r="AV284" s="83">
        <f t="shared" si="4"/>
        <v>2</v>
      </c>
      <c r="AW284" s="83">
        <f t="shared" si="4"/>
        <v>2</v>
      </c>
      <c r="AX284" s="83">
        <f t="shared" si="4"/>
        <v>1</v>
      </c>
      <c r="AY284" s="83">
        <f t="shared" si="4"/>
        <v>1</v>
      </c>
      <c r="AZ284" s="83">
        <f t="shared" si="4"/>
        <v>1</v>
      </c>
      <c r="BA284" s="83">
        <f t="shared" si="4"/>
        <v>1</v>
      </c>
      <c r="BB284" s="83">
        <f t="shared" si="4"/>
        <v>1</v>
      </c>
      <c r="BC284" s="171"/>
      <c r="BD284" s="171"/>
    </row>
    <row r="285" spans="1:56" ht="14.15" customHeight="1">
      <c r="A285" s="54"/>
      <c r="B285" s="54"/>
      <c r="C285" s="54"/>
      <c r="D285" s="54"/>
      <c r="E285" s="54"/>
      <c r="F285" s="569"/>
      <c r="G285" s="569"/>
      <c r="H285" s="580"/>
      <c r="I285" s="580"/>
      <c r="J285" s="580"/>
      <c r="K285" s="580"/>
      <c r="L285" s="580"/>
      <c r="M285" s="580"/>
      <c r="N285" s="580"/>
      <c r="O285" s="580"/>
      <c r="P285" s="580"/>
      <c r="Q285" s="54"/>
      <c r="R285" s="54"/>
      <c r="S285" s="54"/>
      <c r="T285" s="54"/>
      <c r="U285" s="54"/>
      <c r="V285" s="54"/>
      <c r="W285" s="54"/>
      <c r="X285" s="54"/>
      <c r="Y285" s="54"/>
      <c r="Z285" s="54"/>
      <c r="AA285" s="216" t="s">
        <v>90</v>
      </c>
      <c r="AB285" s="54">
        <v>970</v>
      </c>
      <c r="AC285" s="217">
        <v>11.032999999999999</v>
      </c>
      <c r="AD285" s="54"/>
      <c r="AE285" s="216" t="s">
        <v>105</v>
      </c>
      <c r="AF285" s="54">
        <v>7600</v>
      </c>
      <c r="AG285" s="217">
        <v>34.75</v>
      </c>
      <c r="AH285" s="54"/>
      <c r="AI285" s="54"/>
      <c r="AJ285" s="54"/>
      <c r="AK285" s="54"/>
      <c r="AL285" s="54"/>
      <c r="AM285" s="54"/>
      <c r="AN285" s="54"/>
      <c r="AO285" s="54"/>
      <c r="AP285" s="91">
        <v>10</v>
      </c>
      <c r="AQ285" s="83">
        <v>4000</v>
      </c>
      <c r="AR285" s="233">
        <f t="shared" si="4"/>
        <v>9</v>
      </c>
      <c r="AS285" s="83">
        <f t="shared" si="4"/>
        <v>6</v>
      </c>
      <c r="AT285" s="83">
        <f t="shared" si="4"/>
        <v>4</v>
      </c>
      <c r="AU285" s="83">
        <f t="shared" si="4"/>
        <v>3</v>
      </c>
      <c r="AV285" s="91">
        <f t="shared" si="4"/>
        <v>2</v>
      </c>
      <c r="AW285" s="83">
        <f t="shared" si="4"/>
        <v>2</v>
      </c>
      <c r="AX285" s="83">
        <f t="shared" si="4"/>
        <v>1</v>
      </c>
      <c r="AY285" s="83">
        <f t="shared" si="4"/>
        <v>1</v>
      </c>
      <c r="AZ285" s="83">
        <f t="shared" si="4"/>
        <v>1</v>
      </c>
      <c r="BA285" s="83">
        <f t="shared" si="4"/>
        <v>1</v>
      </c>
      <c r="BB285" s="83">
        <f t="shared" si="4"/>
        <v>1</v>
      </c>
      <c r="BC285" s="171"/>
      <c r="BD285" s="171"/>
    </row>
    <row r="286" spans="1:56" ht="14.15" customHeight="1">
      <c r="A286" s="54"/>
      <c r="B286" s="54"/>
      <c r="C286" s="54"/>
      <c r="D286" s="54"/>
      <c r="E286" s="54"/>
      <c r="F286" s="54"/>
      <c r="G286" s="54"/>
      <c r="H286" s="580"/>
      <c r="I286" s="580"/>
      <c r="J286" s="580"/>
      <c r="K286" s="580"/>
      <c r="L286" s="580"/>
      <c r="M286" s="580"/>
      <c r="N286" s="580"/>
      <c r="O286" s="580"/>
      <c r="P286" s="580"/>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c r="AN286" s="54"/>
      <c r="AO286" s="54"/>
      <c r="AP286" s="92">
        <v>11</v>
      </c>
      <c r="AQ286" s="83">
        <v>5000</v>
      </c>
      <c r="AR286" s="233">
        <f t="shared" ref="AR286:BB291" si="5">ROUNDUP(IF($AR$270="失败",$AQ286/AR$274/40,ROUNDUP($AQ286/(AR$273+AR$273*AR$272+AR$274)/40,0)),0)</f>
        <v>11</v>
      </c>
      <c r="AS286" s="83">
        <f t="shared" si="5"/>
        <v>7</v>
      </c>
      <c r="AT286" s="83">
        <f t="shared" si="5"/>
        <v>5</v>
      </c>
      <c r="AU286" s="83">
        <f t="shared" si="5"/>
        <v>4</v>
      </c>
      <c r="AV286" s="83">
        <f t="shared" si="5"/>
        <v>2</v>
      </c>
      <c r="AW286" s="92">
        <f t="shared" si="5"/>
        <v>2</v>
      </c>
      <c r="AX286" s="83">
        <f t="shared" si="5"/>
        <v>2</v>
      </c>
      <c r="AY286" s="83">
        <f t="shared" si="5"/>
        <v>2</v>
      </c>
      <c r="AZ286" s="83">
        <f t="shared" si="5"/>
        <v>1</v>
      </c>
      <c r="BA286" s="83">
        <f t="shared" si="5"/>
        <v>1</v>
      </c>
      <c r="BB286" s="83">
        <f t="shared" si="5"/>
        <v>1</v>
      </c>
      <c r="BC286" s="171"/>
      <c r="BD286" s="171"/>
    </row>
    <row r="287" spans="1:56" ht="14.15" customHeight="1">
      <c r="A287" s="54"/>
      <c r="B287" s="54"/>
      <c r="C287" s="54"/>
      <c r="D287" s="54"/>
      <c r="E287" s="54"/>
      <c r="F287" s="54"/>
      <c r="G287" s="54"/>
      <c r="H287" s="580"/>
      <c r="I287" s="580"/>
      <c r="J287" s="580"/>
      <c r="K287" s="580"/>
      <c r="L287" s="580"/>
      <c r="M287" s="580"/>
      <c r="N287" s="580"/>
      <c r="O287" s="580"/>
      <c r="P287" s="580"/>
      <c r="Q287" s="54"/>
      <c r="R287" s="54"/>
      <c r="S287" s="54"/>
      <c r="T287" s="54"/>
      <c r="U287" s="54"/>
      <c r="V287" s="54"/>
      <c r="W287" s="54"/>
      <c r="X287" s="54"/>
      <c r="Y287" s="54"/>
      <c r="Z287" s="54"/>
      <c r="AA287" s="54" t="s">
        <v>2665</v>
      </c>
      <c r="AB287" s="54"/>
      <c r="AC287" s="54"/>
      <c r="AD287" s="54"/>
      <c r="AE287" s="54"/>
      <c r="AF287" s="54"/>
      <c r="AG287" s="54"/>
      <c r="AH287" s="54"/>
      <c r="AI287" s="54"/>
      <c r="AJ287" s="54"/>
      <c r="AK287" s="54"/>
      <c r="AL287" s="54"/>
      <c r="AM287" s="54"/>
      <c r="AN287" s="54"/>
      <c r="AO287" s="54"/>
      <c r="AP287" s="93">
        <v>12</v>
      </c>
      <c r="AQ287" s="83">
        <v>7000</v>
      </c>
      <c r="AR287" s="233">
        <f t="shared" si="5"/>
        <v>15</v>
      </c>
      <c r="AS287" s="83">
        <f t="shared" si="5"/>
        <v>10</v>
      </c>
      <c r="AT287" s="83">
        <f t="shared" si="5"/>
        <v>7</v>
      </c>
      <c r="AU287" s="83">
        <f t="shared" si="5"/>
        <v>5</v>
      </c>
      <c r="AV287" s="83">
        <f t="shared" si="5"/>
        <v>3</v>
      </c>
      <c r="AW287" s="83">
        <f t="shared" si="5"/>
        <v>3</v>
      </c>
      <c r="AX287" s="93">
        <f t="shared" si="5"/>
        <v>2</v>
      </c>
      <c r="AY287" s="83">
        <f t="shared" si="5"/>
        <v>2</v>
      </c>
      <c r="AZ287" s="83">
        <f t="shared" si="5"/>
        <v>2</v>
      </c>
      <c r="BA287" s="83">
        <f t="shared" si="5"/>
        <v>2</v>
      </c>
      <c r="BB287" s="83">
        <f t="shared" si="5"/>
        <v>2</v>
      </c>
      <c r="BC287" s="171"/>
      <c r="BD287" s="171"/>
    </row>
    <row r="288" spans="1:56" ht="14.15" customHeight="1">
      <c r="A288" s="54"/>
      <c r="B288" s="54"/>
      <c r="C288" s="54"/>
      <c r="D288" s="54"/>
      <c r="E288" s="54"/>
      <c r="F288" s="54"/>
      <c r="G288" s="54"/>
      <c r="H288" s="580"/>
      <c r="I288" s="580"/>
      <c r="J288" s="580"/>
      <c r="K288" s="580"/>
      <c r="L288" s="580"/>
      <c r="M288" s="580"/>
      <c r="N288" s="580"/>
      <c r="O288" s="580"/>
      <c r="P288" s="580"/>
      <c r="Q288" s="54"/>
      <c r="R288" s="54"/>
      <c r="S288" s="54"/>
      <c r="T288" s="54"/>
      <c r="U288" s="54"/>
      <c r="V288" s="54"/>
      <c r="W288" s="54"/>
      <c r="X288" s="54"/>
      <c r="Y288" s="54"/>
      <c r="Z288" s="54"/>
      <c r="AA288" s="54" t="s">
        <v>2666</v>
      </c>
      <c r="AB288" s="54"/>
      <c r="AC288" s="54"/>
      <c r="AD288" s="54"/>
      <c r="AE288" s="54"/>
      <c r="AF288" s="54"/>
      <c r="AG288" s="54"/>
      <c r="AH288" s="54"/>
      <c r="AI288" s="54"/>
      <c r="AJ288" s="54"/>
      <c r="AK288" s="54"/>
      <c r="AL288" s="54"/>
      <c r="AM288" s="54"/>
      <c r="AN288" s="54"/>
      <c r="AO288" s="54"/>
      <c r="AP288" s="94">
        <v>13</v>
      </c>
      <c r="AQ288" s="83">
        <v>9000</v>
      </c>
      <c r="AR288" s="233">
        <f t="shared" si="5"/>
        <v>19</v>
      </c>
      <c r="AS288" s="83">
        <f t="shared" si="5"/>
        <v>12</v>
      </c>
      <c r="AT288" s="83">
        <f t="shared" si="5"/>
        <v>9</v>
      </c>
      <c r="AU288" s="83">
        <f t="shared" si="5"/>
        <v>7</v>
      </c>
      <c r="AV288" s="83">
        <f t="shared" si="5"/>
        <v>4</v>
      </c>
      <c r="AW288" s="83">
        <f t="shared" si="5"/>
        <v>3</v>
      </c>
      <c r="AX288" s="83">
        <f t="shared" si="5"/>
        <v>3</v>
      </c>
      <c r="AY288" s="94">
        <f t="shared" si="5"/>
        <v>2</v>
      </c>
      <c r="AZ288" s="83">
        <f t="shared" si="5"/>
        <v>2</v>
      </c>
      <c r="BA288" s="83">
        <f t="shared" si="5"/>
        <v>2</v>
      </c>
      <c r="BB288" s="83">
        <f t="shared" si="5"/>
        <v>2</v>
      </c>
      <c r="BC288" s="171"/>
      <c r="BD288" s="171"/>
    </row>
    <row r="289" spans="1:56" ht="14.1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c r="AN289" s="54"/>
      <c r="AO289" s="54"/>
      <c r="AP289" s="100">
        <v>14</v>
      </c>
      <c r="AQ289" s="83">
        <v>11000</v>
      </c>
      <c r="AR289" s="233">
        <f t="shared" si="5"/>
        <v>23</v>
      </c>
      <c r="AS289" s="83">
        <f t="shared" si="5"/>
        <v>15</v>
      </c>
      <c r="AT289" s="83">
        <f t="shared" si="5"/>
        <v>10</v>
      </c>
      <c r="AU289" s="83">
        <f t="shared" si="5"/>
        <v>8</v>
      </c>
      <c r="AV289" s="83">
        <f t="shared" si="5"/>
        <v>5</v>
      </c>
      <c r="AW289" s="83">
        <f t="shared" si="5"/>
        <v>4</v>
      </c>
      <c r="AX289" s="83">
        <f t="shared" si="5"/>
        <v>3</v>
      </c>
      <c r="AY289" s="83">
        <f t="shared" si="5"/>
        <v>3</v>
      </c>
      <c r="AZ289" s="100">
        <f t="shared" si="5"/>
        <v>3</v>
      </c>
      <c r="BA289" s="83">
        <f t="shared" si="5"/>
        <v>2</v>
      </c>
      <c r="BB289" s="83">
        <f t="shared" si="5"/>
        <v>2</v>
      </c>
      <c r="BC289" s="171"/>
      <c r="BD289" s="171"/>
    </row>
    <row r="290" spans="1:56" ht="14.1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69" t="s">
        <v>2667</v>
      </c>
      <c r="Z290" s="569"/>
      <c r="AA290" s="570" t="s">
        <v>2668</v>
      </c>
      <c r="AB290" s="570"/>
      <c r="AC290" s="570"/>
      <c r="AD290" s="570"/>
      <c r="AE290" s="570"/>
      <c r="AF290" s="570"/>
      <c r="AG290" s="570"/>
      <c r="AH290" s="54"/>
      <c r="AI290" s="54"/>
      <c r="AJ290" s="54"/>
      <c r="AK290" s="54"/>
      <c r="AL290" s="54"/>
      <c r="AM290" s="54"/>
      <c r="AN290" s="54"/>
      <c r="AO290" s="54"/>
      <c r="AP290" s="121">
        <v>15</v>
      </c>
      <c r="AQ290" s="83">
        <v>12500</v>
      </c>
      <c r="AR290" s="233">
        <f t="shared" si="5"/>
        <v>27</v>
      </c>
      <c r="AS290" s="83">
        <f t="shared" si="5"/>
        <v>17</v>
      </c>
      <c r="AT290" s="83">
        <f t="shared" si="5"/>
        <v>12</v>
      </c>
      <c r="AU290" s="83">
        <f t="shared" si="5"/>
        <v>9</v>
      </c>
      <c r="AV290" s="83">
        <f t="shared" si="5"/>
        <v>5</v>
      </c>
      <c r="AW290" s="83">
        <f t="shared" si="5"/>
        <v>4</v>
      </c>
      <c r="AX290" s="83">
        <f t="shared" si="5"/>
        <v>4</v>
      </c>
      <c r="AY290" s="83">
        <f t="shared" si="5"/>
        <v>3</v>
      </c>
      <c r="AZ290" s="83">
        <f t="shared" si="5"/>
        <v>3</v>
      </c>
      <c r="BA290" s="121">
        <f t="shared" si="5"/>
        <v>3</v>
      </c>
      <c r="BB290" s="83">
        <f t="shared" si="5"/>
        <v>2</v>
      </c>
      <c r="BC290" s="171"/>
      <c r="BD290" s="171"/>
    </row>
    <row r="291" spans="1:56" ht="14.1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69"/>
      <c r="Z291" s="569"/>
      <c r="AA291" s="570"/>
      <c r="AB291" s="570"/>
      <c r="AC291" s="570"/>
      <c r="AD291" s="570"/>
      <c r="AE291" s="570"/>
      <c r="AF291" s="570"/>
      <c r="AG291" s="570"/>
      <c r="AH291" s="54"/>
      <c r="AI291" s="54"/>
      <c r="AJ291" s="54"/>
      <c r="AK291" s="54"/>
      <c r="AL291" s="54"/>
      <c r="AM291" s="54"/>
      <c r="AN291" s="54"/>
      <c r="AO291" s="54"/>
      <c r="AP291" s="122">
        <v>16</v>
      </c>
      <c r="AQ291" s="83">
        <v>13500</v>
      </c>
      <c r="AR291" s="233">
        <f t="shared" si="5"/>
        <v>29</v>
      </c>
      <c r="AS291" s="83">
        <f t="shared" si="5"/>
        <v>18</v>
      </c>
      <c r="AT291" s="83">
        <f t="shared" si="5"/>
        <v>13</v>
      </c>
      <c r="AU291" s="83">
        <f t="shared" si="5"/>
        <v>10</v>
      </c>
      <c r="AV291" s="83">
        <f t="shared" si="5"/>
        <v>6</v>
      </c>
      <c r="AW291" s="83">
        <f t="shared" si="5"/>
        <v>4</v>
      </c>
      <c r="AX291" s="83">
        <f t="shared" si="5"/>
        <v>4</v>
      </c>
      <c r="AY291" s="83">
        <f t="shared" si="5"/>
        <v>3</v>
      </c>
      <c r="AZ291" s="83">
        <f t="shared" si="5"/>
        <v>3</v>
      </c>
      <c r="BA291" s="83">
        <f t="shared" si="5"/>
        <v>3</v>
      </c>
      <c r="BB291" s="122">
        <f t="shared" si="5"/>
        <v>3</v>
      </c>
      <c r="BC291" s="171"/>
      <c r="BD291" s="171"/>
    </row>
    <row r="292" spans="1:56" ht="14.15" customHeight="1">
      <c r="A292" s="54"/>
      <c r="B292" s="54"/>
      <c r="C292" s="54"/>
      <c r="D292" s="54"/>
      <c r="E292" s="54"/>
      <c r="F292" s="569" t="s">
        <v>2669</v>
      </c>
      <c r="G292" s="569"/>
      <c r="H292" s="570" t="s">
        <v>2670</v>
      </c>
      <c r="I292" s="570"/>
      <c r="J292" s="570"/>
      <c r="K292" s="570"/>
      <c r="L292" s="570"/>
      <c r="M292" s="570"/>
      <c r="N292" s="570"/>
      <c r="O292" s="570"/>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c r="AN292" s="54"/>
      <c r="AO292" s="54"/>
      <c r="AP292" s="92"/>
      <c r="AQ292" s="92"/>
      <c r="AR292" s="239"/>
      <c r="AS292" s="83"/>
      <c r="AT292" s="83"/>
      <c r="AU292" s="83"/>
      <c r="AV292" s="83"/>
      <c r="AW292" s="83"/>
      <c r="AX292" s="54"/>
      <c r="AY292" s="54"/>
      <c r="AZ292" s="54"/>
      <c r="BA292" s="54"/>
      <c r="BB292" s="54"/>
      <c r="BC292" s="171"/>
      <c r="BD292" s="171"/>
    </row>
    <row r="293" spans="1:56" ht="14.15" customHeight="1">
      <c r="A293" s="54"/>
      <c r="B293" s="54"/>
      <c r="C293" s="54"/>
      <c r="D293" s="54"/>
      <c r="E293" s="54"/>
      <c r="F293" s="569"/>
      <c r="G293" s="569"/>
      <c r="H293" s="570"/>
      <c r="I293" s="570"/>
      <c r="J293" s="570"/>
      <c r="K293" s="570"/>
      <c r="L293" s="570"/>
      <c r="M293" s="570"/>
      <c r="N293" s="570"/>
      <c r="O293" s="570"/>
      <c r="P293" s="54"/>
      <c r="Q293" s="54"/>
      <c r="R293" s="54"/>
      <c r="S293" s="54"/>
      <c r="T293" s="54"/>
      <c r="U293" s="54"/>
      <c r="V293" s="54"/>
      <c r="W293" s="54"/>
      <c r="X293" s="54"/>
      <c r="Y293" s="54"/>
      <c r="Z293" s="54"/>
      <c r="AA293" s="221" t="s">
        <v>2671</v>
      </c>
      <c r="AB293" s="54"/>
      <c r="AC293" s="54"/>
      <c r="AD293" s="54"/>
      <c r="AE293" s="54"/>
      <c r="AF293" s="54"/>
      <c r="AG293" s="54"/>
      <c r="AH293" s="54"/>
      <c r="AI293" s="54"/>
      <c r="AJ293" s="54"/>
      <c r="AK293" s="54"/>
      <c r="AL293" s="54"/>
      <c r="AM293" s="54"/>
      <c r="AN293" s="54"/>
      <c r="AO293" s="54"/>
      <c r="AP293" s="93"/>
      <c r="AQ293" s="93"/>
      <c r="AR293" s="239"/>
      <c r="AS293" s="83"/>
      <c r="AT293" s="83"/>
      <c r="AU293" s="83"/>
      <c r="AV293" s="83"/>
      <c r="AW293" s="83"/>
      <c r="AX293" s="54"/>
      <c r="AY293" s="54"/>
      <c r="AZ293" s="54"/>
      <c r="BA293" s="54"/>
      <c r="BB293" s="54"/>
      <c r="BC293" s="171"/>
      <c r="BD293" s="171"/>
    </row>
    <row r="294" spans="1:56" ht="14.1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t="s">
        <v>2672</v>
      </c>
      <c r="AB294" s="222"/>
      <c r="AC294" s="54"/>
      <c r="AD294" s="54"/>
      <c r="AE294" s="54"/>
      <c r="AF294" s="54"/>
      <c r="AG294" s="54"/>
      <c r="AH294" s="54"/>
      <c r="AI294" s="54"/>
      <c r="AJ294" s="54"/>
      <c r="AK294" s="54"/>
      <c r="AL294" s="54"/>
      <c r="AM294" s="54"/>
      <c r="AN294" s="54"/>
      <c r="AO294" s="54"/>
      <c r="AP294" s="54" t="s">
        <v>2673</v>
      </c>
      <c r="AQ294" s="94"/>
      <c r="AR294" s="240"/>
      <c r="AS294" s="83"/>
      <c r="AT294" s="83"/>
      <c r="AU294" s="83"/>
      <c r="AV294" s="83"/>
      <c r="AW294" s="83"/>
      <c r="AX294" s="54"/>
      <c r="AY294" s="54"/>
      <c r="AZ294" s="54"/>
      <c r="BA294" s="54"/>
      <c r="BB294" s="54"/>
      <c r="BC294" s="171"/>
      <c r="BD294" s="171"/>
    </row>
    <row r="295" spans="1:56" ht="14.1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223"/>
      <c r="AB295" s="224"/>
      <c r="AC295" s="54"/>
      <c r="AD295" s="54"/>
      <c r="AE295" s="54"/>
      <c r="AF295" s="54"/>
      <c r="AG295" s="54"/>
      <c r="AH295" s="54"/>
      <c r="AI295" s="54"/>
      <c r="AJ295" s="54"/>
      <c r="AK295" s="54"/>
      <c r="AL295" s="54"/>
      <c r="AM295" s="54"/>
      <c r="AN295" s="54"/>
      <c r="AO295" s="54"/>
      <c r="AP295" s="54" t="s">
        <v>2674</v>
      </c>
      <c r="AQ295" s="100"/>
      <c r="AR295" s="240"/>
      <c r="AS295" s="83"/>
      <c r="AT295" s="83"/>
      <c r="AU295" s="83"/>
      <c r="AV295" s="83"/>
      <c r="AW295" s="83"/>
      <c r="AX295" s="54"/>
      <c r="AY295" s="54"/>
      <c r="AZ295" s="54"/>
      <c r="BA295" s="54"/>
      <c r="BB295" s="54"/>
      <c r="BC295" s="171"/>
      <c r="BD295" s="171"/>
    </row>
    <row r="296" spans="1:56" ht="14.1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223"/>
      <c r="AB296" s="223"/>
      <c r="AC296" s="54"/>
      <c r="AD296" s="54"/>
      <c r="AE296" s="54"/>
      <c r="AF296" s="54"/>
      <c r="AG296" s="54"/>
      <c r="AH296" s="54"/>
      <c r="AI296" s="54"/>
      <c r="AJ296" s="54"/>
      <c r="AK296" s="54"/>
      <c r="AL296" s="54"/>
      <c r="AM296" s="54"/>
      <c r="AN296" s="54"/>
      <c r="AO296" s="54"/>
      <c r="AP296" s="54" t="s">
        <v>2675</v>
      </c>
      <c r="AQ296" s="54"/>
      <c r="AR296" s="54"/>
      <c r="AS296" s="54"/>
      <c r="AT296" s="54"/>
      <c r="AU296" s="54"/>
      <c r="AV296" s="54"/>
      <c r="AW296" s="54"/>
      <c r="AX296" s="54"/>
      <c r="AY296" s="54"/>
      <c r="AZ296" s="54"/>
      <c r="BA296" s="54"/>
      <c r="BB296" s="54"/>
      <c r="BC296" s="171"/>
      <c r="BD296" s="171"/>
    </row>
    <row r="297" spans="1:56" ht="14.1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223"/>
      <c r="AB297" s="223"/>
      <c r="AC297" s="54"/>
      <c r="AD297" s="54"/>
      <c r="AE297" s="54"/>
      <c r="AF297" s="54"/>
      <c r="AG297" s="54"/>
      <c r="AH297" s="54"/>
      <c r="AI297" s="54"/>
      <c r="AJ297" s="54"/>
      <c r="AK297" s="54"/>
      <c r="AL297" s="54"/>
      <c r="AM297" s="54"/>
      <c r="AN297" s="54"/>
      <c r="AO297" s="54"/>
      <c r="AP297" s="54" t="s">
        <v>2676</v>
      </c>
      <c r="AQ297" s="54"/>
      <c r="AR297" s="54"/>
      <c r="AS297" s="54"/>
      <c r="AT297" s="54"/>
      <c r="AU297" s="54"/>
      <c r="AV297" s="54"/>
      <c r="AW297" s="54"/>
      <c r="AX297" s="54"/>
      <c r="AY297" s="54"/>
      <c r="AZ297" s="54"/>
      <c r="BA297" s="54"/>
      <c r="BB297" s="54"/>
      <c r="BC297" s="171"/>
      <c r="BD297" s="171"/>
    </row>
    <row r="298" spans="1:56" ht="14.1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223"/>
      <c r="AB298" s="223"/>
      <c r="AC298" s="54"/>
      <c r="AD298" s="54"/>
      <c r="AE298" s="54"/>
      <c r="AF298" s="54"/>
      <c r="AG298" s="54"/>
      <c r="AH298" s="54"/>
      <c r="AI298" s="54"/>
      <c r="AJ298" s="54"/>
      <c r="AK298" s="54"/>
      <c r="AL298" s="54"/>
      <c r="AM298" s="54"/>
      <c r="AN298" s="54"/>
      <c r="AO298" s="54"/>
      <c r="AP298" s="54" t="s">
        <v>2677</v>
      </c>
      <c r="AQ298" s="194"/>
      <c r="AR298" s="54"/>
      <c r="AS298" s="54"/>
      <c r="AT298" s="54"/>
      <c r="AU298" s="54"/>
      <c r="AV298" s="54"/>
      <c r="AW298" s="54"/>
      <c r="AX298" s="54"/>
      <c r="AY298" s="54"/>
      <c r="AZ298" s="54"/>
      <c r="BA298" s="54"/>
      <c r="BB298" s="54"/>
      <c r="BC298" s="171"/>
      <c r="BD298" s="171"/>
    </row>
    <row r="299" spans="1:56" ht="14.15" customHeight="1">
      <c r="A299" s="54"/>
      <c r="B299" s="54"/>
      <c r="C299" s="54"/>
      <c r="D299" s="54"/>
      <c r="E299" s="54"/>
      <c r="F299" s="569" t="s">
        <v>2678</v>
      </c>
      <c r="G299" s="569"/>
      <c r="H299" s="570" t="s">
        <v>2679</v>
      </c>
      <c r="I299" s="570"/>
      <c r="J299" s="570"/>
      <c r="K299" s="570"/>
      <c r="L299" s="570"/>
      <c r="M299" s="570"/>
      <c r="N299" s="570"/>
      <c r="O299" s="570"/>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194"/>
      <c r="AQ299" s="194"/>
      <c r="AR299" s="54"/>
      <c r="AS299" s="54"/>
      <c r="AT299" s="54"/>
      <c r="AU299" s="54"/>
      <c r="AV299" s="54"/>
      <c r="AW299" s="54"/>
      <c r="AX299" s="54"/>
      <c r="AY299" s="54"/>
      <c r="AZ299" s="54"/>
      <c r="BA299" s="54"/>
      <c r="BB299" s="54"/>
      <c r="BC299" s="171"/>
      <c r="BD299" s="171"/>
    </row>
    <row r="300" spans="1:56" ht="14.15" customHeight="1">
      <c r="A300" s="54"/>
      <c r="B300" s="54"/>
      <c r="C300" s="54"/>
      <c r="D300" s="54"/>
      <c r="E300" s="54"/>
      <c r="F300" s="569"/>
      <c r="G300" s="569"/>
      <c r="H300" s="570"/>
      <c r="I300" s="570"/>
      <c r="J300" s="570"/>
      <c r="K300" s="570"/>
      <c r="L300" s="570"/>
      <c r="M300" s="570"/>
      <c r="N300" s="570"/>
      <c r="O300" s="570"/>
      <c r="P300" s="54"/>
      <c r="Q300" s="54"/>
      <c r="R300" s="54"/>
      <c r="S300" s="54"/>
      <c r="T300" s="54"/>
      <c r="U300" s="54"/>
      <c r="V300" s="54"/>
      <c r="W300" s="54"/>
      <c r="X300" s="54"/>
      <c r="Y300" s="54"/>
      <c r="Z300" s="54"/>
      <c r="AA300" s="54" t="s">
        <v>2680</v>
      </c>
      <c r="AB300" s="54"/>
      <c r="AC300" s="54"/>
      <c r="AD300" s="54"/>
      <c r="AE300" s="54"/>
      <c r="AF300" s="54"/>
      <c r="AG300" s="54"/>
      <c r="AH300" s="54"/>
      <c r="AI300" s="54"/>
      <c r="AJ300" s="54"/>
      <c r="AK300" s="54"/>
      <c r="AL300" s="54"/>
      <c r="AM300" s="54"/>
      <c r="AN300" s="54"/>
      <c r="AO300" s="54"/>
      <c r="AP300" s="54"/>
      <c r="AQ300" s="54"/>
      <c r="AR300" s="54"/>
      <c r="AS300" s="54"/>
      <c r="AT300" s="54"/>
      <c r="AU300" s="54"/>
      <c r="AV300" s="54"/>
      <c r="AW300" s="54"/>
      <c r="AX300" s="54"/>
      <c r="AY300" s="54"/>
      <c r="AZ300" s="54"/>
      <c r="BA300" s="54"/>
      <c r="BB300" s="54"/>
      <c r="BC300" s="171"/>
      <c r="BD300" s="171"/>
    </row>
    <row r="301" spans="1:56" ht="14.1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c r="AA301" s="54"/>
      <c r="AB301" s="54"/>
      <c r="AC301" s="54"/>
      <c r="AD301" s="54"/>
      <c r="AE301" s="54"/>
      <c r="AF301" s="54"/>
      <c r="AG301" s="54"/>
      <c r="AH301" s="54"/>
      <c r="AI301" s="54"/>
      <c r="AJ301" s="54"/>
      <c r="AK301" s="54"/>
      <c r="AL301" s="54"/>
      <c r="AM301" s="54"/>
      <c r="AN301" s="54"/>
      <c r="AO301" s="54"/>
      <c r="AP301" s="83"/>
      <c r="AQ301" s="54"/>
      <c r="AR301" s="83"/>
      <c r="AS301" s="83"/>
      <c r="AT301" s="83"/>
      <c r="AU301" s="83"/>
      <c r="AV301" s="83"/>
      <c r="AW301" s="54"/>
      <c r="AX301" s="54"/>
      <c r="AY301" s="54"/>
      <c r="AZ301" s="54"/>
      <c r="BA301" s="54"/>
      <c r="BB301" s="54"/>
      <c r="BC301" s="171"/>
      <c r="BD301" s="171"/>
    </row>
    <row r="302" spans="1:56" ht="14.15" customHeight="1">
      <c r="A302" s="54"/>
      <c r="B302" s="54"/>
      <c r="C302" s="54"/>
      <c r="D302" s="54"/>
      <c r="E302" s="54"/>
      <c r="F302" s="54"/>
      <c r="G302" s="54"/>
      <c r="H302" s="570" t="s">
        <v>2681</v>
      </c>
      <c r="I302" s="570"/>
      <c r="J302" s="570"/>
      <c r="K302" s="570"/>
      <c r="L302" s="570"/>
      <c r="M302" s="570"/>
      <c r="N302" s="570"/>
      <c r="O302" s="570"/>
      <c r="P302" s="54"/>
      <c r="Q302" s="54"/>
      <c r="R302" s="54"/>
      <c r="S302" s="54"/>
      <c r="T302" s="54"/>
      <c r="U302" s="54"/>
      <c r="V302" s="54"/>
      <c r="W302" s="54"/>
      <c r="X302" s="54"/>
      <c r="Y302" s="54"/>
      <c r="Z302" s="54"/>
      <c r="AA302" s="54"/>
      <c r="AB302" s="54"/>
      <c r="AC302" s="54"/>
      <c r="AD302" s="54"/>
      <c r="AE302" s="54"/>
      <c r="AF302" s="54"/>
      <c r="AG302" s="54"/>
      <c r="AH302" s="54"/>
      <c r="AI302" s="54"/>
      <c r="AJ302" s="54"/>
      <c r="AK302" s="54"/>
      <c r="AL302" s="54"/>
      <c r="AM302" s="54"/>
      <c r="AN302" s="54"/>
      <c r="AO302" s="54"/>
      <c r="AP302" s="99"/>
      <c r="AQ302" s="99"/>
      <c r="AR302" s="83"/>
      <c r="AS302" s="83"/>
      <c r="AT302" s="83"/>
      <c r="AU302" s="83"/>
      <c r="AV302" s="83"/>
      <c r="AW302" s="54"/>
      <c r="AX302" s="54"/>
      <c r="AY302" s="54"/>
      <c r="AZ302" s="54"/>
      <c r="BA302" s="54"/>
      <c r="BB302" s="54"/>
      <c r="BC302" s="171"/>
      <c r="BD302" s="171"/>
    </row>
    <row r="303" spans="1:56" ht="14.15" customHeight="1">
      <c r="A303" s="54"/>
      <c r="B303" s="54"/>
      <c r="C303" s="54"/>
      <c r="D303" s="54"/>
      <c r="E303" s="54"/>
      <c r="F303" s="54"/>
      <c r="G303" s="54"/>
      <c r="H303" s="570"/>
      <c r="I303" s="570"/>
      <c r="J303" s="570"/>
      <c r="K303" s="570"/>
      <c r="L303" s="570"/>
      <c r="M303" s="570"/>
      <c r="N303" s="570"/>
      <c r="O303" s="570"/>
      <c r="P303" s="54"/>
      <c r="Q303" s="54"/>
      <c r="R303" s="54"/>
      <c r="S303" s="54"/>
      <c r="T303" s="54"/>
      <c r="U303" s="54"/>
      <c r="V303" s="54"/>
      <c r="W303" s="54"/>
      <c r="X303" s="54"/>
      <c r="Y303" s="569" t="s">
        <v>2682</v>
      </c>
      <c r="Z303" s="569"/>
      <c r="AA303" s="570" t="s">
        <v>2683</v>
      </c>
      <c r="AB303" s="570"/>
      <c r="AC303" s="570"/>
      <c r="AD303" s="570"/>
      <c r="AE303" s="570"/>
      <c r="AF303" s="570"/>
      <c r="AG303" s="570"/>
      <c r="AH303" s="54"/>
      <c r="AI303" s="54"/>
      <c r="AJ303" s="54"/>
      <c r="AK303" s="54"/>
      <c r="AL303" s="54"/>
      <c r="AM303" s="54"/>
      <c r="AN303" s="54"/>
      <c r="AO303" s="54"/>
      <c r="AP303" s="90"/>
      <c r="AQ303" s="90"/>
      <c r="AR303" s="83"/>
      <c r="AS303" s="83"/>
      <c r="AT303" s="83"/>
      <c r="AU303" s="83"/>
      <c r="AV303" s="83"/>
      <c r="AW303" s="54"/>
      <c r="AX303" s="54"/>
      <c r="AY303" s="54"/>
      <c r="AZ303" s="54"/>
      <c r="BA303" s="54"/>
      <c r="BB303" s="54"/>
      <c r="BC303" s="171"/>
      <c r="BD303" s="171"/>
    </row>
    <row r="304" spans="1:56" ht="14.1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69"/>
      <c r="Z304" s="569"/>
      <c r="AA304" s="570"/>
      <c r="AB304" s="570"/>
      <c r="AC304" s="570"/>
      <c r="AD304" s="570"/>
      <c r="AE304" s="570"/>
      <c r="AF304" s="570"/>
      <c r="AG304" s="570"/>
      <c r="AH304" s="54"/>
      <c r="AI304" s="54"/>
      <c r="AJ304" s="54"/>
      <c r="AK304" s="54"/>
      <c r="AL304" s="54"/>
      <c r="AM304" s="54"/>
      <c r="AN304" s="54"/>
      <c r="AO304" s="54"/>
      <c r="AP304" s="91"/>
      <c r="AQ304" s="90"/>
      <c r="AR304" s="83"/>
      <c r="AS304" s="83"/>
      <c r="AT304" s="83"/>
      <c r="AU304" s="83"/>
      <c r="AV304" s="83"/>
      <c r="AW304" s="54"/>
      <c r="AX304" s="54"/>
      <c r="AY304" s="54"/>
      <c r="AZ304" s="54"/>
      <c r="BA304" s="54"/>
      <c r="BB304" s="54"/>
      <c r="BC304" s="171"/>
      <c r="BD304" s="171"/>
    </row>
    <row r="305" spans="1:56" ht="14.15" customHeight="1">
      <c r="A305" s="54"/>
      <c r="B305" s="54"/>
      <c r="C305" s="54"/>
      <c r="D305" s="54"/>
      <c r="E305" s="54"/>
      <c r="F305" s="54"/>
      <c r="G305" s="54"/>
      <c r="H305" s="570" t="s">
        <v>2684</v>
      </c>
      <c r="I305" s="570"/>
      <c r="J305" s="570"/>
      <c r="K305" s="570"/>
      <c r="L305" s="570"/>
      <c r="M305" s="570"/>
      <c r="N305" s="570"/>
      <c r="O305" s="570"/>
      <c r="P305" s="54"/>
      <c r="Q305" s="54"/>
      <c r="R305" s="54"/>
      <c r="S305" s="54"/>
      <c r="T305" s="54"/>
      <c r="U305" s="54"/>
      <c r="V305" s="54"/>
      <c r="W305" s="54"/>
      <c r="X305" s="54"/>
      <c r="Y305" s="54"/>
      <c r="Z305" s="54"/>
      <c r="AA305" s="54"/>
      <c r="AB305" s="54"/>
      <c r="AC305" s="54"/>
      <c r="AD305" s="54"/>
      <c r="AE305" s="54"/>
      <c r="AF305" s="54"/>
      <c r="AG305" s="54"/>
      <c r="AH305" s="54"/>
      <c r="AI305" s="54"/>
      <c r="AJ305" s="54"/>
      <c r="AK305" s="54"/>
      <c r="AL305" s="54"/>
      <c r="AM305" s="54"/>
      <c r="AN305" s="54"/>
      <c r="AO305" s="54"/>
      <c r="AP305" s="91"/>
      <c r="AQ305" s="90"/>
      <c r="AR305" s="83"/>
      <c r="AS305" s="83"/>
      <c r="AT305" s="83"/>
      <c r="AU305" s="83"/>
      <c r="AV305" s="83"/>
      <c r="AW305" s="54"/>
      <c r="AX305" s="54"/>
      <c r="AY305" s="54"/>
      <c r="AZ305" s="54"/>
      <c r="BA305" s="54"/>
      <c r="BB305" s="54"/>
      <c r="BC305" s="171"/>
      <c r="BD305" s="171"/>
    </row>
    <row r="306" spans="1:56" ht="14.15" customHeight="1">
      <c r="A306" s="54"/>
      <c r="B306" s="54"/>
      <c r="C306" s="54"/>
      <c r="D306" s="54"/>
      <c r="E306" s="54"/>
      <c r="F306" s="54"/>
      <c r="G306" s="54"/>
      <c r="H306" s="570"/>
      <c r="I306" s="570"/>
      <c r="J306" s="570"/>
      <c r="K306" s="570"/>
      <c r="L306" s="570"/>
      <c r="M306" s="570"/>
      <c r="N306" s="570"/>
      <c r="O306" s="570"/>
      <c r="P306" s="54"/>
      <c r="Q306" s="54"/>
      <c r="R306" s="54"/>
      <c r="S306" s="54"/>
      <c r="T306" s="54"/>
      <c r="U306" s="54"/>
      <c r="V306" s="54"/>
      <c r="W306" s="54"/>
      <c r="X306" s="54"/>
      <c r="Y306" s="54"/>
      <c r="Z306" s="54"/>
      <c r="AA306" s="54"/>
      <c r="AB306" s="54"/>
      <c r="AC306" s="54"/>
      <c r="AD306" s="54"/>
      <c r="AE306" s="54"/>
      <c r="AF306" s="54"/>
      <c r="AG306" s="54"/>
      <c r="AH306" s="54"/>
      <c r="AI306" s="54"/>
      <c r="AJ306" s="54"/>
      <c r="AK306" s="54"/>
      <c r="AL306" s="54"/>
      <c r="AM306" s="54"/>
      <c r="AN306" s="54"/>
      <c r="AO306" s="54"/>
      <c r="AP306" s="92"/>
      <c r="AQ306" s="92"/>
      <c r="AR306" s="83"/>
      <c r="AS306" s="83"/>
      <c r="AT306" s="83"/>
      <c r="AU306" s="83"/>
      <c r="AV306" s="83"/>
      <c r="AW306" s="54"/>
      <c r="AX306" s="54"/>
      <c r="AY306" s="54"/>
      <c r="AZ306" s="54"/>
      <c r="BA306" s="54"/>
      <c r="BB306" s="54"/>
      <c r="BC306" s="171"/>
      <c r="BD306" s="171"/>
    </row>
    <row r="307" spans="1:56" ht="14.1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c r="AA307" s="54"/>
      <c r="AB307" s="54"/>
      <c r="AC307" s="54"/>
      <c r="AD307" s="54"/>
      <c r="AE307" s="54"/>
      <c r="AF307" s="54"/>
      <c r="AG307" s="54"/>
      <c r="AH307" s="54"/>
      <c r="AI307" s="54"/>
      <c r="AJ307" s="54"/>
      <c r="AK307" s="54"/>
      <c r="AL307" s="54"/>
      <c r="AM307" s="54"/>
      <c r="AN307" s="54"/>
      <c r="AO307" s="236"/>
      <c r="AP307" s="93"/>
      <c r="AQ307" s="93"/>
      <c r="AR307" s="83"/>
      <c r="AS307" s="83"/>
      <c r="AT307" s="83"/>
      <c r="AU307" s="83"/>
      <c r="AV307" s="83"/>
      <c r="AW307" s="54"/>
      <c r="AX307" s="54"/>
      <c r="AY307" s="54"/>
      <c r="AZ307" s="54"/>
      <c r="BA307" s="54"/>
      <c r="BB307" s="54"/>
      <c r="BC307" s="171"/>
      <c r="BD307" s="171"/>
    </row>
    <row r="308" spans="1:56" ht="14.1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c r="AA308" s="54"/>
      <c r="AB308" s="54"/>
      <c r="AC308" s="54"/>
      <c r="AD308" s="54"/>
      <c r="AE308" s="54"/>
      <c r="AF308" s="54"/>
      <c r="AG308" s="54"/>
      <c r="AH308" s="54"/>
      <c r="AI308" s="54"/>
      <c r="AJ308" s="54"/>
      <c r="AK308" s="54"/>
      <c r="AL308" s="54"/>
      <c r="AM308" s="54"/>
      <c r="AN308" s="214"/>
      <c r="AO308" s="54"/>
      <c r="AP308" s="94"/>
      <c r="AQ308" s="94"/>
      <c r="AR308" s="83"/>
      <c r="AS308" s="83"/>
      <c r="AT308" s="83"/>
      <c r="AU308" s="83"/>
      <c r="AV308" s="83"/>
      <c r="AW308" s="54"/>
      <c r="AX308" s="54"/>
      <c r="AY308" s="54"/>
      <c r="AZ308" s="54"/>
      <c r="BA308" s="54"/>
      <c r="BB308" s="54"/>
      <c r="BC308" s="171"/>
      <c r="BD308" s="171"/>
    </row>
    <row r="309" spans="1:56" ht="14.1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c r="AA309" s="54"/>
      <c r="AB309" s="54"/>
      <c r="AC309" s="54"/>
      <c r="AD309" s="54"/>
      <c r="AE309" s="54"/>
      <c r="AF309" s="54"/>
      <c r="AG309" s="54"/>
      <c r="AH309" s="54"/>
      <c r="AI309" s="54"/>
      <c r="AJ309" s="54"/>
      <c r="AK309" s="54"/>
      <c r="AL309" s="54"/>
      <c r="AM309" s="54"/>
      <c r="AN309" s="214"/>
      <c r="AO309" s="54"/>
      <c r="AP309" s="100"/>
      <c r="AQ309" s="100"/>
      <c r="AR309" s="83"/>
      <c r="AS309" s="83"/>
      <c r="AT309" s="83"/>
      <c r="AU309" s="83"/>
      <c r="AV309" s="83"/>
      <c r="AW309" s="54"/>
      <c r="AX309" s="54"/>
      <c r="AY309" s="54"/>
      <c r="AZ309" s="54"/>
      <c r="BA309" s="54"/>
      <c r="BB309" s="54"/>
      <c r="BC309" s="171"/>
      <c r="BD309" s="171"/>
    </row>
    <row r="310" spans="1:56" ht="14.15" customHeight="1">
      <c r="A310" s="54"/>
      <c r="B310" s="54"/>
      <c r="C310" s="54"/>
      <c r="D310" s="54"/>
      <c r="E310" s="54"/>
      <c r="F310" s="569" t="s">
        <v>539</v>
      </c>
      <c r="G310" s="569"/>
      <c r="H310" s="570" t="s">
        <v>2685</v>
      </c>
      <c r="I310" s="570"/>
      <c r="J310" s="570"/>
      <c r="K310" s="570"/>
      <c r="L310" s="570"/>
      <c r="M310" s="570"/>
      <c r="N310" s="570"/>
      <c r="O310" s="570"/>
      <c r="P310" s="54"/>
      <c r="Q310" s="54"/>
      <c r="R310" s="54"/>
      <c r="S310" s="54"/>
      <c r="T310" s="54"/>
      <c r="U310" s="54"/>
      <c r="V310" s="54"/>
      <c r="W310" s="54"/>
      <c r="X310" s="54"/>
      <c r="Y310" s="54"/>
      <c r="Z310" s="54"/>
      <c r="AA310" s="54"/>
      <c r="AB310" s="54"/>
      <c r="AC310" s="54"/>
      <c r="AD310" s="54"/>
      <c r="AE310" s="54"/>
      <c r="AF310" s="54"/>
      <c r="AG310" s="54"/>
      <c r="AH310" s="54"/>
      <c r="AI310" s="54"/>
      <c r="AJ310" s="54"/>
      <c r="AK310" s="54"/>
      <c r="AL310" s="54"/>
      <c r="AM310" s="54"/>
      <c r="AN310" s="214"/>
      <c r="AO310" s="54"/>
      <c r="AP310" s="54"/>
      <c r="AQ310" s="54"/>
      <c r="AR310" s="54"/>
      <c r="AS310" s="54"/>
      <c r="AT310" s="54"/>
      <c r="AU310" s="54"/>
      <c r="AV310" s="54"/>
      <c r="AW310" s="54"/>
      <c r="AX310" s="54"/>
      <c r="AY310" s="54"/>
      <c r="AZ310" s="54"/>
      <c r="BA310" s="54"/>
      <c r="BB310" s="54"/>
      <c r="BC310" s="171"/>
      <c r="BD310" s="171"/>
    </row>
    <row r="311" spans="1:56" ht="14.15" customHeight="1">
      <c r="A311" s="54"/>
      <c r="B311" s="54"/>
      <c r="C311" s="54"/>
      <c r="D311" s="54"/>
      <c r="E311" s="54"/>
      <c r="F311" s="569"/>
      <c r="G311" s="569"/>
      <c r="H311" s="570"/>
      <c r="I311" s="570"/>
      <c r="J311" s="570"/>
      <c r="K311" s="570"/>
      <c r="L311" s="570"/>
      <c r="M311" s="570"/>
      <c r="N311" s="570"/>
      <c r="O311" s="570"/>
      <c r="P311" s="54"/>
      <c r="Q311" s="54"/>
      <c r="R311" s="54"/>
      <c r="S311" s="54"/>
      <c r="T311" s="54"/>
      <c r="U311" s="54"/>
      <c r="V311" s="54"/>
      <c r="W311" s="54"/>
      <c r="X311" s="54"/>
      <c r="Y311" s="569" t="s">
        <v>2686</v>
      </c>
      <c r="Z311" s="569"/>
      <c r="AA311" s="570" t="s">
        <v>2687</v>
      </c>
      <c r="AB311" s="570"/>
      <c r="AC311" s="570"/>
      <c r="AD311" s="570"/>
      <c r="AE311" s="570"/>
      <c r="AF311" s="570"/>
      <c r="AG311" s="570"/>
      <c r="AH311" s="54"/>
      <c r="AI311" s="54"/>
      <c r="AJ311" s="54"/>
      <c r="AK311" s="54"/>
      <c r="AL311" s="54"/>
      <c r="AM311" s="54"/>
      <c r="AN311" s="54"/>
      <c r="AO311" s="54"/>
      <c r="AP311" s="54"/>
      <c r="AQ311" s="54"/>
      <c r="AR311" s="54"/>
      <c r="AS311" s="54"/>
      <c r="AT311" s="54"/>
      <c r="AU311" s="54"/>
      <c r="AV311" s="54"/>
      <c r="AW311" s="54"/>
      <c r="AX311" s="54"/>
      <c r="AY311" s="54"/>
      <c r="AZ311" s="54"/>
      <c r="BA311" s="54"/>
      <c r="BB311" s="54"/>
      <c r="BC311" s="171"/>
      <c r="BD311" s="171"/>
    </row>
    <row r="312" spans="1:56" ht="14.1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69"/>
      <c r="Z312" s="569"/>
      <c r="AA312" s="570"/>
      <c r="AB312" s="570"/>
      <c r="AC312" s="570"/>
      <c r="AD312" s="570"/>
      <c r="AE312" s="570"/>
      <c r="AF312" s="570"/>
      <c r="AG312" s="570"/>
      <c r="AH312" s="54"/>
      <c r="AI312" s="54"/>
      <c r="AJ312" s="54"/>
      <c r="AK312" s="54"/>
      <c r="AL312" s="54"/>
      <c r="AM312" s="54"/>
      <c r="AN312" s="54"/>
      <c r="AO312" s="54"/>
      <c r="AP312" s="54"/>
      <c r="AQ312" s="54"/>
      <c r="AR312" s="54"/>
      <c r="AS312" s="54"/>
      <c r="AT312" s="54"/>
      <c r="AU312" s="54"/>
      <c r="AV312" s="54"/>
      <c r="AW312" s="54"/>
      <c r="AX312" s="54"/>
      <c r="AY312" s="54"/>
      <c r="AZ312" s="54"/>
      <c r="BA312" s="54"/>
      <c r="BB312" s="54"/>
      <c r="BC312" s="171"/>
      <c r="BD312" s="171"/>
    </row>
    <row r="313" spans="1:56" ht="14.15" customHeight="1">
      <c r="A313" s="54"/>
      <c r="B313" s="54"/>
      <c r="C313" s="54"/>
      <c r="D313" s="54"/>
      <c r="E313" s="54"/>
      <c r="F313" s="54"/>
      <c r="G313" s="54"/>
      <c r="H313" s="570" t="s">
        <v>2688</v>
      </c>
      <c r="I313" s="553"/>
      <c r="J313" s="553"/>
      <c r="K313" s="553"/>
      <c r="L313" s="553"/>
      <c r="M313" s="553"/>
      <c r="N313" s="553"/>
      <c r="O313" s="553"/>
      <c r="P313" s="54"/>
      <c r="Q313" s="54"/>
      <c r="R313" s="54"/>
      <c r="S313" s="54"/>
      <c r="T313" s="54"/>
      <c r="U313" s="54"/>
      <c r="V313" s="54"/>
      <c r="W313" s="54"/>
      <c r="X313" s="54"/>
      <c r="Y313" s="54"/>
      <c r="Z313" s="54"/>
      <c r="AA313" s="54"/>
      <c r="AB313" s="54"/>
      <c r="AC313" s="54"/>
      <c r="AD313" s="54"/>
      <c r="AE313" s="54"/>
      <c r="AF313" s="54"/>
      <c r="AG313" s="54"/>
      <c r="AH313" s="54"/>
      <c r="AI313" s="54"/>
      <c r="AJ313" s="54"/>
      <c r="AK313" s="54"/>
      <c r="AL313" s="54"/>
      <c r="AM313" s="54"/>
      <c r="AN313" s="54"/>
      <c r="AO313" s="54"/>
      <c r="AP313" s="54"/>
      <c r="AQ313" s="54"/>
      <c r="AR313" s="54"/>
      <c r="AS313" s="54"/>
      <c r="AT313" s="54"/>
      <c r="AU313" s="54"/>
      <c r="AV313" s="54"/>
      <c r="AW313" s="54"/>
      <c r="AX313" s="54"/>
      <c r="AY313" s="54"/>
      <c r="AZ313" s="54"/>
      <c r="BA313" s="54"/>
      <c r="BB313" s="54"/>
      <c r="BC313" s="171"/>
      <c r="BD313" s="171"/>
    </row>
    <row r="314" spans="1:56" ht="14.15" customHeight="1">
      <c r="A314" s="54"/>
      <c r="B314" s="54"/>
      <c r="C314" s="54"/>
      <c r="D314" s="54"/>
      <c r="E314" s="54"/>
      <c r="F314" s="54"/>
      <c r="G314" s="54"/>
      <c r="H314" s="553"/>
      <c r="I314" s="553"/>
      <c r="J314" s="553"/>
      <c r="K314" s="553"/>
      <c r="L314" s="553"/>
      <c r="M314" s="553"/>
      <c r="N314" s="553"/>
      <c r="O314" s="553"/>
      <c r="P314" s="54"/>
      <c r="Q314" s="54"/>
      <c r="R314" s="54"/>
      <c r="S314" s="54"/>
      <c r="T314" s="54"/>
      <c r="U314" s="54"/>
      <c r="V314" s="54"/>
      <c r="W314" s="54"/>
      <c r="X314" s="54"/>
      <c r="Y314" s="54"/>
      <c r="Z314" s="54"/>
      <c r="AA314" s="54"/>
      <c r="AB314" s="54"/>
      <c r="AC314" s="54"/>
      <c r="AD314" s="54"/>
      <c r="AE314" s="54"/>
      <c r="AF314" s="54"/>
      <c r="AG314" s="54"/>
      <c r="AH314" s="54"/>
      <c r="AI314" s="54"/>
      <c r="AJ314" s="54"/>
      <c r="AK314" s="54"/>
      <c r="AL314" s="54"/>
      <c r="AM314" s="54"/>
      <c r="AN314" s="54"/>
      <c r="AO314" s="54"/>
      <c r="AP314" s="54"/>
      <c r="AQ314" s="54"/>
      <c r="AR314" s="54"/>
      <c r="AS314" s="54"/>
      <c r="AT314" s="54"/>
      <c r="AU314" s="54"/>
      <c r="AV314" s="54"/>
      <c r="AW314" s="54"/>
      <c r="AX314" s="54"/>
      <c r="AY314" s="54"/>
      <c r="AZ314" s="54"/>
      <c r="BA314" s="54"/>
      <c r="BB314" s="54"/>
      <c r="BC314" s="171"/>
      <c r="BD314" s="171"/>
    </row>
    <row r="315" spans="1:56" ht="14.15" customHeight="1">
      <c r="A315" s="54"/>
      <c r="B315" s="54"/>
      <c r="C315" s="54"/>
      <c r="D315" s="54"/>
      <c r="E315" s="54"/>
      <c r="F315" s="54"/>
      <c r="G315" s="54"/>
      <c r="H315" s="553"/>
      <c r="I315" s="553"/>
      <c r="J315" s="553"/>
      <c r="K315" s="553"/>
      <c r="L315" s="553"/>
      <c r="M315" s="553"/>
      <c r="N315" s="553"/>
      <c r="O315" s="553"/>
      <c r="P315" s="54"/>
      <c r="Q315" s="54"/>
      <c r="R315" s="54"/>
      <c r="S315" s="54"/>
      <c r="T315" s="54"/>
      <c r="U315" s="54"/>
      <c r="V315" s="54"/>
      <c r="W315" s="54"/>
      <c r="X315" s="54"/>
      <c r="Y315" s="54"/>
      <c r="Z315" s="54"/>
      <c r="AA315" s="54"/>
      <c r="AB315" s="54"/>
      <c r="AC315" s="54"/>
      <c r="AD315" s="54"/>
      <c r="AE315" s="54"/>
      <c r="AF315" s="54"/>
      <c r="AG315" s="54"/>
      <c r="AH315" s="54"/>
      <c r="AI315" s="54"/>
      <c r="AJ315" s="54"/>
      <c r="AK315" s="54"/>
      <c r="AL315" s="54"/>
      <c r="AM315" s="54"/>
      <c r="AN315" s="54"/>
      <c r="AO315" s="54"/>
      <c r="AP315" s="54"/>
      <c r="AQ315" s="54"/>
      <c r="AR315" s="54"/>
      <c r="AS315" s="54"/>
      <c r="AT315" s="54"/>
      <c r="AU315" s="54"/>
      <c r="AV315" s="54"/>
      <c r="AW315" s="54"/>
      <c r="AX315" s="54"/>
      <c r="AY315" s="54"/>
      <c r="AZ315" s="54"/>
      <c r="BA315" s="54"/>
      <c r="BB315" s="54"/>
      <c r="BC315" s="171"/>
      <c r="BD315" s="171"/>
    </row>
    <row r="316" spans="1:56" ht="14.1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171"/>
      <c r="BD316" s="171"/>
    </row>
    <row r="317" spans="1:56" ht="14.15" customHeight="1">
      <c r="A317" s="54"/>
      <c r="B317" s="54"/>
      <c r="C317" s="54"/>
      <c r="D317" s="54"/>
      <c r="E317" s="54"/>
      <c r="F317" s="54"/>
      <c r="G317" s="54"/>
      <c r="H317" s="553" t="s">
        <v>2689</v>
      </c>
      <c r="I317" s="553"/>
      <c r="J317" s="553"/>
      <c r="K317" s="553"/>
      <c r="L317" s="553"/>
      <c r="M317" s="553"/>
      <c r="N317" s="553"/>
      <c r="O317" s="553"/>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171"/>
      <c r="BD317" s="171"/>
    </row>
    <row r="318" spans="1:56" ht="14.1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69" t="s">
        <v>2690</v>
      </c>
      <c r="Z318" s="569"/>
      <c r="AA318" s="570" t="s">
        <v>2691</v>
      </c>
      <c r="AB318" s="570"/>
      <c r="AC318" s="570"/>
      <c r="AD318" s="570"/>
      <c r="AE318" s="570"/>
      <c r="AF318" s="570"/>
      <c r="AG318" s="570"/>
      <c r="AH318" s="570"/>
      <c r="AI318" s="189"/>
      <c r="AJ318" s="189"/>
      <c r="AK318" s="189"/>
      <c r="AL318" s="54"/>
      <c r="AM318" s="54"/>
      <c r="AN318" s="54"/>
      <c r="AO318" s="54"/>
      <c r="AP318" s="54"/>
      <c r="AQ318" s="54"/>
      <c r="AR318" s="54"/>
      <c r="AS318" s="54"/>
      <c r="AT318" s="54"/>
      <c r="AU318" s="54"/>
      <c r="AV318" s="54"/>
      <c r="AW318" s="54"/>
      <c r="AX318" s="54"/>
      <c r="AY318" s="54"/>
      <c r="AZ318" s="54"/>
      <c r="BA318" s="54"/>
      <c r="BB318" s="54"/>
      <c r="BC318" s="171"/>
      <c r="BD318" s="171"/>
    </row>
    <row r="319" spans="1:56" ht="14.15" customHeight="1">
      <c r="A319" s="54"/>
      <c r="B319" s="54"/>
      <c r="C319" s="54"/>
      <c r="D319" s="54"/>
      <c r="E319" s="54"/>
      <c r="F319" s="54"/>
      <c r="G319" s="54"/>
      <c r="H319" s="570" t="s">
        <v>2692</v>
      </c>
      <c r="I319" s="570"/>
      <c r="J319" s="570"/>
      <c r="K319" s="570"/>
      <c r="L319" s="570"/>
      <c r="M319" s="570"/>
      <c r="N319" s="570"/>
      <c r="O319" s="570"/>
      <c r="P319" s="54"/>
      <c r="Q319" s="54"/>
      <c r="R319" s="54"/>
      <c r="S319" s="54"/>
      <c r="T319" s="54"/>
      <c r="U319" s="54"/>
      <c r="V319" s="54"/>
      <c r="W319" s="54"/>
      <c r="X319" s="54"/>
      <c r="Y319" s="569"/>
      <c r="Z319" s="569"/>
      <c r="AA319" s="570"/>
      <c r="AB319" s="570"/>
      <c r="AC319" s="570"/>
      <c r="AD319" s="570"/>
      <c r="AE319" s="570"/>
      <c r="AF319" s="570"/>
      <c r="AG319" s="570"/>
      <c r="AH319" s="570"/>
      <c r="AI319" s="189"/>
      <c r="AJ319" s="189"/>
      <c r="AK319" s="189"/>
      <c r="AL319" s="54"/>
      <c r="AM319" s="54"/>
      <c r="AN319" s="54"/>
      <c r="AO319" s="54"/>
      <c r="AP319" s="54"/>
      <c r="AQ319" s="54"/>
      <c r="AR319" s="54"/>
      <c r="AS319" s="54"/>
      <c r="AT319" s="54"/>
      <c r="AU319" s="54"/>
      <c r="AV319" s="54"/>
      <c r="AW319" s="54"/>
      <c r="AX319" s="54"/>
      <c r="AY319" s="54"/>
      <c r="AZ319" s="54"/>
      <c r="BA319" s="54"/>
      <c r="BB319" s="54"/>
      <c r="BC319" s="171"/>
      <c r="BD319" s="171"/>
    </row>
    <row r="320" spans="1:56" ht="14.15" customHeight="1">
      <c r="A320" s="54"/>
      <c r="B320" s="54"/>
      <c r="C320" s="54"/>
      <c r="D320" s="54"/>
      <c r="E320" s="54"/>
      <c r="F320" s="54"/>
      <c r="G320" s="54"/>
      <c r="H320" s="570"/>
      <c r="I320" s="570"/>
      <c r="J320" s="570"/>
      <c r="K320" s="570"/>
      <c r="L320" s="570"/>
      <c r="M320" s="570"/>
      <c r="N320" s="570"/>
      <c r="O320" s="570"/>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171"/>
      <c r="BD320" s="171"/>
    </row>
    <row r="321" spans="1:56" ht="14.1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t="s">
        <v>2693</v>
      </c>
      <c r="AB321" s="54"/>
      <c r="AC321" s="54"/>
      <c r="AD321" s="54"/>
      <c r="AE321" s="54"/>
      <c r="AF321" s="54"/>
      <c r="AG321" s="54"/>
      <c r="AH321" s="54"/>
      <c r="AI321" s="54"/>
      <c r="AJ321" s="54"/>
      <c r="AK321" s="54"/>
      <c r="AL321" s="54"/>
      <c r="AM321" s="54"/>
      <c r="AN321" s="54"/>
      <c r="AO321" s="54"/>
      <c r="AP321" s="571" t="s">
        <v>2694</v>
      </c>
      <c r="AQ321" s="571"/>
      <c r="AR321" s="54"/>
      <c r="AS321" s="54"/>
      <c r="AT321" s="54"/>
      <c r="AU321" s="54"/>
      <c r="AV321" s="54"/>
      <c r="AW321" s="54"/>
      <c r="AX321" s="54"/>
      <c r="AY321" s="54"/>
      <c r="AZ321" s="54"/>
      <c r="BA321" s="54"/>
      <c r="BB321" s="54"/>
      <c r="BC321" s="171"/>
      <c r="BD321" s="171"/>
    </row>
    <row r="322" spans="1:56" ht="14.15" customHeight="1">
      <c r="A322" s="54"/>
      <c r="B322" s="54"/>
      <c r="C322" s="54"/>
      <c r="D322" s="54"/>
      <c r="E322" s="54"/>
      <c r="F322" s="54"/>
      <c r="G322" s="54"/>
      <c r="H322" s="54" t="s">
        <v>2695</v>
      </c>
      <c r="I322" s="54"/>
      <c r="J322" s="54"/>
      <c r="K322" s="54"/>
      <c r="L322" s="54"/>
      <c r="M322" s="54"/>
      <c r="N322" s="54"/>
      <c r="O322" s="5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72"/>
      <c r="AQ322" s="572"/>
      <c r="AR322" s="165"/>
      <c r="AS322" s="165"/>
      <c r="AT322" s="165"/>
      <c r="AU322" s="165"/>
      <c r="AV322" s="165"/>
      <c r="AW322" s="165"/>
      <c r="AX322" s="165"/>
      <c r="AY322" s="165"/>
      <c r="AZ322" s="165"/>
      <c r="BA322" s="54"/>
      <c r="BB322" s="54"/>
      <c r="BC322" s="171"/>
      <c r="BD322" s="171"/>
    </row>
    <row r="323" spans="1:56" ht="14.1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t="s">
        <v>2696</v>
      </c>
      <c r="AQ323" s="54"/>
      <c r="AR323" s="54"/>
      <c r="AS323" s="54"/>
      <c r="AT323" s="54"/>
      <c r="AU323" s="54"/>
      <c r="AV323" s="54"/>
      <c r="AW323" s="54"/>
      <c r="AX323" s="54"/>
      <c r="AY323" s="54"/>
      <c r="AZ323" s="54"/>
      <c r="BA323" s="54"/>
      <c r="BB323" s="54"/>
      <c r="BC323" s="171"/>
      <c r="BD323" s="171"/>
    </row>
    <row r="324" spans="1:56" ht="14.1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t="s">
        <v>2697</v>
      </c>
      <c r="AQ324" s="54"/>
      <c r="AR324" s="54"/>
      <c r="AS324" s="54"/>
      <c r="AT324" s="54"/>
      <c r="AU324" s="54"/>
      <c r="AV324" s="54"/>
      <c r="AW324" s="54"/>
      <c r="AX324" s="54"/>
      <c r="AY324" s="54"/>
      <c r="AZ324" s="54"/>
      <c r="BA324" s="54"/>
      <c r="BB324" s="54"/>
      <c r="BC324" s="171"/>
      <c r="BD324" s="171"/>
    </row>
    <row r="325" spans="1:56" ht="14.1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236"/>
      <c r="AP325" s="54"/>
      <c r="AQ325" s="54"/>
      <c r="AR325" s="54"/>
      <c r="AS325" s="54"/>
      <c r="AT325" s="54"/>
      <c r="AU325" s="54"/>
      <c r="AV325" s="54"/>
      <c r="AW325" s="54"/>
      <c r="AX325" s="54"/>
      <c r="AY325" s="54"/>
      <c r="AZ325" s="54"/>
      <c r="BA325" s="54"/>
      <c r="BB325" s="54"/>
      <c r="BC325" s="171"/>
      <c r="BD325" s="171"/>
    </row>
    <row r="326" spans="1:56" ht="14.15" customHeight="1">
      <c r="A326" s="54"/>
      <c r="B326" s="54"/>
      <c r="C326" s="54"/>
      <c r="D326" s="54"/>
      <c r="E326" s="54"/>
      <c r="F326" s="569" t="s">
        <v>540</v>
      </c>
      <c r="G326" s="569"/>
      <c r="H326" s="570" t="s">
        <v>2698</v>
      </c>
      <c r="I326" s="570"/>
      <c r="J326" s="570"/>
      <c r="K326" s="570"/>
      <c r="L326" s="570"/>
      <c r="M326" s="570"/>
      <c r="N326" s="570"/>
      <c r="O326" s="570"/>
      <c r="P326" s="54"/>
      <c r="Q326" s="54"/>
      <c r="R326" s="54"/>
      <c r="S326" s="54"/>
      <c r="T326" s="54"/>
      <c r="U326" s="54"/>
      <c r="V326" s="54"/>
      <c r="W326" s="54"/>
      <c r="X326" s="54"/>
      <c r="Y326" s="571" t="s">
        <v>2699</v>
      </c>
      <c r="Z326" s="571"/>
      <c r="AA326" s="571"/>
      <c r="AB326" s="54"/>
      <c r="AC326" s="571" t="s">
        <v>2700</v>
      </c>
      <c r="AD326" s="571"/>
      <c r="AE326" s="571"/>
      <c r="AF326" s="54"/>
      <c r="AG326" s="54"/>
      <c r="AH326" s="54"/>
      <c r="AI326" s="54"/>
      <c r="AJ326" s="54"/>
      <c r="AK326" s="54"/>
      <c r="AL326" s="54"/>
      <c r="AM326" s="54"/>
      <c r="AN326" s="54"/>
      <c r="AO326" s="236"/>
      <c r="AP326" s="554" t="s">
        <v>2639</v>
      </c>
      <c r="AQ326" s="554"/>
      <c r="AR326" s="554" t="s">
        <v>244</v>
      </c>
      <c r="AS326" s="554"/>
      <c r="AT326" s="554" t="s">
        <v>2701</v>
      </c>
      <c r="AU326" s="554"/>
      <c r="AV326" s="54"/>
      <c r="AW326" s="54"/>
      <c r="AX326" s="54"/>
      <c r="AY326" s="54"/>
      <c r="AZ326" s="54"/>
      <c r="BA326" s="54"/>
      <c r="BB326" s="54"/>
      <c r="BC326" s="171"/>
      <c r="BD326" s="171"/>
    </row>
    <row r="327" spans="1:56" ht="14.15" customHeight="1">
      <c r="A327" s="54"/>
      <c r="B327" s="54"/>
      <c r="C327" s="54"/>
      <c r="D327" s="54"/>
      <c r="E327" s="54"/>
      <c r="F327" s="569"/>
      <c r="G327" s="569"/>
      <c r="H327" s="570"/>
      <c r="I327" s="570"/>
      <c r="J327" s="570"/>
      <c r="K327" s="570"/>
      <c r="L327" s="570"/>
      <c r="M327" s="570"/>
      <c r="N327" s="570"/>
      <c r="O327" s="570"/>
      <c r="P327" s="54"/>
      <c r="Q327" s="54"/>
      <c r="R327" s="54"/>
      <c r="S327" s="54"/>
      <c r="T327" s="54"/>
      <c r="U327" s="54"/>
      <c r="V327" s="54"/>
      <c r="W327" s="54"/>
      <c r="X327" s="54"/>
      <c r="Y327" s="576"/>
      <c r="Z327" s="576"/>
      <c r="AA327" s="576"/>
      <c r="AB327" s="54"/>
      <c r="AC327" s="576"/>
      <c r="AD327" s="576"/>
      <c r="AE327" s="576"/>
      <c r="AF327" s="54"/>
      <c r="AG327" s="54"/>
      <c r="AH327" s="54"/>
      <c r="AI327" s="54"/>
      <c r="AJ327" s="54"/>
      <c r="AK327" s="54"/>
      <c r="AL327" s="54"/>
      <c r="AM327" s="54"/>
      <c r="AN327" s="54"/>
      <c r="AO327" s="54"/>
      <c r="AP327" s="516" t="s">
        <v>1800</v>
      </c>
      <c r="AQ327" s="516"/>
      <c r="AR327" s="516">
        <v>30</v>
      </c>
      <c r="AS327" s="516"/>
      <c r="AT327" s="516">
        <v>2.95</v>
      </c>
      <c r="AU327" s="516"/>
      <c r="AV327" s="54"/>
      <c r="AW327" s="54"/>
      <c r="AX327" s="54"/>
      <c r="AY327" s="54"/>
      <c r="AZ327" s="54"/>
      <c r="BA327" s="54"/>
      <c r="BB327" s="54"/>
      <c r="BC327" s="171"/>
      <c r="BD327" s="171"/>
    </row>
    <row r="328" spans="1:56" ht="14.1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c r="AC328" s="54"/>
      <c r="AD328" s="54"/>
      <c r="AE328" s="54"/>
      <c r="AF328" s="54"/>
      <c r="AG328" s="54"/>
      <c r="AH328" s="54"/>
      <c r="AI328" s="54"/>
      <c r="AJ328" s="54"/>
      <c r="AK328" s="54"/>
      <c r="AL328" s="54"/>
      <c r="AM328" s="54"/>
      <c r="AN328" s="54"/>
      <c r="AO328" s="54"/>
      <c r="AP328" s="516" t="s">
        <v>2702</v>
      </c>
      <c r="AQ328" s="516"/>
      <c r="AR328" s="516">
        <v>50</v>
      </c>
      <c r="AS328" s="516"/>
      <c r="AT328" s="516">
        <v>3.7829999999999999</v>
      </c>
      <c r="AU328" s="516"/>
      <c r="AV328" s="54"/>
      <c r="AW328" s="54"/>
      <c r="AX328" s="54"/>
      <c r="AY328" s="54"/>
      <c r="AZ328" s="54"/>
      <c r="BA328" s="54"/>
      <c r="BB328" s="54"/>
      <c r="BC328" s="171"/>
      <c r="BD328" s="171"/>
    </row>
    <row r="329" spans="1:56" ht="14.15" customHeight="1">
      <c r="A329" s="54"/>
      <c r="B329" s="54"/>
      <c r="C329" s="54"/>
      <c r="D329" s="54"/>
      <c r="E329" s="54"/>
      <c r="F329" s="54"/>
      <c r="G329" s="54"/>
      <c r="H329" s="54" t="s">
        <v>2703</v>
      </c>
      <c r="I329" s="54"/>
      <c r="J329" s="54"/>
      <c r="K329" s="54"/>
      <c r="L329" s="54"/>
      <c r="M329" s="54"/>
      <c r="N329" s="54"/>
      <c r="O329" s="54"/>
      <c r="P329" s="54"/>
      <c r="Q329" s="54"/>
      <c r="R329" s="54"/>
      <c r="S329" s="54"/>
      <c r="T329" s="54"/>
      <c r="U329" s="54"/>
      <c r="V329" s="54"/>
      <c r="W329" s="54"/>
      <c r="X329" s="54"/>
      <c r="Y329" s="247" t="s">
        <v>713</v>
      </c>
      <c r="Z329" s="54">
        <v>270</v>
      </c>
      <c r="AA329" s="54"/>
      <c r="AB329" s="54"/>
      <c r="AC329" s="247" t="s">
        <v>713</v>
      </c>
      <c r="AD329" s="54">
        <v>270</v>
      </c>
      <c r="AE329" s="54"/>
      <c r="AF329" s="54"/>
      <c r="AG329" s="54"/>
      <c r="AH329" s="54"/>
      <c r="AI329" s="54"/>
      <c r="AJ329" s="54"/>
      <c r="AK329" s="54"/>
      <c r="AL329" s="54"/>
      <c r="AM329" s="54"/>
      <c r="AN329" s="54"/>
      <c r="AO329" s="54"/>
      <c r="AP329" s="516" t="s">
        <v>2704</v>
      </c>
      <c r="AQ329" s="516"/>
      <c r="AR329" s="516">
        <v>60</v>
      </c>
      <c r="AS329" s="516"/>
      <c r="AT329" s="516">
        <v>4.1669999999999998</v>
      </c>
      <c r="AU329" s="516"/>
      <c r="AV329" s="54"/>
      <c r="AW329" s="54"/>
      <c r="AX329" s="54"/>
      <c r="AY329" s="54"/>
      <c r="AZ329" s="54"/>
      <c r="BA329" s="54"/>
      <c r="BB329" s="54"/>
      <c r="BC329" s="171"/>
      <c r="BD329" s="171"/>
    </row>
    <row r="330" spans="1:56" ht="14.1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247" t="s">
        <v>879</v>
      </c>
      <c r="Z330" s="54">
        <v>34.549999999999997</v>
      </c>
      <c r="AA330" s="54"/>
      <c r="AB330" s="54"/>
      <c r="AC330" s="247" t="s">
        <v>2705</v>
      </c>
      <c r="AD330" s="54">
        <v>1000000</v>
      </c>
      <c r="AE330" s="54"/>
      <c r="AF330" s="54"/>
      <c r="AG330" s="54"/>
      <c r="AH330" s="54"/>
      <c r="AI330" s="54"/>
      <c r="AJ330" s="54"/>
      <c r="AK330" s="54"/>
      <c r="AL330" s="54"/>
      <c r="AM330" s="54"/>
      <c r="AN330" s="54"/>
      <c r="AO330" s="54"/>
      <c r="AP330" s="516" t="s">
        <v>87</v>
      </c>
      <c r="AQ330" s="516"/>
      <c r="AR330" s="516">
        <v>108</v>
      </c>
      <c r="AS330" s="516"/>
      <c r="AT330" s="516">
        <v>5.3170000000000002</v>
      </c>
      <c r="AU330" s="516"/>
      <c r="AV330" s="54"/>
      <c r="AW330" s="54"/>
      <c r="AX330" s="54"/>
      <c r="AY330" s="54"/>
      <c r="AZ330" s="54"/>
      <c r="BA330" s="54"/>
      <c r="BB330" s="54"/>
      <c r="BC330" s="171"/>
      <c r="BD330" s="171"/>
    </row>
    <row r="331" spans="1:56" ht="14.15" customHeight="1">
      <c r="A331" s="54"/>
      <c r="B331" s="54"/>
      <c r="C331" s="54"/>
      <c r="D331" s="54"/>
      <c r="E331" s="54"/>
      <c r="F331" s="54"/>
      <c r="G331" s="54"/>
      <c r="H331" s="54" t="s">
        <v>2706</v>
      </c>
      <c r="I331" s="54"/>
      <c r="J331" s="54"/>
      <c r="K331" s="54"/>
      <c r="L331" s="54"/>
      <c r="M331" s="54"/>
      <c r="N331" s="54"/>
      <c r="O331" s="54"/>
      <c r="P331" s="54"/>
      <c r="Q331" s="54"/>
      <c r="R331" s="54"/>
      <c r="S331" s="54"/>
      <c r="T331" s="54"/>
      <c r="U331" s="54"/>
      <c r="V331" s="54"/>
      <c r="W331" s="54"/>
      <c r="X331" s="54"/>
      <c r="Y331" s="247"/>
      <c r="Z331" s="54"/>
      <c r="AA331" s="54"/>
      <c r="AB331" s="54"/>
      <c r="AC331" s="247"/>
      <c r="AD331" s="54"/>
      <c r="AE331" s="54"/>
      <c r="AF331" s="54"/>
      <c r="AG331" s="54"/>
      <c r="AH331" s="54"/>
      <c r="AI331" s="54"/>
      <c r="AJ331" s="54"/>
      <c r="AK331" s="54"/>
      <c r="AL331" s="54"/>
      <c r="AM331" s="54"/>
      <c r="AN331" s="54"/>
      <c r="AO331" s="54"/>
      <c r="AP331" s="516" t="s">
        <v>22</v>
      </c>
      <c r="AQ331" s="516"/>
      <c r="AR331" s="516">
        <v>126</v>
      </c>
      <c r="AS331" s="516"/>
      <c r="AT331" s="516">
        <v>5.5670000000000002</v>
      </c>
      <c r="AU331" s="516"/>
      <c r="AV331" s="54"/>
      <c r="AW331" s="54"/>
      <c r="AX331" s="54"/>
      <c r="AY331" s="54"/>
      <c r="AZ331" s="54"/>
      <c r="BA331" s="54"/>
      <c r="BB331" s="54"/>
      <c r="BC331" s="171"/>
      <c r="BD331" s="171"/>
    </row>
    <row r="332" spans="1:56" ht="14.15" customHeight="1">
      <c r="A332" s="54"/>
      <c r="B332" s="54"/>
      <c r="C332" s="54"/>
      <c r="D332" s="54"/>
      <c r="E332" s="54"/>
      <c r="F332" s="54"/>
      <c r="G332" s="54"/>
      <c r="H332" s="54" t="s">
        <v>2707</v>
      </c>
      <c r="I332" s="54"/>
      <c r="J332" s="54"/>
      <c r="K332" s="54"/>
      <c r="L332" s="54"/>
      <c r="M332" s="54"/>
      <c r="N332" s="54"/>
      <c r="O332" s="54"/>
      <c r="P332" s="54"/>
      <c r="Q332" s="54"/>
      <c r="R332" s="54"/>
      <c r="S332" s="54"/>
      <c r="T332" s="54"/>
      <c r="U332" s="54"/>
      <c r="V332" s="54"/>
      <c r="W332" s="54"/>
      <c r="X332" s="54"/>
      <c r="Y332" s="247" t="s">
        <v>2708</v>
      </c>
      <c r="Z332" s="54">
        <f>ROUND(IF(Z330&gt;12,Z329*(Z330-2*12/3),Z329*Z330*Z330*Z330/3/12/12),2)</f>
        <v>7168.5</v>
      </c>
      <c r="AA332" s="54"/>
      <c r="AB332" s="54"/>
      <c r="AC332" s="247" t="s">
        <v>2509</v>
      </c>
      <c r="AD332" s="54">
        <f>ROUND(IF(AD330&gt;AD329*12/3,AD330/AD329+8,POWER(AD330*3*144/AD329,0.3333)),3)</f>
        <v>3711.7040000000002</v>
      </c>
      <c r="AE332" s="54"/>
      <c r="AF332" s="54"/>
      <c r="AG332" s="54"/>
      <c r="AH332" s="54"/>
      <c r="AI332" s="54"/>
      <c r="AJ332" s="54"/>
      <c r="AK332" s="54"/>
      <c r="AL332" s="54"/>
      <c r="AM332" s="54"/>
      <c r="AN332" s="54"/>
      <c r="AO332" s="54"/>
      <c r="AP332" s="516" t="s">
        <v>28</v>
      </c>
      <c r="AQ332" s="516"/>
      <c r="AR332" s="516">
        <v>130</v>
      </c>
      <c r="AS332" s="516"/>
      <c r="AT332" s="516">
        <v>5.6</v>
      </c>
      <c r="AU332" s="516"/>
      <c r="AV332" s="54"/>
      <c r="AW332" s="54"/>
      <c r="AX332" s="54"/>
      <c r="AY332" s="54"/>
      <c r="AZ332" s="54"/>
      <c r="BA332" s="54"/>
      <c r="BB332" s="54"/>
      <c r="BC332" s="171"/>
      <c r="BD332" s="171"/>
    </row>
    <row r="333" spans="1:56" ht="14.15" customHeight="1">
      <c r="A333" s="54"/>
      <c r="B333" s="54"/>
      <c r="C333" s="54"/>
      <c r="D333" s="54"/>
      <c r="E333" s="54"/>
      <c r="F333" s="54"/>
      <c r="G333" s="54"/>
      <c r="H333" s="54" t="s">
        <v>2709</v>
      </c>
      <c r="I333" s="54"/>
      <c r="J333" s="54"/>
      <c r="K333" s="54"/>
      <c r="L333" s="54"/>
      <c r="M333" s="54"/>
      <c r="N333" s="54"/>
      <c r="O333" s="54"/>
      <c r="P333" s="54"/>
      <c r="Q333" s="54"/>
      <c r="R333" s="54"/>
      <c r="S333" s="54"/>
      <c r="T333" s="54"/>
      <c r="U333" s="54"/>
      <c r="V333" s="54"/>
      <c r="W333" s="54"/>
      <c r="X333" s="54"/>
      <c r="Y333" s="54"/>
      <c r="Z333" s="54"/>
      <c r="AA333" s="54"/>
      <c r="AB333" s="54"/>
      <c r="AC333" s="54"/>
      <c r="AD333" s="54"/>
      <c r="AE333" s="54"/>
      <c r="AF333" s="54"/>
      <c r="AG333" s="54"/>
      <c r="AH333" s="54"/>
      <c r="AI333" s="54"/>
      <c r="AJ333" s="54"/>
      <c r="AK333" s="54"/>
      <c r="AL333" s="54"/>
      <c r="AM333" s="54"/>
      <c r="AN333" s="54"/>
      <c r="AO333" s="54"/>
      <c r="AP333" s="516" t="s">
        <v>4</v>
      </c>
      <c r="AQ333" s="516"/>
      <c r="AR333" s="516">
        <v>250</v>
      </c>
      <c r="AS333" s="516"/>
      <c r="AT333" s="516">
        <v>7.2329999999999997</v>
      </c>
      <c r="AU333" s="516"/>
      <c r="AV333" s="54"/>
      <c r="AW333" s="54"/>
      <c r="AX333" s="54"/>
      <c r="AY333" s="54"/>
      <c r="AZ333" s="54"/>
      <c r="BA333" s="54"/>
      <c r="BB333" s="54"/>
      <c r="BC333" s="171"/>
      <c r="BD333" s="171"/>
    </row>
    <row r="334" spans="1:56" ht="14.15" customHeight="1">
      <c r="A334" s="54"/>
      <c r="B334" s="54"/>
      <c r="C334" s="54"/>
      <c r="D334" s="54"/>
      <c r="E334" s="54"/>
      <c r="F334" s="54"/>
      <c r="G334" s="54"/>
      <c r="H334" s="54" t="s">
        <v>2710</v>
      </c>
      <c r="I334" s="54"/>
      <c r="J334" s="54"/>
      <c r="K334" s="54"/>
      <c r="L334" s="54"/>
      <c r="M334" s="54"/>
      <c r="N334" s="54"/>
      <c r="O334" s="54"/>
      <c r="P334" s="54"/>
      <c r="Q334" s="54"/>
      <c r="R334" s="54"/>
      <c r="S334" s="54"/>
      <c r="T334" s="54"/>
      <c r="U334" s="54"/>
      <c r="V334" s="54"/>
      <c r="W334" s="54"/>
      <c r="X334" s="54"/>
      <c r="Y334" s="54"/>
      <c r="Z334" s="54"/>
      <c r="AA334" s="54"/>
      <c r="AB334" s="54"/>
      <c r="AC334" s="54"/>
      <c r="AD334" s="54"/>
      <c r="AE334" s="54"/>
      <c r="AF334" s="54"/>
      <c r="AG334" s="54"/>
      <c r="AH334" s="54"/>
      <c r="AI334" s="54"/>
      <c r="AJ334" s="54"/>
      <c r="AK334" s="54"/>
      <c r="AL334" s="54"/>
      <c r="AM334" s="54"/>
      <c r="AN334" s="54"/>
      <c r="AO334" s="54"/>
      <c r="AP334" s="516" t="s">
        <v>40</v>
      </c>
      <c r="AQ334" s="516"/>
      <c r="AR334" s="516">
        <v>250</v>
      </c>
      <c r="AS334" s="516"/>
      <c r="AT334" s="516">
        <v>7.2329999999999997</v>
      </c>
      <c r="AU334" s="516"/>
      <c r="AV334" s="54"/>
      <c r="AW334" s="54"/>
      <c r="AX334" s="54"/>
      <c r="AY334" s="54"/>
      <c r="AZ334" s="54"/>
      <c r="BA334" s="54"/>
      <c r="BB334" s="54"/>
      <c r="BC334" s="171"/>
      <c r="BD334" s="171"/>
    </row>
    <row r="335" spans="1:56" ht="14.15" customHeight="1">
      <c r="A335" s="54"/>
      <c r="B335" s="54"/>
      <c r="C335" s="54"/>
      <c r="D335" s="54"/>
      <c r="E335" s="54"/>
      <c r="F335" s="54"/>
      <c r="G335" s="54"/>
      <c r="H335" s="54" t="s">
        <v>2711</v>
      </c>
      <c r="I335" s="54"/>
      <c r="J335" s="54"/>
      <c r="K335" s="54"/>
      <c r="L335" s="54"/>
      <c r="M335" s="54"/>
      <c r="N335" s="54"/>
      <c r="O335" s="54"/>
      <c r="P335" s="54"/>
      <c r="Q335" s="54"/>
      <c r="R335" s="54"/>
      <c r="S335" s="54"/>
      <c r="T335" s="54"/>
      <c r="U335" s="54"/>
      <c r="V335" s="54"/>
      <c r="W335" s="54"/>
      <c r="X335" s="54"/>
      <c r="Y335" s="54" t="s">
        <v>2712</v>
      </c>
      <c r="Z335" s="54"/>
      <c r="AA335" s="54"/>
      <c r="AB335" s="54"/>
      <c r="AC335" s="54"/>
      <c r="AD335" s="54"/>
      <c r="AE335" s="54"/>
      <c r="AF335" s="54"/>
      <c r="AG335" s="54"/>
      <c r="AH335" s="54"/>
      <c r="AI335" s="54"/>
      <c r="AJ335" s="54"/>
      <c r="AK335" s="54"/>
      <c r="AL335" s="54"/>
      <c r="AM335" s="54"/>
      <c r="AN335" s="54"/>
      <c r="AO335" s="54"/>
      <c r="AP335" s="516" t="s">
        <v>2713</v>
      </c>
      <c r="AQ335" s="516"/>
      <c r="AR335" s="516">
        <v>320</v>
      </c>
      <c r="AS335" s="516"/>
      <c r="AT335" s="516">
        <v>7.867</v>
      </c>
      <c r="AU335" s="516"/>
      <c r="AV335" s="54"/>
      <c r="AW335" s="54"/>
      <c r="AX335" s="54"/>
      <c r="AY335" s="54"/>
      <c r="AZ335" s="54"/>
      <c r="BA335" s="54"/>
      <c r="BB335" s="54"/>
      <c r="BC335" s="171"/>
      <c r="BD335" s="171"/>
    </row>
    <row r="336" spans="1:56" ht="14.15" customHeight="1">
      <c r="A336" s="54"/>
      <c r="B336" s="54"/>
      <c r="C336" s="54"/>
      <c r="D336" s="54"/>
      <c r="E336" s="54"/>
      <c r="F336" s="54"/>
      <c r="G336" s="54"/>
      <c r="H336" s="54" t="s">
        <v>2714</v>
      </c>
      <c r="I336" s="54"/>
      <c r="J336" s="54"/>
      <c r="K336" s="54"/>
      <c r="L336" s="54"/>
      <c r="M336" s="54"/>
      <c r="N336" s="54"/>
      <c r="O336" s="54"/>
      <c r="P336" s="54"/>
      <c r="Q336" s="54"/>
      <c r="R336" s="54"/>
      <c r="S336" s="54"/>
      <c r="T336" s="54"/>
      <c r="U336" s="54"/>
      <c r="V336" s="54"/>
      <c r="W336" s="54"/>
      <c r="X336" s="54"/>
      <c r="Y336" s="54" t="s">
        <v>2715</v>
      </c>
      <c r="Z336" s="54"/>
      <c r="AA336" s="54"/>
      <c r="AB336" s="54"/>
      <c r="AC336" s="54"/>
      <c r="AD336" s="54"/>
      <c r="AE336" s="54"/>
      <c r="AF336" s="54"/>
      <c r="AG336" s="54"/>
      <c r="AH336" s="54"/>
      <c r="AI336" s="54"/>
      <c r="AJ336" s="54"/>
      <c r="AK336" s="54"/>
      <c r="AL336" s="54"/>
      <c r="AM336" s="54"/>
      <c r="AN336" s="54"/>
      <c r="AO336" s="54"/>
      <c r="AP336" s="516" t="s">
        <v>2716</v>
      </c>
      <c r="AQ336" s="516"/>
      <c r="AR336" s="516">
        <v>440</v>
      </c>
      <c r="AS336" s="516"/>
      <c r="AT336" s="516">
        <v>8.5830000000000002</v>
      </c>
      <c r="AU336" s="516"/>
      <c r="AV336" s="54"/>
      <c r="AW336" s="54"/>
      <c r="AX336" s="54"/>
      <c r="AY336" s="54"/>
      <c r="AZ336" s="54"/>
      <c r="BA336" s="54"/>
      <c r="BB336" s="54"/>
      <c r="BC336" s="171"/>
      <c r="BD336" s="171"/>
    </row>
    <row r="337" spans="1:56" ht="14.15" customHeight="1">
      <c r="A337" s="54"/>
      <c r="B337" s="54"/>
      <c r="C337" s="54"/>
      <c r="D337" s="54"/>
      <c r="E337" s="54"/>
      <c r="F337" s="54"/>
      <c r="G337" s="54"/>
      <c r="H337" s="54" t="s">
        <v>127</v>
      </c>
      <c r="I337" s="54"/>
      <c r="J337" s="54"/>
      <c r="K337" s="54"/>
      <c r="L337" s="54"/>
      <c r="M337" s="54"/>
      <c r="N337" s="54"/>
      <c r="O337" s="54"/>
      <c r="P337" s="54"/>
      <c r="Q337" s="54"/>
      <c r="R337" s="54"/>
      <c r="S337" s="54"/>
      <c r="T337" s="54"/>
      <c r="U337" s="54"/>
      <c r="V337" s="54"/>
      <c r="W337" s="54"/>
      <c r="X337" s="54"/>
      <c r="Y337" s="54"/>
      <c r="Z337" s="54"/>
      <c r="AA337" s="54"/>
      <c r="AB337" s="54"/>
      <c r="AC337" s="54"/>
      <c r="AD337" s="54"/>
      <c r="AE337" s="54"/>
      <c r="AF337" s="54"/>
      <c r="AG337" s="54"/>
      <c r="AH337" s="54"/>
      <c r="AI337" s="54"/>
      <c r="AJ337" s="54"/>
      <c r="AK337" s="54"/>
      <c r="AL337" s="54"/>
      <c r="AM337" s="54"/>
      <c r="AN337" s="54"/>
      <c r="AO337" s="54"/>
      <c r="AP337" s="516" t="s">
        <v>2657</v>
      </c>
      <c r="AQ337" s="516"/>
      <c r="AR337" s="516">
        <v>450</v>
      </c>
      <c r="AS337" s="516"/>
      <c r="AT337" s="516">
        <v>8.6159999999999997</v>
      </c>
      <c r="AU337" s="516"/>
      <c r="AV337" s="54"/>
      <c r="AW337" s="54"/>
      <c r="AX337" s="54"/>
      <c r="AY337" s="54"/>
      <c r="AZ337" s="54"/>
      <c r="BA337" s="54"/>
      <c r="BB337" s="54"/>
      <c r="BC337" s="171"/>
      <c r="BD337" s="171"/>
    </row>
    <row r="338" spans="1:56" ht="14.15" customHeight="1">
      <c r="A338" s="54"/>
      <c r="B338" s="54"/>
      <c r="C338" s="54"/>
      <c r="D338" s="54"/>
      <c r="E338" s="54"/>
      <c r="F338" s="54"/>
      <c r="G338" s="54"/>
      <c r="H338" s="54" t="s">
        <v>2717</v>
      </c>
      <c r="I338" s="54"/>
      <c r="J338" s="54"/>
      <c r="K338" s="54"/>
      <c r="L338" s="54"/>
      <c r="M338" s="54"/>
      <c r="N338" s="54"/>
      <c r="O338" s="54"/>
      <c r="P338" s="54"/>
      <c r="Q338" s="54"/>
      <c r="R338" s="54"/>
      <c r="S338" s="54"/>
      <c r="T338" s="54"/>
      <c r="U338" s="54"/>
      <c r="V338" s="54"/>
      <c r="W338" s="54"/>
      <c r="X338" s="54"/>
      <c r="Y338" s="54"/>
      <c r="Z338" s="54"/>
      <c r="AA338" s="54"/>
      <c r="AB338" s="54"/>
      <c r="AC338" s="54"/>
      <c r="AD338" s="54"/>
      <c r="AE338" s="54"/>
      <c r="AF338" s="54"/>
      <c r="AG338" s="54"/>
      <c r="AH338" s="54"/>
      <c r="AI338" s="54"/>
      <c r="AJ338" s="54"/>
      <c r="AK338" s="54"/>
      <c r="AL338" s="54"/>
      <c r="AM338" s="54"/>
      <c r="AN338" s="54"/>
      <c r="AO338" s="54"/>
      <c r="AP338" s="516" t="s">
        <v>2718</v>
      </c>
      <c r="AQ338" s="516"/>
      <c r="AR338" s="516">
        <v>475</v>
      </c>
      <c r="AS338" s="516"/>
      <c r="AT338" s="516">
        <v>8.7330000000000005</v>
      </c>
      <c r="AU338" s="516"/>
      <c r="AV338" s="54"/>
      <c r="AW338" s="54"/>
      <c r="AX338" s="54"/>
      <c r="AY338" s="54"/>
      <c r="AZ338" s="54"/>
      <c r="BA338" s="54"/>
      <c r="BB338" s="54"/>
      <c r="BC338" s="171"/>
      <c r="BD338" s="171"/>
    </row>
    <row r="339" spans="1:56" ht="14.15" customHeight="1">
      <c r="A339" s="54"/>
      <c r="B339" s="54"/>
      <c r="C339" s="54"/>
      <c r="D339" s="54"/>
      <c r="E339" s="54"/>
      <c r="F339" s="54"/>
      <c r="G339" s="54"/>
      <c r="H339" s="54" t="s">
        <v>2719</v>
      </c>
      <c r="I339" s="54"/>
      <c r="J339" s="54"/>
      <c r="K339" s="54"/>
      <c r="L339" s="54"/>
      <c r="M339" s="54"/>
      <c r="N339" s="54"/>
      <c r="O339" s="54"/>
      <c r="P339" s="54"/>
      <c r="Q339" s="54"/>
      <c r="R339" s="54"/>
      <c r="S339" s="54"/>
      <c r="T339" s="54"/>
      <c r="U339" s="54"/>
      <c r="V339" s="54"/>
      <c r="W339" s="54"/>
      <c r="X339" s="54"/>
      <c r="Y339" s="54"/>
      <c r="Z339" s="54"/>
      <c r="AA339" s="54"/>
      <c r="AB339" s="54"/>
      <c r="AC339" s="54"/>
      <c r="AD339" s="54"/>
      <c r="AE339" s="54"/>
      <c r="AF339" s="54"/>
      <c r="AG339" s="54"/>
      <c r="AH339" s="54"/>
      <c r="AI339" s="54"/>
      <c r="AJ339" s="54"/>
      <c r="AK339" s="54"/>
      <c r="AL339" s="54"/>
      <c r="AM339" s="54"/>
      <c r="AN339" s="54"/>
      <c r="AO339" s="54"/>
      <c r="AP339" s="516" t="s">
        <v>101</v>
      </c>
      <c r="AQ339" s="516"/>
      <c r="AR339" s="516">
        <v>480</v>
      </c>
      <c r="AS339" s="516"/>
      <c r="AT339" s="516">
        <v>8.7669999999999995</v>
      </c>
      <c r="AU339" s="516"/>
      <c r="AV339" s="54"/>
      <c r="AW339" s="54"/>
      <c r="AX339" s="54"/>
      <c r="AY339" s="54"/>
      <c r="AZ339" s="54"/>
      <c r="BA339" s="54"/>
      <c r="BB339" s="54"/>
      <c r="BC339" s="171"/>
      <c r="BD339" s="171"/>
    </row>
    <row r="340" spans="1:56" ht="14.15" customHeight="1">
      <c r="A340" s="54"/>
      <c r="B340" s="54"/>
      <c r="C340" s="54"/>
      <c r="D340" s="54"/>
      <c r="E340" s="54"/>
      <c r="F340" s="54"/>
      <c r="G340" s="54"/>
      <c r="H340" s="54" t="s">
        <v>2720</v>
      </c>
      <c r="I340" s="54"/>
      <c r="J340" s="54"/>
      <c r="K340" s="54"/>
      <c r="L340" s="54"/>
      <c r="M340" s="54"/>
      <c r="N340" s="54"/>
      <c r="O340" s="54"/>
      <c r="P340" s="54"/>
      <c r="Q340" s="54"/>
      <c r="R340" s="54"/>
      <c r="S340" s="54"/>
      <c r="T340" s="54"/>
      <c r="U340" s="54"/>
      <c r="V340" s="54"/>
      <c r="W340" s="54"/>
      <c r="X340" s="54"/>
      <c r="Y340" s="573" t="s">
        <v>41</v>
      </c>
      <c r="Z340" s="573"/>
      <c r="AA340" s="571" t="s">
        <v>2721</v>
      </c>
      <c r="AB340" s="571"/>
      <c r="AC340" s="571"/>
      <c r="AD340" s="571"/>
      <c r="AE340" s="571"/>
      <c r="AF340" s="571"/>
      <c r="AG340" s="571"/>
      <c r="AH340" s="571"/>
      <c r="AI340" s="248"/>
      <c r="AJ340" s="54" t="s">
        <v>2722</v>
      </c>
      <c r="AK340" s="54"/>
      <c r="AL340" s="54"/>
      <c r="AM340" s="54"/>
      <c r="AN340" s="54"/>
      <c r="AO340" s="54"/>
      <c r="AP340" s="516" t="s">
        <v>2723</v>
      </c>
      <c r="AQ340" s="516"/>
      <c r="AR340" s="516">
        <v>500</v>
      </c>
      <c r="AS340" s="516"/>
      <c r="AT340" s="516">
        <v>8.8000000000000007</v>
      </c>
      <c r="AU340" s="516"/>
      <c r="AV340" s="54"/>
      <c r="AW340" s="54"/>
      <c r="AX340" s="54"/>
      <c r="AY340" s="54"/>
      <c r="AZ340" s="54"/>
      <c r="BA340" s="54"/>
      <c r="BB340" s="54"/>
      <c r="BC340" s="171"/>
      <c r="BD340" s="171"/>
    </row>
    <row r="341" spans="1:56" ht="14.15" customHeight="1">
      <c r="A341" s="54"/>
      <c r="B341" s="54"/>
      <c r="C341" s="54"/>
      <c r="D341" s="54"/>
      <c r="E341" s="54"/>
      <c r="F341" s="54"/>
      <c r="G341" s="54"/>
      <c r="H341" s="54"/>
      <c r="I341" s="54"/>
      <c r="J341" s="54"/>
      <c r="K341" s="54"/>
      <c r="L341" s="83"/>
      <c r="M341" s="54"/>
      <c r="N341" s="54"/>
      <c r="O341" s="54"/>
      <c r="P341" s="54"/>
      <c r="Q341" s="54"/>
      <c r="R341" s="54"/>
      <c r="S341" s="54"/>
      <c r="T341" s="54"/>
      <c r="U341" s="54"/>
      <c r="V341" s="54"/>
      <c r="W341" s="54"/>
      <c r="X341" s="54"/>
      <c r="Y341" s="574"/>
      <c r="Z341" s="574"/>
      <c r="AA341" s="572"/>
      <c r="AB341" s="572"/>
      <c r="AC341" s="572"/>
      <c r="AD341" s="572"/>
      <c r="AE341" s="572"/>
      <c r="AF341" s="572"/>
      <c r="AG341" s="572"/>
      <c r="AH341" s="572"/>
      <c r="AI341" s="249"/>
      <c r="AJ341" s="165" t="s">
        <v>2724</v>
      </c>
      <c r="AK341" s="54"/>
      <c r="AL341" s="54"/>
      <c r="AM341" s="54"/>
      <c r="AN341" s="54"/>
      <c r="AO341" s="54"/>
      <c r="AP341" s="516" t="s">
        <v>2725</v>
      </c>
      <c r="AQ341" s="516"/>
      <c r="AR341" s="516">
        <v>500</v>
      </c>
      <c r="AS341" s="516"/>
      <c r="AT341" s="516">
        <v>8.9</v>
      </c>
      <c r="AU341" s="516"/>
      <c r="AV341" s="54"/>
      <c r="AW341" s="54"/>
      <c r="AX341" s="54"/>
      <c r="AY341" s="54"/>
      <c r="AZ341" s="54"/>
      <c r="BA341" s="54"/>
      <c r="BB341" s="54"/>
      <c r="BC341" s="171"/>
      <c r="BD341" s="171"/>
    </row>
    <row r="342" spans="1:56" ht="14.15" customHeight="1">
      <c r="A342" s="54"/>
      <c r="B342" s="54"/>
      <c r="C342" s="54"/>
      <c r="D342" s="54"/>
      <c r="E342" s="54"/>
      <c r="F342" s="54"/>
      <c r="G342" s="54"/>
      <c r="H342" s="54" t="s">
        <v>2726</v>
      </c>
      <c r="I342" s="54"/>
      <c r="J342" s="54"/>
      <c r="K342" s="54"/>
      <c r="L342" s="83"/>
      <c r="M342" s="54"/>
      <c r="N342" s="54"/>
      <c r="O342" s="54"/>
      <c r="P342" s="54"/>
      <c r="Q342" s="54"/>
      <c r="R342" s="54"/>
      <c r="S342" s="54"/>
      <c r="T342" s="54"/>
      <c r="U342" s="54"/>
      <c r="V342" s="54"/>
      <c r="W342" s="54"/>
      <c r="X342" s="54"/>
      <c r="Y342" s="54"/>
      <c r="Z342" s="54"/>
      <c r="AA342" s="54"/>
      <c r="AB342" s="54"/>
      <c r="AC342" s="54"/>
      <c r="AD342" s="54"/>
      <c r="AE342" s="54"/>
      <c r="AF342" s="54"/>
      <c r="AG342" s="54"/>
      <c r="AH342" s="54"/>
      <c r="AI342" s="54"/>
      <c r="AJ342" s="54"/>
      <c r="AK342" s="54"/>
      <c r="AL342" s="54"/>
      <c r="AM342" s="54"/>
      <c r="AN342" s="54"/>
      <c r="AO342" s="54"/>
      <c r="AP342" s="516" t="s">
        <v>2727</v>
      </c>
      <c r="AQ342" s="516"/>
      <c r="AR342" s="516">
        <v>550</v>
      </c>
      <c r="AS342" s="516"/>
      <c r="AT342" s="516">
        <v>9.1170000000000009</v>
      </c>
      <c r="AU342" s="516"/>
      <c r="AV342" s="54"/>
      <c r="AW342" s="54"/>
      <c r="AX342" s="54"/>
      <c r="AY342" s="54"/>
      <c r="AZ342" s="54"/>
      <c r="BA342" s="54"/>
      <c r="BB342" s="54"/>
      <c r="BC342" s="171"/>
      <c r="BD342" s="171"/>
    </row>
    <row r="343" spans="1:56" ht="14.15" customHeight="1">
      <c r="A343" s="54"/>
      <c r="B343" s="54"/>
      <c r="C343" s="54"/>
      <c r="D343" s="54"/>
      <c r="E343" s="54"/>
      <c r="F343" s="54"/>
      <c r="G343" s="54"/>
      <c r="H343" s="54"/>
      <c r="I343" s="54"/>
      <c r="J343" s="54"/>
      <c r="K343" s="54"/>
      <c r="L343" s="244"/>
      <c r="M343" s="54"/>
      <c r="N343" s="54"/>
      <c r="O343" s="54"/>
      <c r="P343" s="54"/>
      <c r="Q343" s="54"/>
      <c r="R343" s="54"/>
      <c r="S343" s="54"/>
      <c r="T343" s="54"/>
      <c r="U343" s="54"/>
      <c r="V343" s="54"/>
      <c r="W343" s="54"/>
      <c r="X343" s="54"/>
      <c r="Y343" s="54" t="s">
        <v>2728</v>
      </c>
      <c r="Z343" s="54"/>
      <c r="AA343" s="54"/>
      <c r="AB343" s="54"/>
      <c r="AC343" s="54"/>
      <c r="AD343" s="54"/>
      <c r="AE343" s="54"/>
      <c r="AF343" s="54"/>
      <c r="AG343" s="54"/>
      <c r="AH343" s="54"/>
      <c r="AI343" s="54"/>
      <c r="AJ343" s="54"/>
      <c r="AK343" s="54"/>
      <c r="AL343" s="54"/>
      <c r="AM343" s="54"/>
      <c r="AN343" s="54"/>
      <c r="AO343" s="54"/>
      <c r="AP343" s="516" t="s">
        <v>2729</v>
      </c>
      <c r="AQ343" s="516"/>
      <c r="AR343" s="516">
        <v>1040</v>
      </c>
      <c r="AS343" s="516"/>
      <c r="AT343" s="516">
        <v>10.75</v>
      </c>
      <c r="AU343" s="516"/>
      <c r="AV343" s="54"/>
      <c r="AW343" s="54"/>
      <c r="AX343" s="54"/>
      <c r="AY343" s="54"/>
      <c r="AZ343" s="54"/>
      <c r="BA343" s="54"/>
      <c r="BB343" s="54"/>
      <c r="BC343" s="171"/>
      <c r="BD343" s="171"/>
    </row>
    <row r="344" spans="1:56" ht="14.15" customHeight="1">
      <c r="A344" s="54"/>
      <c r="B344" s="54"/>
      <c r="C344" s="54"/>
      <c r="D344" s="54"/>
      <c r="E344" s="54"/>
      <c r="F344" s="54"/>
      <c r="G344" s="54"/>
      <c r="H344" s="83"/>
      <c r="I344" s="244"/>
      <c r="J344" s="54"/>
      <c r="K344" s="83"/>
      <c r="L344" s="244"/>
      <c r="M344" s="54"/>
      <c r="N344" s="54"/>
      <c r="O344" s="54"/>
      <c r="P344" s="54"/>
      <c r="Q344" s="54"/>
      <c r="R344" s="54"/>
      <c r="S344" s="54"/>
      <c r="T344" s="54"/>
      <c r="U344" s="54"/>
      <c r="V344" s="54"/>
      <c r="W344" s="54"/>
      <c r="X344" s="54"/>
      <c r="Y344" s="54"/>
      <c r="Z344" s="54"/>
      <c r="AA344" s="54"/>
      <c r="AB344" s="54"/>
      <c r="AC344" s="54"/>
      <c r="AD344" s="54"/>
      <c r="AE344" s="54"/>
      <c r="AF344" s="54"/>
      <c r="AG344" s="54"/>
      <c r="AH344" s="54"/>
      <c r="AI344" s="54"/>
      <c r="AJ344" s="54"/>
      <c r="AK344" s="54"/>
      <c r="AL344" s="54"/>
      <c r="AM344" s="54"/>
      <c r="AN344" s="54"/>
      <c r="AO344" s="54"/>
      <c r="AP344" s="516" t="s">
        <v>2730</v>
      </c>
      <c r="AQ344" s="516"/>
      <c r="AR344" s="516">
        <v>1040</v>
      </c>
      <c r="AS344" s="516"/>
      <c r="AT344" s="516">
        <v>10.75</v>
      </c>
      <c r="AU344" s="516"/>
      <c r="AV344" s="54"/>
      <c r="AW344" s="54"/>
      <c r="AX344" s="54"/>
      <c r="AY344" s="54"/>
      <c r="AZ344" s="54"/>
      <c r="BA344" s="54"/>
      <c r="BB344" s="54"/>
      <c r="BC344" s="171"/>
      <c r="BD344" s="171"/>
    </row>
    <row r="345" spans="1:56" ht="14.15" customHeight="1">
      <c r="A345" s="54"/>
      <c r="B345" s="54"/>
      <c r="C345" s="54"/>
      <c r="D345" s="54"/>
      <c r="E345" s="54"/>
      <c r="F345" s="569" t="s">
        <v>2731</v>
      </c>
      <c r="G345" s="569"/>
      <c r="H345" s="570" t="s">
        <v>2732</v>
      </c>
      <c r="I345" s="570"/>
      <c r="J345" s="570"/>
      <c r="K345" s="570"/>
      <c r="L345" s="570"/>
      <c r="M345" s="570"/>
      <c r="N345" s="570"/>
      <c r="O345" s="570"/>
      <c r="P345" s="54"/>
      <c r="Q345" s="54"/>
      <c r="R345" s="54"/>
      <c r="S345" s="54"/>
      <c r="T345" s="54"/>
      <c r="U345" s="54"/>
      <c r="V345" s="54"/>
      <c r="W345" s="54"/>
      <c r="X345" s="54"/>
      <c r="Y345" s="569" t="s">
        <v>2733</v>
      </c>
      <c r="Z345" s="569"/>
      <c r="AA345" s="570" t="s">
        <v>2734</v>
      </c>
      <c r="AB345" s="570"/>
      <c r="AC345" s="570"/>
      <c r="AD345" s="570"/>
      <c r="AE345" s="570"/>
      <c r="AF345" s="570"/>
      <c r="AG345" s="570"/>
      <c r="AH345" s="570"/>
      <c r="AI345" s="54"/>
      <c r="AJ345" s="54"/>
      <c r="AK345" s="54"/>
      <c r="AL345" s="54"/>
      <c r="AM345" s="54"/>
      <c r="AN345" s="214"/>
      <c r="AO345" s="214"/>
      <c r="AP345" s="516" t="s">
        <v>2735</v>
      </c>
      <c r="AQ345" s="516"/>
      <c r="AR345" s="516">
        <v>1080</v>
      </c>
      <c r="AS345" s="516"/>
      <c r="AT345" s="516">
        <v>10.867000000000001</v>
      </c>
      <c r="AU345" s="516"/>
      <c r="AV345" s="214"/>
      <c r="AW345" s="214"/>
      <c r="AX345" s="54"/>
      <c r="AY345" s="54"/>
      <c r="AZ345" s="54"/>
      <c r="BA345" s="54"/>
      <c r="BB345" s="54"/>
      <c r="BC345" s="171"/>
      <c r="BD345" s="171"/>
    </row>
    <row r="346" spans="1:56" ht="14.15" customHeight="1">
      <c r="A346" s="54"/>
      <c r="B346" s="54"/>
      <c r="C346" s="54"/>
      <c r="D346" s="54"/>
      <c r="E346" s="54"/>
      <c r="F346" s="569"/>
      <c r="G346" s="569"/>
      <c r="H346" s="570"/>
      <c r="I346" s="570"/>
      <c r="J346" s="570"/>
      <c r="K346" s="570"/>
      <c r="L346" s="570"/>
      <c r="M346" s="570"/>
      <c r="N346" s="570"/>
      <c r="O346" s="570"/>
      <c r="P346" s="54"/>
      <c r="Q346" s="54"/>
      <c r="R346" s="54"/>
      <c r="S346" s="54"/>
      <c r="T346" s="54"/>
      <c r="U346" s="54"/>
      <c r="V346" s="54"/>
      <c r="W346" s="54"/>
      <c r="X346" s="54"/>
      <c r="Y346" s="569"/>
      <c r="Z346" s="569"/>
      <c r="AA346" s="570"/>
      <c r="AB346" s="570"/>
      <c r="AC346" s="570"/>
      <c r="AD346" s="570"/>
      <c r="AE346" s="570"/>
      <c r="AF346" s="570"/>
      <c r="AG346" s="570"/>
      <c r="AH346" s="570"/>
      <c r="AI346" s="54"/>
      <c r="AJ346" s="54"/>
      <c r="AK346" s="54"/>
      <c r="AL346" s="54"/>
      <c r="AM346" s="54"/>
      <c r="AN346" s="54"/>
      <c r="AO346" s="54"/>
      <c r="AP346" s="516" t="s">
        <v>2736</v>
      </c>
      <c r="AQ346" s="516"/>
      <c r="AR346" s="516">
        <v>1100</v>
      </c>
      <c r="AS346" s="516"/>
      <c r="AT346" s="516">
        <v>10.9</v>
      </c>
      <c r="AU346" s="516"/>
      <c r="AV346" s="54"/>
      <c r="AW346" s="54"/>
      <c r="AX346" s="54"/>
      <c r="AY346" s="54"/>
      <c r="AZ346" s="54"/>
      <c r="BA346" s="54"/>
      <c r="BB346" s="54"/>
      <c r="BC346" s="171"/>
      <c r="BD346" s="171"/>
    </row>
    <row r="347" spans="1:56" ht="14.1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c r="AC347" s="54"/>
      <c r="AD347" s="54"/>
      <c r="AE347" s="54"/>
      <c r="AF347" s="54"/>
      <c r="AG347" s="54"/>
      <c r="AH347" s="54"/>
      <c r="AI347" s="54"/>
      <c r="AJ347" s="54"/>
      <c r="AK347" s="54"/>
      <c r="AL347" s="54"/>
      <c r="AM347" s="54"/>
      <c r="AN347" s="54"/>
      <c r="AO347" s="54"/>
      <c r="AP347" s="516" t="s">
        <v>2646</v>
      </c>
      <c r="AQ347" s="516"/>
      <c r="AR347" s="516">
        <v>1200</v>
      </c>
      <c r="AS347" s="516"/>
      <c r="AT347" s="516">
        <v>11.266999999999999</v>
      </c>
      <c r="AU347" s="516"/>
      <c r="AV347" s="54"/>
      <c r="AW347" s="54"/>
      <c r="AX347" s="54"/>
      <c r="AY347" s="54"/>
      <c r="AZ347" s="54"/>
      <c r="BA347" s="54"/>
      <c r="BB347" s="54"/>
      <c r="BC347" s="171"/>
      <c r="BD347" s="171"/>
    </row>
    <row r="348" spans="1:56" ht="14.15" customHeight="1">
      <c r="A348" s="54"/>
      <c r="B348" s="54"/>
      <c r="C348" s="54"/>
      <c r="D348" s="54"/>
      <c r="E348" s="54"/>
      <c r="F348" s="569" t="s">
        <v>2737</v>
      </c>
      <c r="G348" s="569"/>
      <c r="H348" s="570" t="s">
        <v>2738</v>
      </c>
      <c r="I348" s="570"/>
      <c r="J348" s="570"/>
      <c r="K348" s="570"/>
      <c r="L348" s="570"/>
      <c r="M348" s="570"/>
      <c r="N348" s="570"/>
      <c r="O348" s="570"/>
      <c r="P348" s="54"/>
      <c r="Q348" s="54"/>
      <c r="R348" s="54"/>
      <c r="S348" s="54"/>
      <c r="T348" s="54"/>
      <c r="U348" s="54"/>
      <c r="V348" s="54"/>
      <c r="W348" s="54"/>
      <c r="X348" s="54"/>
      <c r="Y348" s="569" t="s">
        <v>2739</v>
      </c>
      <c r="Z348" s="569"/>
      <c r="AA348" s="570" t="s">
        <v>2740</v>
      </c>
      <c r="AB348" s="570"/>
      <c r="AC348" s="570"/>
      <c r="AD348" s="570"/>
      <c r="AE348" s="570"/>
      <c r="AF348" s="570"/>
      <c r="AG348" s="570"/>
      <c r="AH348" s="570"/>
      <c r="AI348" s="54"/>
      <c r="AJ348" s="54"/>
      <c r="AK348" s="54"/>
      <c r="AL348" s="54"/>
      <c r="AM348" s="54"/>
      <c r="AN348" s="54"/>
      <c r="AO348" s="54"/>
      <c r="AP348" s="516" t="s">
        <v>2741</v>
      </c>
      <c r="AQ348" s="516"/>
      <c r="AR348" s="516">
        <v>1680</v>
      </c>
      <c r="AS348" s="516"/>
      <c r="AT348" s="516">
        <v>12.867000000000001</v>
      </c>
      <c r="AU348" s="516"/>
      <c r="AV348" s="54"/>
      <c r="AW348" s="54"/>
      <c r="AX348" s="54"/>
      <c r="AY348" s="54"/>
      <c r="AZ348" s="54"/>
      <c r="BA348" s="54"/>
      <c r="BB348" s="54"/>
      <c r="BC348" s="171"/>
      <c r="BD348" s="171"/>
    </row>
    <row r="349" spans="1:56" ht="14.15" customHeight="1">
      <c r="A349" s="54"/>
      <c r="B349" s="54"/>
      <c r="C349" s="54"/>
      <c r="D349" s="54"/>
      <c r="E349" s="54"/>
      <c r="F349" s="569"/>
      <c r="G349" s="569"/>
      <c r="H349" s="570"/>
      <c r="I349" s="570"/>
      <c r="J349" s="570"/>
      <c r="K349" s="570"/>
      <c r="L349" s="570"/>
      <c r="M349" s="570"/>
      <c r="N349" s="570"/>
      <c r="O349" s="570"/>
      <c r="P349" s="54"/>
      <c r="Q349" s="54"/>
      <c r="R349" s="54"/>
      <c r="S349" s="54"/>
      <c r="T349" s="54"/>
      <c r="U349" s="54"/>
      <c r="V349" s="54"/>
      <c r="W349" s="54"/>
      <c r="X349" s="54"/>
      <c r="Y349" s="569"/>
      <c r="Z349" s="569"/>
      <c r="AA349" s="570"/>
      <c r="AB349" s="570"/>
      <c r="AC349" s="570"/>
      <c r="AD349" s="570"/>
      <c r="AE349" s="570"/>
      <c r="AF349" s="570"/>
      <c r="AG349" s="570"/>
      <c r="AH349" s="570"/>
      <c r="AI349" s="54"/>
      <c r="AJ349" s="54"/>
      <c r="AK349" s="54"/>
      <c r="AL349" s="54"/>
      <c r="AM349" s="54"/>
      <c r="AN349" s="54"/>
      <c r="AO349" s="54"/>
      <c r="AP349" s="516" t="s">
        <v>2742</v>
      </c>
      <c r="AQ349" s="516"/>
      <c r="AR349" s="516">
        <v>1700</v>
      </c>
      <c r="AS349" s="516"/>
      <c r="AT349" s="516">
        <v>12.933</v>
      </c>
      <c r="AU349" s="516"/>
      <c r="AV349" s="54"/>
      <c r="AW349" s="54"/>
      <c r="AX349" s="54"/>
      <c r="AY349" s="54"/>
      <c r="AZ349" s="54"/>
      <c r="BA349" s="54"/>
      <c r="BB349" s="54"/>
      <c r="BC349" s="171"/>
      <c r="BD349" s="171"/>
    </row>
    <row r="350" spans="1:56" ht="14.1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70" t="s">
        <v>2743</v>
      </c>
      <c r="AB350" s="570"/>
      <c r="AC350" s="570"/>
      <c r="AD350" s="570"/>
      <c r="AE350" s="570"/>
      <c r="AF350" s="570"/>
      <c r="AG350" s="570"/>
      <c r="AH350" s="570"/>
      <c r="AI350" s="54"/>
      <c r="AJ350" s="54"/>
      <c r="AK350" s="54"/>
      <c r="AL350" s="54"/>
      <c r="AM350" s="54"/>
      <c r="AN350" s="54"/>
      <c r="AO350" s="54"/>
      <c r="AP350" s="516" t="s">
        <v>45</v>
      </c>
      <c r="AQ350" s="516"/>
      <c r="AR350" s="516">
        <v>1700</v>
      </c>
      <c r="AS350" s="516"/>
      <c r="AT350" s="516">
        <v>12.933</v>
      </c>
      <c r="AU350" s="516"/>
      <c r="AV350" s="54"/>
      <c r="AW350" s="54"/>
      <c r="AX350" s="54"/>
      <c r="AY350" s="54"/>
      <c r="AZ350" s="54"/>
      <c r="BA350" s="54"/>
      <c r="BB350" s="54"/>
      <c r="BC350" s="171"/>
      <c r="BD350" s="171"/>
    </row>
    <row r="351" spans="1:56" ht="14.15" customHeight="1">
      <c r="A351" s="54"/>
      <c r="B351" s="54"/>
      <c r="C351" s="54"/>
      <c r="D351" s="54"/>
      <c r="E351" s="54"/>
      <c r="F351" s="54"/>
      <c r="G351" s="54"/>
      <c r="H351" s="54" t="s">
        <v>2744</v>
      </c>
      <c r="I351" s="54"/>
      <c r="J351" s="54"/>
      <c r="K351" s="54"/>
      <c r="L351" s="54"/>
      <c r="M351" s="54"/>
      <c r="N351" s="54"/>
      <c r="O351" s="54"/>
      <c r="P351" s="54"/>
      <c r="Q351" s="54"/>
      <c r="R351" s="54"/>
      <c r="S351" s="54"/>
      <c r="T351" s="54"/>
      <c r="U351" s="54"/>
      <c r="V351" s="54"/>
      <c r="W351" s="54"/>
      <c r="X351" s="54"/>
      <c r="Y351" s="54"/>
      <c r="Z351" s="54"/>
      <c r="AA351" s="570"/>
      <c r="AB351" s="570"/>
      <c r="AC351" s="570"/>
      <c r="AD351" s="570"/>
      <c r="AE351" s="570"/>
      <c r="AF351" s="570"/>
      <c r="AG351" s="570"/>
      <c r="AH351" s="570"/>
      <c r="AI351" s="54"/>
      <c r="AJ351" s="54"/>
      <c r="AK351" s="54"/>
      <c r="AL351" s="54"/>
      <c r="AM351" s="54"/>
      <c r="AN351" s="54"/>
      <c r="AO351" s="54"/>
      <c r="AP351" s="516" t="s">
        <v>93</v>
      </c>
      <c r="AQ351" s="516"/>
      <c r="AR351" s="516">
        <v>1900</v>
      </c>
      <c r="AS351" s="516"/>
      <c r="AT351" s="516">
        <v>13.45</v>
      </c>
      <c r="AU351" s="516"/>
      <c r="AV351" s="54"/>
      <c r="AW351" s="54"/>
      <c r="AX351" s="54"/>
      <c r="AY351" s="54"/>
      <c r="AZ351" s="54"/>
      <c r="BA351" s="54"/>
      <c r="BB351" s="54"/>
      <c r="BC351" s="171"/>
      <c r="BD351" s="171"/>
    </row>
    <row r="352" spans="1:56" ht="14.15" customHeight="1">
      <c r="A352" s="54"/>
      <c r="B352" s="54"/>
      <c r="C352" s="54"/>
      <c r="D352" s="54"/>
      <c r="E352" s="54"/>
      <c r="F352" s="54"/>
      <c r="G352" s="54"/>
      <c r="H352" s="54" t="s">
        <v>2745</v>
      </c>
      <c r="I352" s="54"/>
      <c r="J352" s="54"/>
      <c r="K352" s="54"/>
      <c r="L352" s="54"/>
      <c r="M352" s="54"/>
      <c r="N352" s="54"/>
      <c r="O352" s="54"/>
      <c r="P352" s="54"/>
      <c r="Q352" s="54"/>
      <c r="R352" s="54"/>
      <c r="S352" s="54"/>
      <c r="T352" s="54"/>
      <c r="U352" s="54"/>
      <c r="V352" s="54"/>
      <c r="W352" s="54"/>
      <c r="X352" s="54"/>
      <c r="Y352" s="54"/>
      <c r="Z352" s="54"/>
      <c r="AA352" s="54"/>
      <c r="AB352" s="54"/>
      <c r="AC352" s="54"/>
      <c r="AD352" s="54"/>
      <c r="AE352" s="54"/>
      <c r="AF352" s="54"/>
      <c r="AG352" s="54"/>
      <c r="AH352" s="54"/>
      <c r="AI352" s="54"/>
      <c r="AJ352" s="54"/>
      <c r="AK352" s="54"/>
      <c r="AL352" s="54"/>
      <c r="AM352" s="54"/>
      <c r="AN352" s="54"/>
      <c r="AO352" s="54"/>
      <c r="AP352" s="516" t="s">
        <v>2746</v>
      </c>
      <c r="AQ352" s="516"/>
      <c r="AR352" s="516">
        <v>1900</v>
      </c>
      <c r="AS352" s="516"/>
      <c r="AT352" s="516">
        <v>13.583</v>
      </c>
      <c r="AU352" s="516"/>
      <c r="AV352" s="54"/>
      <c r="AW352" s="54"/>
      <c r="AX352" s="54"/>
      <c r="AY352" s="54"/>
      <c r="AZ352" s="54"/>
      <c r="BA352" s="54"/>
      <c r="BB352" s="54"/>
      <c r="BC352" s="171"/>
      <c r="BD352" s="171"/>
    </row>
    <row r="353" spans="1:56" ht="14.1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c r="AG353" s="54"/>
      <c r="AH353" s="54"/>
      <c r="AI353" s="54"/>
      <c r="AJ353" s="54"/>
      <c r="AK353" s="54"/>
      <c r="AL353" s="54"/>
      <c r="AM353" s="54"/>
      <c r="AN353" s="54"/>
      <c r="AO353" s="54"/>
      <c r="AP353" s="516" t="s">
        <v>16</v>
      </c>
      <c r="AQ353" s="516"/>
      <c r="AR353" s="516">
        <v>2000</v>
      </c>
      <c r="AS353" s="516"/>
      <c r="AT353" s="516">
        <v>13.95</v>
      </c>
      <c r="AU353" s="516"/>
      <c r="AV353" s="54"/>
      <c r="AW353" s="54"/>
      <c r="AX353" s="54"/>
      <c r="AY353" s="54"/>
      <c r="AZ353" s="54"/>
      <c r="BA353" s="54"/>
      <c r="BB353" s="54"/>
      <c r="BC353" s="171"/>
      <c r="BD353" s="171"/>
    </row>
    <row r="354" spans="1:56" ht="14.15" customHeight="1">
      <c r="A354" s="54"/>
      <c r="B354" s="54"/>
      <c r="C354" s="54"/>
      <c r="D354" s="54"/>
      <c r="E354" s="54"/>
      <c r="F354" s="54"/>
      <c r="G354" s="54"/>
      <c r="H354" s="241"/>
      <c r="I354" s="83" t="s">
        <v>21</v>
      </c>
      <c r="J354" s="83"/>
      <c r="K354" s="241"/>
      <c r="L354" s="83" t="s">
        <v>27</v>
      </c>
      <c r="M354" s="83"/>
      <c r="N354" s="241"/>
      <c r="O354" s="83" t="s">
        <v>2747</v>
      </c>
      <c r="P354" s="83"/>
      <c r="Q354" s="241"/>
      <c r="R354" s="83" t="s">
        <v>877</v>
      </c>
      <c r="S354" s="83"/>
      <c r="T354" s="54"/>
      <c r="U354" s="54"/>
      <c r="V354" s="54"/>
      <c r="W354" s="54"/>
      <c r="X354" s="54"/>
      <c r="Y354" s="54"/>
      <c r="Z354" s="54"/>
      <c r="AA354" s="54"/>
      <c r="AB354" s="54"/>
      <c r="AC354" s="54"/>
      <c r="AD354" s="54"/>
      <c r="AE354" s="54"/>
      <c r="AF354" s="54"/>
      <c r="AG354" s="54"/>
      <c r="AH354" s="54"/>
      <c r="AI354" s="54"/>
      <c r="AJ354" s="54"/>
      <c r="AK354" s="54"/>
      <c r="AL354" s="54"/>
      <c r="AM354" s="54"/>
      <c r="AN354" s="54"/>
      <c r="AO354" s="54"/>
      <c r="AP354" s="516" t="s">
        <v>2748</v>
      </c>
      <c r="AQ354" s="516"/>
      <c r="AR354" s="516">
        <v>2000</v>
      </c>
      <c r="AS354" s="516"/>
      <c r="AT354" s="516">
        <v>13.95</v>
      </c>
      <c r="AU354" s="516"/>
      <c r="AV354" s="54"/>
      <c r="AW354" s="54"/>
      <c r="AX354" s="54"/>
      <c r="AY354" s="54"/>
      <c r="AZ354" s="54"/>
      <c r="BA354" s="54"/>
      <c r="BB354" s="54"/>
      <c r="BC354" s="171"/>
      <c r="BD354" s="171"/>
    </row>
    <row r="355" spans="1:56" ht="14.15" customHeight="1">
      <c r="A355" s="54"/>
      <c r="B355" s="54"/>
      <c r="C355" s="54"/>
      <c r="D355" s="54"/>
      <c r="E355" s="54"/>
      <c r="F355" s="54"/>
      <c r="G355" s="54"/>
      <c r="H355" s="242" t="s">
        <v>4</v>
      </c>
      <c r="I355" s="242">
        <v>100</v>
      </c>
      <c r="J355" s="242">
        <v>100</v>
      </c>
      <c r="K355" s="245" t="s">
        <v>87</v>
      </c>
      <c r="L355" s="242">
        <v>150</v>
      </c>
      <c r="M355" s="242">
        <v>100</v>
      </c>
      <c r="N355" s="245" t="s">
        <v>88</v>
      </c>
      <c r="O355" s="242">
        <v>100</v>
      </c>
      <c r="P355" s="242">
        <v>100</v>
      </c>
      <c r="Q355" s="245" t="s">
        <v>2646</v>
      </c>
      <c r="R355" s="242">
        <v>500</v>
      </c>
      <c r="S355" s="242">
        <v>400</v>
      </c>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16" t="s">
        <v>2749</v>
      </c>
      <c r="AQ355" s="516"/>
      <c r="AR355" s="516">
        <v>2200</v>
      </c>
      <c r="AS355" s="516"/>
      <c r="AT355" s="516">
        <v>14.617000000000001</v>
      </c>
      <c r="AU355" s="516"/>
      <c r="AV355" s="54"/>
      <c r="AW355" s="54"/>
      <c r="AX355" s="54"/>
      <c r="AY355" s="54"/>
      <c r="AZ355" s="54"/>
      <c r="BA355" s="54"/>
      <c r="BB355" s="54"/>
      <c r="BC355" s="171"/>
      <c r="BD355" s="171"/>
    </row>
    <row r="356" spans="1:56" ht="14.15" customHeight="1">
      <c r="A356" s="54"/>
      <c r="B356" s="54"/>
      <c r="C356" s="54"/>
      <c r="D356" s="54"/>
      <c r="E356" s="54"/>
      <c r="F356" s="54"/>
      <c r="G356" s="54"/>
      <c r="H356" s="243" t="s">
        <v>11</v>
      </c>
      <c r="I356" s="243">
        <v>100</v>
      </c>
      <c r="J356" s="243">
        <v>100</v>
      </c>
      <c r="K356" s="246" t="s">
        <v>90</v>
      </c>
      <c r="L356" s="243">
        <v>600</v>
      </c>
      <c r="M356" s="243">
        <v>500</v>
      </c>
      <c r="N356" s="246" t="s">
        <v>91</v>
      </c>
      <c r="O356" s="243">
        <v>100</v>
      </c>
      <c r="P356" s="243">
        <v>100</v>
      </c>
      <c r="Q356" s="246" t="s">
        <v>2750</v>
      </c>
      <c r="R356" s="243">
        <v>1200</v>
      </c>
      <c r="S356" s="243">
        <v>600</v>
      </c>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16" t="s">
        <v>2751</v>
      </c>
      <c r="AQ356" s="516"/>
      <c r="AR356" s="516">
        <v>2600</v>
      </c>
      <c r="AS356" s="516"/>
      <c r="AT356" s="516">
        <v>15.583</v>
      </c>
      <c r="AU356" s="516"/>
      <c r="AV356" s="54"/>
      <c r="AW356" s="54"/>
      <c r="AX356" s="54"/>
      <c r="AY356" s="54"/>
      <c r="AZ356" s="54"/>
      <c r="BA356" s="54"/>
      <c r="BB356" s="54"/>
      <c r="BC356" s="171"/>
      <c r="BD356" s="171"/>
    </row>
    <row r="357" spans="1:56" ht="14.15" customHeight="1">
      <c r="A357" s="54"/>
      <c r="B357" s="54"/>
      <c r="C357" s="54"/>
      <c r="D357" s="54"/>
      <c r="E357" s="54"/>
      <c r="F357" s="54"/>
      <c r="G357" s="54"/>
      <c r="H357" s="243" t="s">
        <v>22</v>
      </c>
      <c r="I357" s="243">
        <v>50</v>
      </c>
      <c r="J357" s="243">
        <v>50</v>
      </c>
      <c r="K357" s="246" t="s">
        <v>2752</v>
      </c>
      <c r="L357" s="243">
        <v>600</v>
      </c>
      <c r="M357" s="243">
        <v>500</v>
      </c>
      <c r="N357" s="246" t="s">
        <v>94</v>
      </c>
      <c r="O357" s="243">
        <v>100</v>
      </c>
      <c r="P357" s="243">
        <v>100</v>
      </c>
      <c r="Q357" s="246" t="s">
        <v>2662</v>
      </c>
      <c r="R357" s="243">
        <v>50</v>
      </c>
      <c r="S357" s="243">
        <v>50</v>
      </c>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16" t="s">
        <v>2753</v>
      </c>
      <c r="AQ357" s="516"/>
      <c r="AR357" s="516">
        <v>3200</v>
      </c>
      <c r="AS357" s="516"/>
      <c r="AT357" s="516">
        <v>17.867000000000001</v>
      </c>
      <c r="AU357" s="516"/>
      <c r="AV357" s="54"/>
      <c r="AW357" s="54"/>
      <c r="AX357" s="54"/>
      <c r="AY357" s="54"/>
      <c r="AZ357" s="54"/>
      <c r="BA357" s="54"/>
      <c r="BB357" s="54"/>
      <c r="BC357" s="171"/>
      <c r="BD357" s="171"/>
    </row>
    <row r="358" spans="1:56" ht="14.15" customHeight="1">
      <c r="A358" s="54"/>
      <c r="B358" s="54"/>
      <c r="C358" s="54"/>
      <c r="D358" s="54"/>
      <c r="E358" s="54"/>
      <c r="F358" s="54"/>
      <c r="G358" s="54"/>
      <c r="H358" s="243" t="s">
        <v>16</v>
      </c>
      <c r="I358" s="243">
        <v>600</v>
      </c>
      <c r="J358" s="243">
        <v>500</v>
      </c>
      <c r="K358" s="246" t="s">
        <v>96</v>
      </c>
      <c r="L358" s="243">
        <v>1000</v>
      </c>
      <c r="M358" s="243">
        <v>3000</v>
      </c>
      <c r="N358" s="246" t="s">
        <v>97</v>
      </c>
      <c r="O358" s="243">
        <v>100</v>
      </c>
      <c r="P358" s="243">
        <v>100</v>
      </c>
      <c r="Q358" s="246" t="s">
        <v>2658</v>
      </c>
      <c r="R358" s="243">
        <v>900</v>
      </c>
      <c r="S358" s="243">
        <v>800</v>
      </c>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16" t="s">
        <v>2754</v>
      </c>
      <c r="AQ358" s="516"/>
      <c r="AR358" s="516">
        <v>3600</v>
      </c>
      <c r="AS358" s="516"/>
      <c r="AT358" s="516">
        <v>19.283000000000001</v>
      </c>
      <c r="AU358" s="516"/>
      <c r="AV358" s="54"/>
      <c r="AW358" s="54"/>
      <c r="AX358" s="54"/>
      <c r="AY358" s="54"/>
      <c r="AZ358" s="54"/>
      <c r="BA358" s="54"/>
      <c r="BB358" s="54"/>
      <c r="BC358" s="171"/>
      <c r="BD358" s="171"/>
    </row>
    <row r="359" spans="1:56" ht="14.15" customHeight="1">
      <c r="A359" s="54"/>
      <c r="B359" s="54"/>
      <c r="C359" s="54"/>
      <c r="D359" s="54"/>
      <c r="E359" s="54"/>
      <c r="F359" s="54"/>
      <c r="G359" s="54"/>
      <c r="H359" s="243" t="s">
        <v>28</v>
      </c>
      <c r="I359" s="243">
        <v>50</v>
      </c>
      <c r="J359" s="243">
        <v>50</v>
      </c>
      <c r="K359" s="246" t="s">
        <v>2755</v>
      </c>
      <c r="L359" s="243">
        <v>200</v>
      </c>
      <c r="M359" s="243">
        <v>600</v>
      </c>
      <c r="N359" s="246" t="s">
        <v>104</v>
      </c>
      <c r="O359" s="83">
        <v>2100</v>
      </c>
      <c r="P359" s="83">
        <v>2500</v>
      </c>
      <c r="Q359" s="246" t="s">
        <v>2653</v>
      </c>
      <c r="R359" s="243">
        <v>300</v>
      </c>
      <c r="S359" s="243">
        <v>200</v>
      </c>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16" t="s">
        <v>75</v>
      </c>
      <c r="AQ359" s="516"/>
      <c r="AR359" s="516">
        <v>3700</v>
      </c>
      <c r="AS359" s="516"/>
      <c r="AT359" s="516">
        <v>19.600000000000001</v>
      </c>
      <c r="AU359" s="516"/>
      <c r="AV359" s="54"/>
      <c r="AW359" s="54"/>
      <c r="AX359" s="54"/>
      <c r="AY359" s="54"/>
      <c r="AZ359" s="54"/>
      <c r="BA359" s="54"/>
      <c r="BB359" s="54"/>
      <c r="BC359" s="171"/>
      <c r="BD359" s="171"/>
    </row>
    <row r="360" spans="1:56" ht="14.15" customHeight="1">
      <c r="A360" s="54"/>
      <c r="B360" s="54"/>
      <c r="C360" s="54"/>
      <c r="D360" s="54"/>
      <c r="E360" s="54"/>
      <c r="F360" s="54"/>
      <c r="G360" s="54"/>
      <c r="H360" s="243" t="s">
        <v>34</v>
      </c>
      <c r="I360" s="243">
        <v>600</v>
      </c>
      <c r="J360" s="243">
        <v>500</v>
      </c>
      <c r="K360" s="246" t="s">
        <v>101</v>
      </c>
      <c r="L360" s="243">
        <v>1200</v>
      </c>
      <c r="M360" s="243">
        <v>200</v>
      </c>
      <c r="N360" s="246" t="s">
        <v>108</v>
      </c>
      <c r="O360" s="83">
        <v>2100</v>
      </c>
      <c r="P360" s="83">
        <v>500</v>
      </c>
      <c r="Q360" s="246" t="s">
        <v>8</v>
      </c>
      <c r="R360" s="243">
        <v>1500</v>
      </c>
      <c r="S360" s="243">
        <v>1500</v>
      </c>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16" t="s">
        <v>2756</v>
      </c>
      <c r="AQ360" s="516"/>
      <c r="AR360" s="516">
        <v>4100</v>
      </c>
      <c r="AS360" s="516"/>
      <c r="AT360" s="516">
        <v>20.882999999999999</v>
      </c>
      <c r="AU360" s="516"/>
      <c r="AV360" s="54"/>
      <c r="AW360" s="54"/>
      <c r="AX360" s="54"/>
      <c r="AY360" s="54"/>
      <c r="AZ360" s="54"/>
      <c r="BA360" s="54"/>
      <c r="BB360" s="54"/>
      <c r="BC360" s="171"/>
      <c r="BD360" s="171"/>
    </row>
    <row r="361" spans="1:56" ht="14.15" customHeight="1">
      <c r="A361" s="54"/>
      <c r="B361" s="54"/>
      <c r="C361" s="54"/>
      <c r="D361" s="54"/>
      <c r="E361" s="54"/>
      <c r="F361" s="54"/>
      <c r="G361" s="54"/>
      <c r="H361" s="243" t="s">
        <v>40</v>
      </c>
      <c r="I361" s="243">
        <v>600</v>
      </c>
      <c r="J361" s="243">
        <v>200</v>
      </c>
      <c r="K361" s="246" t="s">
        <v>2643</v>
      </c>
      <c r="L361" s="243">
        <v>50</v>
      </c>
      <c r="M361" s="243">
        <v>100</v>
      </c>
      <c r="N361" s="246" t="s">
        <v>113</v>
      </c>
      <c r="O361" s="83">
        <v>2100</v>
      </c>
      <c r="P361" s="83">
        <v>500</v>
      </c>
      <c r="Q361" s="246" t="s">
        <v>2751</v>
      </c>
      <c r="R361" s="243">
        <v>1800</v>
      </c>
      <c r="S361" s="243">
        <v>1500</v>
      </c>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16" t="s">
        <v>2658</v>
      </c>
      <c r="AQ361" s="516"/>
      <c r="AR361" s="516">
        <v>4200</v>
      </c>
      <c r="AS361" s="516"/>
      <c r="AT361" s="516">
        <v>21.25</v>
      </c>
      <c r="AU361" s="516"/>
      <c r="AV361" s="54"/>
      <c r="AW361" s="54"/>
      <c r="AX361" s="54"/>
      <c r="AY361" s="54"/>
      <c r="AZ361" s="54"/>
      <c r="BA361" s="54"/>
      <c r="BB361" s="54"/>
      <c r="BC361" s="171"/>
      <c r="BD361" s="171"/>
    </row>
    <row r="362" spans="1:56" ht="14.15" customHeight="1">
      <c r="A362" s="54"/>
      <c r="B362" s="54"/>
      <c r="C362" s="54"/>
      <c r="D362" s="54"/>
      <c r="E362" s="54"/>
      <c r="F362" s="54"/>
      <c r="G362" s="54"/>
      <c r="H362" s="243" t="s">
        <v>45</v>
      </c>
      <c r="I362" s="243">
        <v>200</v>
      </c>
      <c r="J362" s="243">
        <v>200</v>
      </c>
      <c r="K362" s="246" t="s">
        <v>105</v>
      </c>
      <c r="L362" s="243">
        <v>950</v>
      </c>
      <c r="M362" s="243">
        <v>3000</v>
      </c>
      <c r="N362" s="246" t="s">
        <v>117</v>
      </c>
      <c r="O362" s="83">
        <v>2100</v>
      </c>
      <c r="P362" s="83">
        <v>2500</v>
      </c>
      <c r="Q362" s="246" t="s">
        <v>2753</v>
      </c>
      <c r="R362" s="243">
        <v>3500</v>
      </c>
      <c r="S362" s="243">
        <v>2500</v>
      </c>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16" t="s">
        <v>51</v>
      </c>
      <c r="AQ362" s="516"/>
      <c r="AR362" s="516">
        <v>4500</v>
      </c>
      <c r="AS362" s="516"/>
      <c r="AT362" s="516">
        <v>22.25</v>
      </c>
      <c r="AU362" s="516"/>
      <c r="AV362" s="54"/>
      <c r="AW362" s="54"/>
      <c r="AX362" s="54"/>
      <c r="AY362" s="54"/>
      <c r="AZ362" s="54"/>
      <c r="BA362" s="54"/>
      <c r="BB362" s="54"/>
      <c r="BC362" s="171"/>
      <c r="BD362" s="171"/>
    </row>
    <row r="363" spans="1:56" ht="14.15" customHeight="1">
      <c r="A363" s="54"/>
      <c r="B363" s="54"/>
      <c r="C363" s="54"/>
      <c r="D363" s="54"/>
      <c r="E363" s="54"/>
      <c r="F363" s="54"/>
      <c r="G363" s="54"/>
      <c r="H363" s="243" t="s">
        <v>51</v>
      </c>
      <c r="I363" s="243">
        <v>2000</v>
      </c>
      <c r="J363" s="243">
        <v>2000</v>
      </c>
      <c r="K363" s="246" t="s">
        <v>2757</v>
      </c>
      <c r="L363" s="243">
        <v>50</v>
      </c>
      <c r="M363" s="243">
        <v>100</v>
      </c>
      <c r="N363" s="83"/>
      <c r="O363" s="83"/>
      <c r="P363" s="83"/>
      <c r="Q363" s="246" t="s">
        <v>2756</v>
      </c>
      <c r="R363" s="243">
        <v>800</v>
      </c>
      <c r="S363" s="243">
        <v>800</v>
      </c>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16" t="s">
        <v>2758</v>
      </c>
      <c r="AQ363" s="516"/>
      <c r="AR363" s="516">
        <v>4800</v>
      </c>
      <c r="AS363" s="516"/>
      <c r="AT363" s="516">
        <v>23.183</v>
      </c>
      <c r="AU363" s="516"/>
      <c r="AV363" s="54"/>
      <c r="AW363" s="54"/>
      <c r="AX363" s="54"/>
      <c r="AY363" s="54"/>
      <c r="AZ363" s="54"/>
      <c r="BA363" s="54"/>
      <c r="BB363" s="54"/>
      <c r="BC363" s="171"/>
      <c r="BD363" s="171"/>
    </row>
    <row r="364" spans="1:56" ht="14.15" customHeight="1">
      <c r="A364" s="54"/>
      <c r="B364" s="54"/>
      <c r="C364" s="54"/>
      <c r="D364" s="54"/>
      <c r="E364" s="54"/>
      <c r="F364" s="54"/>
      <c r="G364" s="54"/>
      <c r="H364" s="243" t="s">
        <v>56</v>
      </c>
      <c r="I364" s="243">
        <v>2500</v>
      </c>
      <c r="J364" s="243">
        <v>2000</v>
      </c>
      <c r="K364" s="246" t="s">
        <v>109</v>
      </c>
      <c r="L364" s="243">
        <v>600</v>
      </c>
      <c r="M364" s="243">
        <v>500</v>
      </c>
      <c r="N364" s="83"/>
      <c r="O364" s="83"/>
      <c r="P364" s="83"/>
      <c r="Q364" s="83"/>
      <c r="R364" s="83"/>
      <c r="S364" s="83"/>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16" t="s">
        <v>80</v>
      </c>
      <c r="AQ364" s="516"/>
      <c r="AR364" s="516">
        <v>4900</v>
      </c>
      <c r="AS364" s="516"/>
      <c r="AT364" s="516">
        <v>23.6</v>
      </c>
      <c r="AU364" s="516"/>
      <c r="AV364" s="54"/>
      <c r="AW364" s="54"/>
      <c r="AX364" s="54"/>
      <c r="AY364" s="54"/>
      <c r="AZ364" s="54"/>
      <c r="BA364" s="54"/>
      <c r="BB364" s="54"/>
      <c r="BC364" s="171"/>
      <c r="BD364" s="171"/>
    </row>
    <row r="365" spans="1:56" ht="14.15" customHeight="1">
      <c r="A365" s="54"/>
      <c r="B365" s="54"/>
      <c r="C365" s="54"/>
      <c r="D365" s="54"/>
      <c r="E365" s="54"/>
      <c r="F365" s="54"/>
      <c r="G365" s="54"/>
      <c r="H365" s="243" t="s">
        <v>61</v>
      </c>
      <c r="I365" s="243">
        <v>1000</v>
      </c>
      <c r="J365" s="243">
        <v>1000</v>
      </c>
      <c r="K365" s="246" t="s">
        <v>114</v>
      </c>
      <c r="L365" s="243">
        <v>600</v>
      </c>
      <c r="M365" s="243">
        <v>500</v>
      </c>
      <c r="N365" s="83"/>
      <c r="O365" s="83"/>
      <c r="P365" s="83"/>
      <c r="Q365" s="83"/>
      <c r="R365" s="83"/>
      <c r="S365" s="83"/>
      <c r="T365" s="54"/>
      <c r="U365" s="54"/>
      <c r="V365" s="54"/>
      <c r="W365" s="54"/>
      <c r="X365" s="54"/>
      <c r="Y365" s="54"/>
      <c r="Z365" s="54"/>
      <c r="AA365" s="54"/>
      <c r="AB365" s="54"/>
      <c r="AC365" s="54"/>
      <c r="AD365" s="54"/>
      <c r="AE365" s="54"/>
      <c r="AF365" s="54"/>
      <c r="AG365" s="54"/>
      <c r="AH365" s="54"/>
      <c r="AI365" s="54"/>
      <c r="AJ365" s="54"/>
      <c r="AK365" s="54"/>
      <c r="AL365" s="54"/>
      <c r="AM365" s="54"/>
      <c r="AN365" s="54"/>
      <c r="AO365" s="54"/>
      <c r="AP365" s="516" t="s">
        <v>2759</v>
      </c>
      <c r="AQ365" s="516"/>
      <c r="AR365" s="516">
        <v>6700</v>
      </c>
      <c r="AS365" s="516"/>
      <c r="AT365" s="516">
        <v>29.516999999999999</v>
      </c>
      <c r="AU365" s="516"/>
      <c r="AV365" s="54"/>
      <c r="AW365" s="54"/>
      <c r="AX365" s="54"/>
      <c r="AY365" s="54"/>
      <c r="AZ365" s="54"/>
      <c r="BA365" s="54"/>
      <c r="BB365" s="54"/>
      <c r="BC365" s="171"/>
      <c r="BD365" s="171"/>
    </row>
    <row r="366" spans="1:56" ht="14.15" customHeight="1">
      <c r="A366" s="54"/>
      <c r="B366" s="54"/>
      <c r="C366" s="54"/>
      <c r="D366" s="54"/>
      <c r="E366" s="54"/>
      <c r="F366" s="54"/>
      <c r="G366" s="54"/>
      <c r="H366" s="243" t="s">
        <v>65</v>
      </c>
      <c r="I366" s="243">
        <v>600</v>
      </c>
      <c r="J366" s="243">
        <v>500</v>
      </c>
      <c r="K366" s="246" t="s">
        <v>118</v>
      </c>
      <c r="L366" s="243">
        <v>600</v>
      </c>
      <c r="M366" s="243">
        <v>500</v>
      </c>
      <c r="N366" s="83"/>
      <c r="O366" s="83"/>
      <c r="P366" s="83"/>
      <c r="Q366" s="83"/>
      <c r="R366" s="83"/>
      <c r="S366" s="83"/>
      <c r="T366" s="54"/>
      <c r="U366" s="54"/>
      <c r="V366" s="54"/>
      <c r="W366" s="54"/>
      <c r="X366" s="54"/>
      <c r="Y366" s="54"/>
      <c r="Z366" s="54"/>
      <c r="AA366" s="54"/>
      <c r="AB366" s="54"/>
      <c r="AC366" s="54"/>
      <c r="AD366" s="54"/>
      <c r="AE366" s="54"/>
      <c r="AF366" s="54"/>
      <c r="AG366" s="54"/>
      <c r="AH366" s="54"/>
      <c r="AI366" s="54"/>
      <c r="AJ366" s="54"/>
      <c r="AK366" s="54"/>
      <c r="AL366" s="54"/>
      <c r="AM366" s="54"/>
      <c r="AN366" s="54"/>
      <c r="AO366" s="54"/>
      <c r="AP366" s="516" t="s">
        <v>2760</v>
      </c>
      <c r="AQ366" s="516"/>
      <c r="AR366" s="516">
        <v>8000</v>
      </c>
      <c r="AS366" s="516"/>
      <c r="AT366" s="516">
        <v>33.933</v>
      </c>
      <c r="AU366" s="516"/>
      <c r="AV366" s="54"/>
      <c r="AW366" s="54"/>
      <c r="AX366" s="54"/>
      <c r="AY366" s="54"/>
      <c r="AZ366" s="54"/>
      <c r="BA366" s="54"/>
      <c r="BB366" s="54"/>
      <c r="BC366" s="171"/>
      <c r="BD366" s="171"/>
    </row>
    <row r="367" spans="1:56" ht="14.15" customHeight="1">
      <c r="A367" s="54"/>
      <c r="B367" s="54"/>
      <c r="C367" s="54"/>
      <c r="D367" s="54"/>
      <c r="E367" s="54"/>
      <c r="F367" s="54"/>
      <c r="G367" s="54"/>
      <c r="H367" s="243" t="s">
        <v>2761</v>
      </c>
      <c r="I367" s="243">
        <v>1800</v>
      </c>
      <c r="J367" s="243">
        <v>1800</v>
      </c>
      <c r="K367" s="83"/>
      <c r="L367" s="83"/>
      <c r="M367" s="83"/>
      <c r="N367" s="83"/>
      <c r="O367" s="83"/>
      <c r="P367" s="83"/>
      <c r="Q367" s="83"/>
      <c r="R367" s="83"/>
      <c r="S367" s="83"/>
      <c r="T367" s="54"/>
      <c r="U367" s="54"/>
      <c r="V367" s="54"/>
      <c r="W367" s="54"/>
      <c r="X367" s="54"/>
      <c r="Y367" s="569" t="s">
        <v>2762</v>
      </c>
      <c r="Z367" s="569"/>
      <c r="AA367" s="570" t="s">
        <v>2763</v>
      </c>
      <c r="AB367" s="570"/>
      <c r="AC367" s="570"/>
      <c r="AD367" s="570"/>
      <c r="AE367" s="570"/>
      <c r="AF367" s="570"/>
      <c r="AG367" s="570"/>
      <c r="AH367" s="570"/>
      <c r="AI367" s="54"/>
      <c r="AJ367" s="54"/>
      <c r="AK367" s="54"/>
      <c r="AL367" s="54"/>
      <c r="AM367" s="54"/>
      <c r="AN367" s="54"/>
      <c r="AO367" s="54"/>
      <c r="AP367" s="516" t="s">
        <v>1184</v>
      </c>
      <c r="AQ367" s="516"/>
      <c r="AR367" s="516">
        <v>8400</v>
      </c>
      <c r="AS367" s="516"/>
      <c r="AT367" s="516">
        <v>35.25</v>
      </c>
      <c r="AU367" s="516"/>
      <c r="AV367" s="54"/>
      <c r="AW367" s="54"/>
      <c r="AX367" s="54"/>
      <c r="AY367" s="54"/>
      <c r="AZ367" s="54"/>
      <c r="BA367" s="54"/>
      <c r="BB367" s="54"/>
      <c r="BC367" s="171"/>
      <c r="BD367" s="171"/>
    </row>
    <row r="368" spans="1:56" ht="14.15" customHeight="1">
      <c r="A368" s="54"/>
      <c r="B368" s="54"/>
      <c r="C368" s="54"/>
      <c r="D368" s="54"/>
      <c r="E368" s="54"/>
      <c r="F368" s="54"/>
      <c r="G368" s="54"/>
      <c r="H368" s="243" t="s">
        <v>2657</v>
      </c>
      <c r="I368" s="243">
        <v>100</v>
      </c>
      <c r="J368" s="243">
        <v>100</v>
      </c>
      <c r="K368" s="83"/>
      <c r="L368" s="83"/>
      <c r="M368" s="83"/>
      <c r="N368" s="83"/>
      <c r="O368" s="83"/>
      <c r="P368" s="83"/>
      <c r="Q368" s="83"/>
      <c r="R368" s="83"/>
      <c r="S368" s="83"/>
      <c r="T368" s="54"/>
      <c r="U368" s="54"/>
      <c r="V368" s="54"/>
      <c r="W368" s="54"/>
      <c r="X368" s="54"/>
      <c r="Y368" s="569"/>
      <c r="Z368" s="569"/>
      <c r="AA368" s="570"/>
      <c r="AB368" s="570"/>
      <c r="AC368" s="570"/>
      <c r="AD368" s="570"/>
      <c r="AE368" s="570"/>
      <c r="AF368" s="570"/>
      <c r="AG368" s="570"/>
      <c r="AH368" s="570"/>
      <c r="AI368" s="54"/>
      <c r="AJ368" s="54"/>
      <c r="AK368" s="54"/>
      <c r="AL368" s="54"/>
      <c r="AM368" s="54"/>
      <c r="AN368" s="54"/>
      <c r="AO368" s="54"/>
      <c r="AP368" s="516" t="s">
        <v>2764</v>
      </c>
      <c r="AQ368" s="516"/>
      <c r="AR368" s="516">
        <v>10000</v>
      </c>
      <c r="AS368" s="516"/>
      <c r="AT368" s="516">
        <v>40.567</v>
      </c>
      <c r="AU368" s="516"/>
      <c r="AV368" s="54"/>
      <c r="AW368" s="54"/>
      <c r="AX368" s="54"/>
      <c r="AY368" s="54"/>
      <c r="AZ368" s="54"/>
      <c r="BA368" s="54"/>
      <c r="BB368" s="54"/>
      <c r="BC368" s="171"/>
      <c r="BD368" s="171"/>
    </row>
    <row r="369" spans="1:56" ht="14.15" customHeight="1">
      <c r="A369" s="54"/>
      <c r="B369" s="54"/>
      <c r="C369" s="54"/>
      <c r="D369" s="54"/>
      <c r="E369" s="54"/>
      <c r="F369" s="54"/>
      <c r="G369" s="54"/>
      <c r="H369" s="243" t="s">
        <v>69</v>
      </c>
      <c r="I369" s="243">
        <v>3000</v>
      </c>
      <c r="J369" s="243">
        <v>2000</v>
      </c>
      <c r="K369" s="83"/>
      <c r="L369" s="83"/>
      <c r="M369" s="83"/>
      <c r="N369" s="83"/>
      <c r="O369" s="83"/>
      <c r="P369" s="83"/>
      <c r="Q369" s="83"/>
      <c r="R369" s="83"/>
      <c r="S369" s="83"/>
      <c r="T369" s="54"/>
      <c r="U369" s="54"/>
      <c r="V369" s="54"/>
      <c r="W369" s="54"/>
      <c r="X369" s="54"/>
      <c r="Y369" s="54"/>
      <c r="Z369" s="54"/>
      <c r="AA369" s="54"/>
      <c r="AB369" s="54"/>
      <c r="AC369" s="54"/>
      <c r="AD369" s="54"/>
      <c r="AE369" s="54"/>
      <c r="AF369" s="54"/>
      <c r="AG369" s="54"/>
      <c r="AH369" s="54"/>
      <c r="AI369" s="54"/>
      <c r="AJ369" s="54"/>
      <c r="AK369" s="54"/>
      <c r="AL369" s="54"/>
      <c r="AM369" s="54"/>
      <c r="AN369" s="54"/>
      <c r="AO369" s="54"/>
      <c r="AP369" s="54"/>
      <c r="AQ369" s="54"/>
      <c r="AR369" s="54"/>
      <c r="AS369" s="54"/>
      <c r="AT369" s="54"/>
      <c r="AU369" s="54"/>
      <c r="AV369" s="54"/>
      <c r="AW369" s="54"/>
      <c r="AX369" s="54"/>
      <c r="AY369" s="54"/>
      <c r="AZ369" s="54"/>
      <c r="BA369" s="54"/>
      <c r="BB369" s="54"/>
      <c r="BC369" s="171"/>
      <c r="BD369" s="171"/>
    </row>
    <row r="370" spans="1:56" ht="14.1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c r="AC370" s="54"/>
      <c r="AD370" s="54"/>
      <c r="AE370" s="54"/>
      <c r="AF370" s="54"/>
      <c r="AG370" s="54"/>
      <c r="AH370" s="54"/>
      <c r="AI370" s="54"/>
      <c r="AJ370" s="54"/>
      <c r="AK370" s="54"/>
      <c r="AL370" s="54"/>
      <c r="AM370" s="54"/>
      <c r="AN370" s="54"/>
      <c r="AO370" s="54"/>
      <c r="AP370" s="54"/>
      <c r="AQ370" s="54"/>
      <c r="AR370" s="54"/>
      <c r="AS370" s="54"/>
      <c r="AT370" s="54"/>
      <c r="AU370" s="54"/>
      <c r="AV370" s="54"/>
      <c r="AW370" s="54"/>
      <c r="AX370" s="54"/>
      <c r="AY370" s="54"/>
      <c r="AZ370" s="54"/>
      <c r="BA370" s="54"/>
      <c r="BB370" s="54"/>
      <c r="BC370" s="171"/>
      <c r="BD370" s="171"/>
    </row>
    <row r="371" spans="1:56" ht="14.15" customHeight="1">
      <c r="A371" s="54"/>
      <c r="B371" s="54"/>
      <c r="C371" s="54"/>
      <c r="D371" s="54"/>
      <c r="E371" s="54"/>
      <c r="F371" s="569" t="s">
        <v>2765</v>
      </c>
      <c r="G371" s="569"/>
      <c r="H371" s="570" t="s">
        <v>2766</v>
      </c>
      <c r="I371" s="570"/>
      <c r="J371" s="570"/>
      <c r="K371" s="570"/>
      <c r="L371" s="570"/>
      <c r="M371" s="570"/>
      <c r="N371" s="570"/>
      <c r="O371" s="570"/>
      <c r="P371" s="54"/>
      <c r="Q371" s="54"/>
      <c r="R371" s="54"/>
      <c r="S371" s="54"/>
      <c r="T371" s="54"/>
      <c r="U371" s="54"/>
      <c r="V371" s="54"/>
      <c r="W371" s="54"/>
      <c r="X371" s="54"/>
      <c r="Y371" s="54"/>
      <c r="Z371" s="54"/>
      <c r="AA371" s="54"/>
      <c r="AB371" s="54"/>
      <c r="AC371" s="54"/>
      <c r="AD371" s="54"/>
      <c r="AE371" s="54"/>
      <c r="AF371" s="54"/>
      <c r="AG371" s="54"/>
      <c r="AH371" s="54"/>
      <c r="AI371" s="54"/>
      <c r="AJ371" s="54"/>
      <c r="AK371" s="54"/>
      <c r="AL371" s="54"/>
      <c r="AM371" s="54"/>
      <c r="AN371" s="54"/>
      <c r="AO371" s="54"/>
      <c r="AP371" s="54"/>
      <c r="AQ371" s="54"/>
      <c r="AR371" s="54"/>
      <c r="AS371" s="54"/>
      <c r="AT371" s="54"/>
      <c r="AU371" s="54"/>
      <c r="AV371" s="54"/>
      <c r="AW371" s="54"/>
      <c r="AX371" s="54"/>
      <c r="AY371" s="54"/>
      <c r="AZ371" s="54"/>
      <c r="BA371" s="54"/>
      <c r="BB371" s="54"/>
      <c r="BC371" s="171"/>
      <c r="BD371" s="171"/>
    </row>
    <row r="372" spans="1:56" ht="14.15" customHeight="1">
      <c r="A372" s="54"/>
      <c r="B372" s="54"/>
      <c r="C372" s="54"/>
      <c r="D372" s="54"/>
      <c r="E372" s="54"/>
      <c r="F372" s="569"/>
      <c r="G372" s="569"/>
      <c r="H372" s="570"/>
      <c r="I372" s="570"/>
      <c r="J372" s="570"/>
      <c r="K372" s="570"/>
      <c r="L372" s="570"/>
      <c r="M372" s="570"/>
      <c r="N372" s="570"/>
      <c r="O372" s="570"/>
      <c r="P372" s="54"/>
      <c r="Q372" s="54"/>
      <c r="R372" s="54"/>
      <c r="S372" s="54"/>
      <c r="T372" s="54"/>
      <c r="U372" s="54"/>
      <c r="V372" s="54"/>
      <c r="W372" s="54"/>
      <c r="X372" s="54"/>
      <c r="Y372" s="54"/>
      <c r="Z372" s="54"/>
      <c r="AA372" s="54"/>
      <c r="AB372" s="54"/>
      <c r="AC372" s="54"/>
      <c r="AD372" s="54"/>
      <c r="AE372" s="54"/>
      <c r="AF372" s="54"/>
      <c r="AG372" s="54"/>
      <c r="AH372" s="54"/>
      <c r="AI372" s="54"/>
      <c r="AJ372" s="54"/>
      <c r="AK372" s="54"/>
      <c r="AL372" s="54"/>
      <c r="AM372" s="54"/>
      <c r="AN372" s="54"/>
      <c r="AO372" s="54"/>
      <c r="AP372" s="54"/>
      <c r="AQ372" s="54"/>
      <c r="AR372" s="54"/>
      <c r="AS372" s="54"/>
      <c r="AT372" s="54"/>
      <c r="AU372" s="54"/>
      <c r="AV372" s="54"/>
      <c r="AW372" s="54"/>
      <c r="AX372" s="54"/>
      <c r="AY372" s="54"/>
      <c r="AZ372" s="54"/>
      <c r="BA372" s="54"/>
      <c r="BB372" s="54"/>
      <c r="BC372" s="171"/>
      <c r="BD372" s="171"/>
    </row>
    <row r="373" spans="1:56" ht="14.1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c r="AC373" s="54"/>
      <c r="AD373" s="54"/>
      <c r="AE373" s="54"/>
      <c r="AF373" s="54"/>
      <c r="AG373" s="54"/>
      <c r="AH373" s="54"/>
      <c r="AI373" s="54"/>
      <c r="AJ373" s="54"/>
      <c r="AK373" s="54"/>
      <c r="AL373" s="54"/>
      <c r="AM373" s="54"/>
      <c r="AN373" s="54"/>
      <c r="AO373" s="54"/>
      <c r="AP373" s="54"/>
      <c r="AQ373" s="54"/>
      <c r="AR373" s="54"/>
      <c r="AS373" s="54"/>
      <c r="AT373" s="54"/>
      <c r="AU373" s="54"/>
      <c r="AV373" s="54"/>
      <c r="AW373" s="54"/>
      <c r="AX373" s="54"/>
      <c r="AY373" s="54"/>
      <c r="AZ373" s="54"/>
      <c r="BA373" s="54"/>
      <c r="BB373" s="54"/>
      <c r="BC373" s="171"/>
      <c r="BD373" s="171"/>
    </row>
    <row r="374" spans="1:56" ht="14.1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c r="AC374" s="54"/>
      <c r="AD374" s="54"/>
      <c r="AE374" s="54"/>
      <c r="AF374" s="54"/>
      <c r="AG374" s="54"/>
      <c r="AH374" s="54"/>
      <c r="AI374" s="54"/>
      <c r="AJ374" s="54"/>
      <c r="AK374" s="54"/>
      <c r="AL374" s="54"/>
      <c r="AM374" s="54"/>
      <c r="AN374" s="54"/>
      <c r="AO374" s="54"/>
      <c r="AP374" s="54"/>
      <c r="AQ374" s="54"/>
      <c r="AR374" s="54"/>
      <c r="AS374" s="54"/>
      <c r="AT374" s="54"/>
      <c r="AU374" s="54"/>
      <c r="AV374" s="54"/>
      <c r="AW374" s="54"/>
      <c r="AX374" s="54"/>
      <c r="AY374" s="54"/>
      <c r="AZ374" s="54"/>
      <c r="BA374" s="54"/>
      <c r="BB374" s="54"/>
      <c r="BC374" s="171"/>
      <c r="BD374" s="171"/>
    </row>
    <row r="375" spans="1:56" ht="14.1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c r="AC375" s="54"/>
      <c r="AD375" s="54"/>
      <c r="AE375" s="54"/>
      <c r="AF375" s="54"/>
      <c r="AG375" s="54"/>
      <c r="AH375" s="54"/>
      <c r="AI375" s="54"/>
      <c r="AJ375" s="54"/>
      <c r="AK375" s="54"/>
      <c r="AL375" s="54"/>
      <c r="AM375" s="54"/>
      <c r="AN375" s="54"/>
      <c r="AO375" s="54"/>
      <c r="AP375" s="569" t="s">
        <v>2767</v>
      </c>
      <c r="AQ375" s="569"/>
      <c r="AR375" s="569"/>
      <c r="AS375" s="54"/>
      <c r="AT375" s="54"/>
      <c r="AU375" s="54"/>
      <c r="AV375" s="54"/>
      <c r="AW375" s="54"/>
      <c r="AX375" s="54"/>
      <c r="AY375" s="54"/>
      <c r="AZ375" s="54"/>
      <c r="BA375" s="54"/>
      <c r="BB375" s="54"/>
      <c r="BC375" s="171"/>
      <c r="BD375" s="171"/>
    </row>
    <row r="376" spans="1:56" ht="14.1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c r="AC376" s="54"/>
      <c r="AD376" s="54"/>
      <c r="AE376" s="54"/>
      <c r="AF376" s="54"/>
      <c r="AG376" s="54"/>
      <c r="AH376" s="54"/>
      <c r="AI376" s="54"/>
      <c r="AJ376" s="54"/>
      <c r="AK376" s="54"/>
      <c r="AL376" s="54"/>
      <c r="AM376" s="54"/>
      <c r="AN376" s="54"/>
      <c r="AO376" s="54"/>
      <c r="AP376" s="588"/>
      <c r="AQ376" s="588"/>
      <c r="AR376" s="588"/>
      <c r="AS376" s="165"/>
      <c r="AT376" s="165"/>
      <c r="AU376" s="165"/>
      <c r="AV376" s="165"/>
      <c r="AW376" s="165"/>
      <c r="AX376" s="165"/>
      <c r="AY376" s="165"/>
      <c r="AZ376" s="165"/>
      <c r="BA376" s="54"/>
      <c r="BB376" s="54"/>
      <c r="BC376" s="171"/>
      <c r="BD376" s="171"/>
    </row>
    <row r="377" spans="1:56" ht="14.1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c r="AC377" s="54"/>
      <c r="AD377" s="54"/>
      <c r="AE377" s="54"/>
      <c r="AF377" s="54"/>
      <c r="AG377" s="54"/>
      <c r="AH377" s="54"/>
      <c r="AI377" s="54"/>
      <c r="AJ377" s="54"/>
      <c r="AK377" s="54"/>
      <c r="AL377" s="54"/>
      <c r="AM377" s="54"/>
      <c r="AN377" s="54"/>
      <c r="AO377" s="54"/>
      <c r="AP377" s="560" t="s">
        <v>1689</v>
      </c>
      <c r="AQ377" s="54" t="s">
        <v>2768</v>
      </c>
      <c r="AR377" s="54"/>
      <c r="AS377" s="54"/>
      <c r="AT377" s="54"/>
      <c r="AU377" s="54"/>
      <c r="AV377" s="54"/>
      <c r="AW377" s="54"/>
      <c r="AX377" s="54"/>
      <c r="AY377" s="54"/>
      <c r="AZ377" s="54"/>
      <c r="BA377" s="54"/>
      <c r="BB377" s="54"/>
      <c r="BC377" s="171"/>
      <c r="BD377" s="171"/>
    </row>
    <row r="378" spans="1:56" ht="14.1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54"/>
      <c r="AJ378" s="54"/>
      <c r="AK378" s="54"/>
      <c r="AL378" s="54"/>
      <c r="AM378" s="54"/>
      <c r="AN378" s="54"/>
      <c r="AO378" s="54"/>
      <c r="AP378" s="561"/>
      <c r="AQ378" s="54" t="s">
        <v>2769</v>
      </c>
      <c r="AR378" s="54"/>
      <c r="AS378" s="54"/>
      <c r="AT378" s="54"/>
      <c r="AU378" s="54"/>
      <c r="AV378" s="54"/>
      <c r="AW378" s="54"/>
      <c r="AX378" s="54"/>
      <c r="AY378" s="54"/>
      <c r="AZ378" s="54"/>
      <c r="BA378" s="54"/>
      <c r="BB378" s="54"/>
      <c r="BC378" s="171"/>
      <c r="BD378" s="171"/>
    </row>
    <row r="379" spans="1:56" ht="14.1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c r="AC379" s="54"/>
      <c r="AD379" s="54"/>
      <c r="AE379" s="54"/>
      <c r="AF379" s="54"/>
      <c r="AG379" s="54"/>
      <c r="AH379" s="54"/>
      <c r="AI379" s="54"/>
      <c r="AJ379" s="54"/>
      <c r="AK379" s="54"/>
      <c r="AL379" s="54"/>
      <c r="AM379" s="54"/>
      <c r="AN379" s="54"/>
      <c r="AO379" s="54"/>
      <c r="AP379" s="561"/>
      <c r="AQ379" s="54" t="s">
        <v>2770</v>
      </c>
      <c r="AR379" s="54"/>
      <c r="AS379" s="54"/>
      <c r="AT379" s="54"/>
      <c r="AU379" s="54"/>
      <c r="AV379" s="54"/>
      <c r="AW379" s="54"/>
      <c r="AX379" s="54"/>
      <c r="AY379" s="54"/>
      <c r="AZ379" s="54"/>
      <c r="BA379" s="54"/>
      <c r="BB379" s="54"/>
      <c r="BC379" s="171"/>
      <c r="BD379" s="171"/>
    </row>
    <row r="380" spans="1:56" ht="14.1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c r="AC380" s="54"/>
      <c r="AD380" s="54"/>
      <c r="AE380" s="54"/>
      <c r="AF380" s="54"/>
      <c r="AG380" s="54"/>
      <c r="AH380" s="54"/>
      <c r="AI380" s="54"/>
      <c r="AJ380" s="54"/>
      <c r="AK380" s="54"/>
      <c r="AL380" s="54"/>
      <c r="AM380" s="54"/>
      <c r="AN380" s="54"/>
      <c r="AO380" s="54"/>
      <c r="AP380" s="561"/>
      <c r="AQ380" s="54" t="s">
        <v>2771</v>
      </c>
      <c r="AR380" s="54"/>
      <c r="AS380" s="54"/>
      <c r="AT380" s="54"/>
      <c r="AU380" s="54"/>
      <c r="AV380" s="54"/>
      <c r="AW380" s="54"/>
      <c r="AX380" s="54"/>
      <c r="AY380" s="54"/>
      <c r="AZ380" s="54"/>
      <c r="BA380" s="54"/>
      <c r="BB380" s="54"/>
      <c r="BC380" s="171"/>
      <c r="BD380" s="171"/>
    </row>
    <row r="381" spans="1:56" ht="14.1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c r="AC381" s="54"/>
      <c r="AD381" s="54"/>
      <c r="AE381" s="54"/>
      <c r="AF381" s="54"/>
      <c r="AG381" s="54"/>
      <c r="AH381" s="54"/>
      <c r="AI381" s="54"/>
      <c r="AJ381" s="54"/>
      <c r="AK381" s="54"/>
      <c r="AL381" s="54"/>
      <c r="AM381" s="54"/>
      <c r="AN381" s="54"/>
      <c r="AO381" s="54"/>
      <c r="AP381" s="54"/>
      <c r="AQ381" s="54"/>
      <c r="AR381" s="54"/>
      <c r="AS381" s="54"/>
      <c r="AT381" s="54"/>
      <c r="AU381" s="54"/>
      <c r="AV381" s="54"/>
      <c r="AW381" s="54"/>
      <c r="AX381" s="54"/>
      <c r="AY381" s="54"/>
      <c r="AZ381" s="54"/>
      <c r="BA381" s="54"/>
      <c r="BB381" s="54"/>
      <c r="BC381" s="171"/>
      <c r="BD381" s="171"/>
    </row>
    <row r="382" spans="1:56" ht="14.1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c r="AC382" s="54"/>
      <c r="AD382" s="54"/>
      <c r="AE382" s="54"/>
      <c r="AF382" s="54"/>
      <c r="AG382" s="54"/>
      <c r="AH382" s="54"/>
      <c r="AI382" s="54"/>
      <c r="AJ382" s="54"/>
      <c r="AK382" s="54"/>
      <c r="AL382" s="54"/>
      <c r="AM382" s="54"/>
      <c r="AN382" s="54"/>
      <c r="AO382" s="54"/>
      <c r="AP382" s="54"/>
      <c r="AQ382" s="54"/>
      <c r="AR382" s="54"/>
      <c r="AS382" s="54"/>
      <c r="AT382" s="54"/>
      <c r="AU382" s="54"/>
      <c r="AV382" s="54"/>
      <c r="AW382" s="54"/>
      <c r="AX382" s="54"/>
      <c r="AY382" s="54"/>
      <c r="AZ382" s="54"/>
      <c r="BA382" s="54"/>
      <c r="BB382" s="54"/>
      <c r="BC382" s="171"/>
      <c r="BD382" s="171"/>
    </row>
    <row r="383" spans="1:56" ht="14.15" customHeight="1">
      <c r="A383" s="54"/>
      <c r="B383" s="54"/>
      <c r="C383" s="54"/>
      <c r="D383" s="54"/>
      <c r="E383" s="54"/>
      <c r="F383" s="569" t="s">
        <v>2772</v>
      </c>
      <c r="G383" s="569"/>
      <c r="H383" s="570" t="s">
        <v>2773</v>
      </c>
      <c r="I383" s="570"/>
      <c r="J383" s="570"/>
      <c r="K383" s="570"/>
      <c r="L383" s="570"/>
      <c r="M383" s="570"/>
      <c r="N383" s="570"/>
      <c r="O383" s="570"/>
      <c r="P383" s="54"/>
      <c r="Q383" s="54"/>
      <c r="R383" s="54"/>
      <c r="S383" s="54"/>
      <c r="T383" s="54"/>
      <c r="U383" s="54"/>
      <c r="V383" s="54"/>
      <c r="W383" s="54"/>
      <c r="X383" s="54"/>
      <c r="Y383" s="54"/>
      <c r="Z383" s="54"/>
      <c r="AA383" s="54"/>
      <c r="AB383" s="54"/>
      <c r="AC383" s="54"/>
      <c r="AD383" s="54"/>
      <c r="AE383" s="54"/>
      <c r="AF383" s="54"/>
      <c r="AG383" s="54"/>
      <c r="AH383" s="54"/>
      <c r="AI383" s="54"/>
      <c r="AJ383" s="54"/>
      <c r="AK383" s="54"/>
      <c r="AL383" s="54"/>
      <c r="AM383" s="54"/>
      <c r="AN383" s="54"/>
      <c r="AO383" s="54"/>
      <c r="AP383" s="516" t="s">
        <v>2774</v>
      </c>
      <c r="AQ383" s="516"/>
      <c r="AR383" s="555" t="s">
        <v>2775</v>
      </c>
      <c r="AS383" s="555" t="s">
        <v>2776</v>
      </c>
      <c r="AT383" s="555" t="s">
        <v>2777</v>
      </c>
      <c r="AU383" s="555"/>
      <c r="AV383" s="555" t="s">
        <v>2778</v>
      </c>
      <c r="AW383" s="555"/>
      <c r="AX383" s="516" t="s">
        <v>2779</v>
      </c>
      <c r="AY383" s="54"/>
      <c r="AZ383" s="54"/>
      <c r="BA383" s="54"/>
      <c r="BB383" s="54"/>
      <c r="BC383" s="171"/>
      <c r="BD383" s="171"/>
    </row>
    <row r="384" spans="1:56" ht="14.15" customHeight="1">
      <c r="A384" s="54"/>
      <c r="B384" s="54"/>
      <c r="C384" s="54"/>
      <c r="D384" s="54"/>
      <c r="E384" s="54"/>
      <c r="F384" s="569"/>
      <c r="G384" s="569"/>
      <c r="H384" s="570"/>
      <c r="I384" s="570"/>
      <c r="J384" s="570"/>
      <c r="K384" s="570"/>
      <c r="L384" s="570"/>
      <c r="M384" s="570"/>
      <c r="N384" s="570"/>
      <c r="O384" s="570"/>
      <c r="P384" s="54"/>
      <c r="Q384" s="54"/>
      <c r="R384" s="54"/>
      <c r="S384" s="54"/>
      <c r="T384" s="54"/>
      <c r="U384" s="54"/>
      <c r="V384" s="54"/>
      <c r="W384" s="54"/>
      <c r="X384" s="54"/>
      <c r="Y384" s="569" t="s">
        <v>2733</v>
      </c>
      <c r="Z384" s="569"/>
      <c r="AA384" s="575" t="s">
        <v>2780</v>
      </c>
      <c r="AB384" s="575"/>
      <c r="AC384" s="575"/>
      <c r="AD384" s="575"/>
      <c r="AE384" s="575"/>
      <c r="AF384" s="575"/>
      <c r="AG384" s="575"/>
      <c r="AH384" s="575"/>
      <c r="AI384" s="54"/>
      <c r="AJ384" s="54"/>
      <c r="AK384" s="54"/>
      <c r="AL384" s="54"/>
      <c r="AM384" s="54"/>
      <c r="AN384" s="54"/>
      <c r="AO384" s="54"/>
      <c r="AP384" s="516"/>
      <c r="AQ384" s="516"/>
      <c r="AR384" s="564"/>
      <c r="AS384" s="564"/>
      <c r="AT384" s="251" t="s">
        <v>25</v>
      </c>
      <c r="AU384" s="252" t="s">
        <v>19</v>
      </c>
      <c r="AV384" s="83" t="s">
        <v>2781</v>
      </c>
      <c r="AW384" s="83" t="s">
        <v>15</v>
      </c>
      <c r="AX384" s="554"/>
      <c r="AY384" s="54"/>
      <c r="AZ384" s="54"/>
      <c r="BA384" s="54"/>
      <c r="BB384" s="83"/>
      <c r="BC384" s="54"/>
      <c r="BD384" s="171"/>
    </row>
    <row r="385" spans="1:56" ht="14.1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69"/>
      <c r="Z385" s="569"/>
      <c r="AA385" s="575"/>
      <c r="AB385" s="575"/>
      <c r="AC385" s="575"/>
      <c r="AD385" s="575"/>
      <c r="AE385" s="575"/>
      <c r="AF385" s="575"/>
      <c r="AG385" s="575"/>
      <c r="AH385" s="575"/>
      <c r="AI385" s="54"/>
      <c r="AJ385" s="54"/>
      <c r="AK385" s="54"/>
      <c r="AL385" s="54"/>
      <c r="AM385" s="54"/>
      <c r="AN385" s="54"/>
      <c r="AO385" s="54"/>
      <c r="AP385" s="562">
        <v>1</v>
      </c>
      <c r="AQ385" s="253" t="s">
        <v>2782</v>
      </c>
      <c r="AR385" s="227">
        <v>7</v>
      </c>
      <c r="AS385" s="227">
        <v>1</v>
      </c>
      <c r="AT385" s="254"/>
      <c r="AU385" s="255"/>
      <c r="AV385" s="227">
        <v>2</v>
      </c>
      <c r="AW385" s="227"/>
      <c r="AX385" s="220" t="s">
        <v>2783</v>
      </c>
      <c r="AY385" s="54"/>
      <c r="AZ385" s="54"/>
      <c r="BA385" s="54"/>
      <c r="BB385" s="120"/>
      <c r="BC385" s="150"/>
      <c r="BD385" s="171"/>
    </row>
    <row r="386" spans="1:56" ht="14.1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c r="AC386" s="54"/>
      <c r="AD386" s="54"/>
      <c r="AE386" s="54"/>
      <c r="AF386" s="54"/>
      <c r="AG386" s="54"/>
      <c r="AH386" s="54"/>
      <c r="AI386" s="54"/>
      <c r="AJ386" s="54"/>
      <c r="AK386" s="54"/>
      <c r="AL386" s="54"/>
      <c r="AM386" s="54"/>
      <c r="AN386" s="54"/>
      <c r="AO386" s="54"/>
      <c r="AP386" s="563"/>
      <c r="AQ386" s="257" t="s">
        <v>2784</v>
      </c>
      <c r="AR386" s="83">
        <v>10</v>
      </c>
      <c r="AS386" s="83">
        <v>1</v>
      </c>
      <c r="AT386" s="254"/>
      <c r="AU386" s="258"/>
      <c r="AV386" s="83">
        <v>7</v>
      </c>
      <c r="AW386" s="83"/>
      <c r="AX386" s="54" t="s">
        <v>2783</v>
      </c>
      <c r="AY386" s="54"/>
      <c r="AZ386" s="54"/>
      <c r="BA386" s="54"/>
      <c r="BB386" s="120"/>
      <c r="BC386" s="150"/>
      <c r="BD386" s="171"/>
    </row>
    <row r="387" spans="1:56" ht="14.1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69" t="s">
        <v>2785</v>
      </c>
      <c r="Z387" s="569"/>
      <c r="AA387" s="570" t="s">
        <v>2786</v>
      </c>
      <c r="AB387" s="570"/>
      <c r="AC387" s="570"/>
      <c r="AD387" s="570"/>
      <c r="AE387" s="570"/>
      <c r="AF387" s="570"/>
      <c r="AG387" s="570"/>
      <c r="AH387" s="570"/>
      <c r="AI387" s="54"/>
      <c r="AJ387" s="54"/>
      <c r="AK387" s="54"/>
      <c r="AL387" s="54"/>
      <c r="AM387" s="54"/>
      <c r="AN387" s="54"/>
      <c r="AO387" s="54"/>
      <c r="AP387" s="563"/>
      <c r="AQ387" s="257" t="s">
        <v>2787</v>
      </c>
      <c r="AR387" s="83">
        <v>8</v>
      </c>
      <c r="AS387" s="83">
        <v>1</v>
      </c>
      <c r="AT387" s="254"/>
      <c r="AU387" s="258"/>
      <c r="AV387" s="83">
        <v>14</v>
      </c>
      <c r="AW387" s="83"/>
      <c r="AX387" s="54" t="s">
        <v>2783</v>
      </c>
      <c r="AY387" s="54"/>
      <c r="AZ387" s="54"/>
      <c r="BA387" s="54"/>
      <c r="BB387" s="120"/>
      <c r="BC387" s="150"/>
      <c r="BD387" s="171"/>
    </row>
    <row r="388" spans="1:56" ht="14.1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69"/>
      <c r="Z388" s="569"/>
      <c r="AA388" s="570"/>
      <c r="AB388" s="570"/>
      <c r="AC388" s="570"/>
      <c r="AD388" s="570"/>
      <c r="AE388" s="570"/>
      <c r="AF388" s="570"/>
      <c r="AG388" s="570"/>
      <c r="AH388" s="570"/>
      <c r="AI388" s="54"/>
      <c r="AJ388" s="54"/>
      <c r="AK388" s="54"/>
      <c r="AL388" s="54"/>
      <c r="AM388" s="54"/>
      <c r="AN388" s="54"/>
      <c r="AO388" s="54"/>
      <c r="AP388" s="256">
        <v>2</v>
      </c>
      <c r="AQ388" s="257" t="s">
        <v>2788</v>
      </c>
      <c r="AR388" s="83">
        <v>18</v>
      </c>
      <c r="AS388" s="83">
        <v>1</v>
      </c>
      <c r="AT388" s="254"/>
      <c r="AU388" s="259">
        <f>SUM('3.1夜本军队'!N73:N90)</f>
        <v>30600000</v>
      </c>
      <c r="AV388" s="83">
        <v>0</v>
      </c>
      <c r="AW388" s="83">
        <v>36</v>
      </c>
      <c r="AX388" s="54" t="s">
        <v>2789</v>
      </c>
      <c r="AY388" s="54"/>
      <c r="AZ388" s="54"/>
      <c r="BA388" s="54"/>
      <c r="BB388" s="54"/>
      <c r="BC388" s="54"/>
      <c r="BD388" s="171"/>
    </row>
    <row r="389" spans="1:56" ht="14.1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c r="AC389" s="54"/>
      <c r="AD389" s="54"/>
      <c r="AE389" s="54"/>
      <c r="AF389" s="54"/>
      <c r="AG389" s="54"/>
      <c r="AH389" s="54"/>
      <c r="AI389" s="54"/>
      <c r="AJ389" s="54"/>
      <c r="AK389" s="54"/>
      <c r="AL389" s="54"/>
      <c r="AM389" s="54"/>
      <c r="AN389" s="54"/>
      <c r="AO389" s="54"/>
      <c r="AP389" s="256">
        <v>3</v>
      </c>
      <c r="AQ389" s="257" t="s">
        <v>2790</v>
      </c>
      <c r="AR389" s="83">
        <v>9</v>
      </c>
      <c r="AS389" s="83">
        <v>1</v>
      </c>
      <c r="AT389" s="260">
        <v>32200000</v>
      </c>
      <c r="AU389" s="252"/>
      <c r="AV389" s="83">
        <v>0</v>
      </c>
      <c r="AW389" s="83"/>
      <c r="AX389" s="54" t="s">
        <v>2789</v>
      </c>
      <c r="AY389" s="54"/>
      <c r="AZ389" s="54"/>
      <c r="BA389" s="54"/>
      <c r="BB389" s="277"/>
      <c r="BC389" s="150"/>
      <c r="BD389" s="171"/>
    </row>
    <row r="390" spans="1:56" ht="14.1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c r="AC390" s="54"/>
      <c r="AD390" s="54"/>
      <c r="AE390" s="54"/>
      <c r="AF390" s="54"/>
      <c r="AG390" s="54"/>
      <c r="AH390" s="54"/>
      <c r="AI390" s="54"/>
      <c r="AJ390" s="54"/>
      <c r="AK390" s="217"/>
      <c r="AL390" s="54"/>
      <c r="AM390" s="54"/>
      <c r="AN390" s="54"/>
      <c r="AO390" s="54"/>
      <c r="AP390" s="256">
        <v>4</v>
      </c>
      <c r="AQ390" s="257" t="s">
        <v>2791</v>
      </c>
      <c r="AR390" s="83">
        <v>30</v>
      </c>
      <c r="AS390" s="83">
        <v>1</v>
      </c>
      <c r="AT390" s="254"/>
      <c r="AU390" s="259">
        <f>SUM('3.1夜本军队'!AM7:AM36)</f>
        <v>75000000</v>
      </c>
      <c r="AV390" s="83">
        <v>68.5</v>
      </c>
      <c r="AW390" s="54"/>
      <c r="AX390" s="54" t="s">
        <v>2789</v>
      </c>
      <c r="AY390" s="54"/>
      <c r="AZ390" s="54"/>
      <c r="BA390" s="54"/>
      <c r="BB390" s="54"/>
      <c r="BC390" s="54"/>
      <c r="BD390" s="171"/>
    </row>
    <row r="391" spans="1:56" ht="14.1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73" t="s">
        <v>28</v>
      </c>
      <c r="Z391" s="573"/>
      <c r="AA391" s="571" t="s">
        <v>2792</v>
      </c>
      <c r="AB391" s="571"/>
      <c r="AC391" s="571"/>
      <c r="AD391" s="571"/>
      <c r="AE391" s="571"/>
      <c r="AF391" s="571"/>
      <c r="AG391" s="571"/>
      <c r="AH391" s="571"/>
      <c r="AI391" s="571"/>
      <c r="AJ391" s="54" t="s">
        <v>2793</v>
      </c>
      <c r="AK391" s="217"/>
      <c r="AL391" s="54"/>
      <c r="AM391" s="54"/>
      <c r="AN391" s="54"/>
      <c r="AO391" s="54"/>
      <c r="AP391" s="83">
        <v>5</v>
      </c>
      <c r="AQ391" s="116" t="s">
        <v>2794</v>
      </c>
      <c r="AR391" s="83">
        <v>1</v>
      </c>
      <c r="AS391" s="83">
        <v>1</v>
      </c>
      <c r="AT391" s="260">
        <v>100000</v>
      </c>
      <c r="AU391" s="252"/>
      <c r="AV391" s="83">
        <v>0</v>
      </c>
      <c r="AW391" s="54"/>
      <c r="AX391" s="54" t="s">
        <v>2795</v>
      </c>
      <c r="AY391" s="54"/>
      <c r="AZ391" s="54"/>
      <c r="BA391" s="54"/>
      <c r="BB391" s="54"/>
      <c r="BC391" s="171"/>
      <c r="BD391" s="171"/>
    </row>
    <row r="392" spans="1:56" ht="14.1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74"/>
      <c r="Z392" s="574"/>
      <c r="AA392" s="572"/>
      <c r="AB392" s="572"/>
      <c r="AC392" s="572"/>
      <c r="AD392" s="572"/>
      <c r="AE392" s="572"/>
      <c r="AF392" s="572"/>
      <c r="AG392" s="572"/>
      <c r="AH392" s="572"/>
      <c r="AI392" s="572"/>
      <c r="AJ392" s="165" t="s">
        <v>2796</v>
      </c>
      <c r="AK392" s="217"/>
      <c r="AL392" s="54"/>
      <c r="AM392" s="54"/>
      <c r="AN392" s="54"/>
      <c r="AO392" s="54"/>
      <c r="AP392" s="83">
        <v>6</v>
      </c>
      <c r="AQ392" s="116" t="s">
        <v>2797</v>
      </c>
      <c r="AR392" s="83">
        <v>7</v>
      </c>
      <c r="AS392" s="83">
        <v>1</v>
      </c>
      <c r="AT392" s="254"/>
      <c r="AU392" s="259">
        <f>SUM('3.2夜本建筑'!BA8:BA14)</f>
        <v>590000</v>
      </c>
      <c r="AV392" s="261">
        <f>SUM('3.2夜本建筑'!BB8:BB14)</f>
        <v>0.73680555555555516</v>
      </c>
      <c r="AW392" s="83"/>
      <c r="AX392" s="54" t="s">
        <v>2798</v>
      </c>
      <c r="AY392" s="54"/>
      <c r="AZ392" s="54"/>
      <c r="BA392" s="54"/>
      <c r="BB392" s="54"/>
      <c r="BC392" s="171"/>
      <c r="BD392" s="171"/>
    </row>
    <row r="393" spans="1:56" ht="14.1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c r="AC393" s="54"/>
      <c r="AD393" s="54"/>
      <c r="AE393" s="54"/>
      <c r="AF393" s="54"/>
      <c r="AG393" s="54"/>
      <c r="AH393" s="54"/>
      <c r="AI393" s="54"/>
      <c r="AJ393" s="54"/>
      <c r="AK393" s="217"/>
      <c r="AL393" s="54"/>
      <c r="AM393" s="54"/>
      <c r="AN393" s="54"/>
      <c r="AO393" s="54"/>
      <c r="AP393" s="83">
        <v>7</v>
      </c>
      <c r="AQ393" s="116" t="s">
        <v>2799</v>
      </c>
      <c r="AR393" s="83">
        <v>9</v>
      </c>
      <c r="AS393" s="83">
        <v>1</v>
      </c>
      <c r="AT393" s="254"/>
      <c r="AU393" s="259">
        <f>SUM('3.2夜本建筑'!AP21:AP29)</f>
        <v>11066000</v>
      </c>
      <c r="AV393" s="262">
        <f>SUM('3.2夜本建筑'!AQ21:AQ29)</f>
        <v>10.861111111111111</v>
      </c>
      <c r="AW393" s="83"/>
      <c r="AX393" s="54" t="s">
        <v>2798</v>
      </c>
      <c r="AY393" s="54"/>
      <c r="AZ393" s="54"/>
      <c r="BA393" s="54"/>
      <c r="BB393" s="54"/>
      <c r="BC393" s="171"/>
      <c r="BD393" s="171"/>
    </row>
    <row r="394" spans="1:56" ht="14.15" customHeight="1">
      <c r="A394" s="54"/>
      <c r="B394" s="54"/>
      <c r="C394" s="54"/>
      <c r="D394" s="54"/>
      <c r="E394" s="54"/>
      <c r="F394" s="569" t="s">
        <v>2800</v>
      </c>
      <c r="G394" s="569"/>
      <c r="H394" s="570" t="s">
        <v>2801</v>
      </c>
      <c r="I394" s="570"/>
      <c r="J394" s="570"/>
      <c r="K394" s="570"/>
      <c r="L394" s="570"/>
      <c r="M394" s="570"/>
      <c r="N394" s="570"/>
      <c r="O394" s="570"/>
      <c r="P394" s="54"/>
      <c r="Q394" s="54"/>
      <c r="R394" s="54"/>
      <c r="S394" s="54"/>
      <c r="T394" s="54"/>
      <c r="U394" s="54"/>
      <c r="V394" s="54"/>
      <c r="W394" s="54"/>
      <c r="X394" s="54"/>
      <c r="Y394" s="54"/>
      <c r="Z394" s="54"/>
      <c r="AA394" s="54"/>
      <c r="AB394" s="54"/>
      <c r="AC394" s="54"/>
      <c r="AD394" s="54"/>
      <c r="AE394" s="54"/>
      <c r="AF394" s="54"/>
      <c r="AG394" s="54"/>
      <c r="AH394" s="54"/>
      <c r="AI394" s="54"/>
      <c r="AJ394" s="54"/>
      <c r="AK394" s="217"/>
      <c r="AL394" s="54"/>
      <c r="AM394" s="54"/>
      <c r="AN394" s="54"/>
      <c r="AO394" s="54"/>
      <c r="AP394" s="83">
        <v>8</v>
      </c>
      <c r="AQ394" s="116" t="s">
        <v>2802</v>
      </c>
      <c r="AR394" s="83">
        <v>9</v>
      </c>
      <c r="AS394" s="83">
        <v>1</v>
      </c>
      <c r="AT394" s="254"/>
      <c r="AU394" s="259">
        <f>SUM('3.2夜本建筑'!BA21:BA29)</f>
        <v>8200000</v>
      </c>
      <c r="AV394" s="262">
        <f>SUM('3.2夜本建筑'!BB21:BB29)</f>
        <v>4.1883333333333326</v>
      </c>
      <c r="AW394" s="83"/>
      <c r="AX394" s="54" t="s">
        <v>2798</v>
      </c>
      <c r="AY394" s="54"/>
      <c r="AZ394" s="54"/>
      <c r="BA394" s="54"/>
      <c r="BB394" s="54"/>
      <c r="BC394" s="171"/>
      <c r="BD394" s="171"/>
    </row>
    <row r="395" spans="1:56" ht="14.15" customHeight="1">
      <c r="A395" s="54"/>
      <c r="B395" s="54"/>
      <c r="C395" s="54"/>
      <c r="D395" s="54"/>
      <c r="E395" s="54"/>
      <c r="F395" s="569"/>
      <c r="G395" s="569"/>
      <c r="H395" s="570"/>
      <c r="I395" s="570"/>
      <c r="J395" s="570"/>
      <c r="K395" s="570"/>
      <c r="L395" s="570"/>
      <c r="M395" s="570"/>
      <c r="N395" s="570"/>
      <c r="O395" s="570"/>
      <c r="P395" s="54"/>
      <c r="Q395" s="54"/>
      <c r="R395" s="54"/>
      <c r="S395" s="54"/>
      <c r="T395" s="54"/>
      <c r="U395" s="54"/>
      <c r="V395" s="54"/>
      <c r="W395" s="54"/>
      <c r="X395" s="54"/>
      <c r="Y395" s="569" t="s">
        <v>2803</v>
      </c>
      <c r="Z395" s="569"/>
      <c r="AA395" s="570" t="s">
        <v>2804</v>
      </c>
      <c r="AB395" s="570"/>
      <c r="AC395" s="570"/>
      <c r="AD395" s="570"/>
      <c r="AE395" s="570"/>
      <c r="AF395" s="570"/>
      <c r="AG395" s="570"/>
      <c r="AH395" s="570"/>
      <c r="AI395" s="54"/>
      <c r="AJ395" s="54"/>
      <c r="AK395" s="217"/>
      <c r="AL395" s="54"/>
      <c r="AM395" s="54"/>
      <c r="AN395" s="54"/>
      <c r="AO395" s="54"/>
      <c r="AP395" s="83">
        <v>9</v>
      </c>
      <c r="AQ395" s="116" t="s">
        <v>2802</v>
      </c>
      <c r="AR395" s="83">
        <v>8</v>
      </c>
      <c r="AS395" s="83">
        <v>1</v>
      </c>
      <c r="AT395" s="254"/>
      <c r="AU395" s="259">
        <f>SUM('3.2夜本建筑'!BA21:BA28)</f>
        <v>5700000</v>
      </c>
      <c r="AV395" s="262">
        <f>SUM('3.2夜本建筑'!BB21:BB28)</f>
        <v>2.688333333333333</v>
      </c>
      <c r="AW395" s="83"/>
      <c r="AX395" s="54" t="s">
        <v>2798</v>
      </c>
      <c r="AY395" s="54"/>
      <c r="AZ395" s="54"/>
      <c r="BA395" s="54"/>
      <c r="BB395" s="54"/>
      <c r="BC395" s="171"/>
      <c r="BD395" s="171"/>
    </row>
    <row r="396" spans="1:56" ht="14.1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69"/>
      <c r="Z396" s="569"/>
      <c r="AA396" s="570"/>
      <c r="AB396" s="570"/>
      <c r="AC396" s="570"/>
      <c r="AD396" s="570"/>
      <c r="AE396" s="570"/>
      <c r="AF396" s="570"/>
      <c r="AG396" s="570"/>
      <c r="AH396" s="570"/>
      <c r="AI396" s="54"/>
      <c r="AJ396" s="54"/>
      <c r="AK396" s="217"/>
      <c r="AL396" s="54"/>
      <c r="AM396" s="54"/>
      <c r="AN396" s="54"/>
      <c r="AO396" s="54"/>
      <c r="AP396" s="83">
        <v>10</v>
      </c>
      <c r="AQ396" s="116" t="s">
        <v>2805</v>
      </c>
      <c r="AR396" s="83">
        <v>9</v>
      </c>
      <c r="AS396" s="83">
        <v>1</v>
      </c>
      <c r="AT396" s="260">
        <f>SUM('3.2夜本建筑'!AQ8:AQ16)</f>
        <v>10233500</v>
      </c>
      <c r="AU396" s="252"/>
      <c r="AV396" s="263">
        <f>SUM('3.2夜本建筑'!AR8:AR16)</f>
        <v>21.045472222222223</v>
      </c>
      <c r="AW396" s="83"/>
      <c r="AX396" s="54" t="s">
        <v>2798</v>
      </c>
      <c r="AY396" s="54"/>
      <c r="AZ396" s="54"/>
      <c r="BA396" s="54"/>
      <c r="BB396" s="54"/>
      <c r="BC396" s="171"/>
      <c r="BD396" s="171"/>
    </row>
    <row r="397" spans="1:56" ht="14.15" customHeight="1">
      <c r="A397" s="54"/>
      <c r="B397" s="54"/>
      <c r="C397" s="54"/>
      <c r="D397" s="54"/>
      <c r="E397" s="54"/>
      <c r="F397" s="54"/>
      <c r="G397" s="54"/>
      <c r="H397" s="570" t="s">
        <v>2806</v>
      </c>
      <c r="I397" s="570"/>
      <c r="J397" s="570"/>
      <c r="K397" s="570"/>
      <c r="L397" s="570"/>
      <c r="M397" s="570"/>
      <c r="N397" s="570"/>
      <c r="O397" s="570"/>
      <c r="P397" s="54"/>
      <c r="Q397" s="54"/>
      <c r="R397" s="54"/>
      <c r="S397" s="54"/>
      <c r="T397" s="54"/>
      <c r="U397" s="54"/>
      <c r="V397" s="54"/>
      <c r="W397" s="54"/>
      <c r="X397" s="54"/>
      <c r="Y397" s="54"/>
      <c r="Z397" s="54"/>
      <c r="AA397" s="54"/>
      <c r="AB397" s="54"/>
      <c r="AC397" s="54"/>
      <c r="AD397" s="54"/>
      <c r="AE397" s="54"/>
      <c r="AF397" s="54"/>
      <c r="AG397" s="54"/>
      <c r="AH397" s="54"/>
      <c r="AI397" s="54"/>
      <c r="AJ397" s="54"/>
      <c r="AK397" s="217"/>
      <c r="AL397" s="54"/>
      <c r="AM397" s="54"/>
      <c r="AN397" s="54"/>
      <c r="AO397" s="54"/>
      <c r="AP397" s="83">
        <v>11</v>
      </c>
      <c r="AQ397" s="116" t="s">
        <v>2807</v>
      </c>
      <c r="AR397" s="83">
        <v>9</v>
      </c>
      <c r="AS397" s="83">
        <v>2</v>
      </c>
      <c r="AT397" s="260">
        <f>SUM('3.2夜本建筑'!AQ35:AQ43)</f>
        <v>8200000</v>
      </c>
      <c r="AU397" s="252"/>
      <c r="AV397" s="262">
        <f>SUM('3.2夜本建筑'!AR35:AR43)</f>
        <v>4.1883333333333326</v>
      </c>
      <c r="AW397" s="83"/>
      <c r="AX397" s="54" t="s">
        <v>2798</v>
      </c>
      <c r="AY397" s="54"/>
      <c r="AZ397" s="54"/>
      <c r="BA397" s="54"/>
      <c r="BB397" s="54"/>
      <c r="BC397" s="171"/>
      <c r="BD397" s="171"/>
    </row>
    <row r="398" spans="1:56" ht="14.15" customHeight="1">
      <c r="A398" s="54"/>
      <c r="B398" s="54"/>
      <c r="C398" s="54"/>
      <c r="D398" s="54"/>
      <c r="E398" s="54"/>
      <c r="F398" s="54"/>
      <c r="G398" s="54"/>
      <c r="H398" s="570"/>
      <c r="I398" s="570"/>
      <c r="J398" s="570"/>
      <c r="K398" s="570"/>
      <c r="L398" s="570"/>
      <c r="M398" s="570"/>
      <c r="N398" s="570"/>
      <c r="O398" s="570"/>
      <c r="P398" s="54"/>
      <c r="Q398" s="54"/>
      <c r="R398" s="54"/>
      <c r="S398" s="54"/>
      <c r="T398" s="54"/>
      <c r="U398" s="54"/>
      <c r="V398" s="54"/>
      <c r="W398" s="54"/>
      <c r="X398" s="54"/>
      <c r="Y398" s="569" t="s">
        <v>2808</v>
      </c>
      <c r="Z398" s="569"/>
      <c r="AA398" s="570" t="s">
        <v>2809</v>
      </c>
      <c r="AB398" s="570"/>
      <c r="AC398" s="570"/>
      <c r="AD398" s="570"/>
      <c r="AE398" s="570"/>
      <c r="AF398" s="570"/>
      <c r="AG398" s="570"/>
      <c r="AH398" s="570"/>
      <c r="AI398" s="54"/>
      <c r="AJ398" s="54"/>
      <c r="AK398" s="217"/>
      <c r="AL398" s="54"/>
      <c r="AM398" s="54"/>
      <c r="AN398" s="54"/>
      <c r="AO398" s="54"/>
      <c r="AP398" s="83">
        <v>12</v>
      </c>
      <c r="AQ398" s="257" t="s">
        <v>2810</v>
      </c>
      <c r="AR398" s="83">
        <v>4</v>
      </c>
      <c r="AS398" s="83">
        <v>1</v>
      </c>
      <c r="AT398" s="260">
        <f>SUM('3.2夜本建筑'!AF7:AF10)</f>
        <v>450000</v>
      </c>
      <c r="AU398" s="252"/>
      <c r="AV398" s="262">
        <f>SUM('3.2夜本建筑'!AG7:AG10)</f>
        <v>0.67361111111111116</v>
      </c>
      <c r="AW398" s="54"/>
      <c r="AX398" s="54" t="s">
        <v>2798</v>
      </c>
      <c r="AY398" s="54"/>
      <c r="AZ398" s="54"/>
      <c r="BA398" s="54"/>
      <c r="BB398" s="54"/>
      <c r="BC398" s="171"/>
      <c r="BD398" s="171"/>
    </row>
    <row r="399" spans="1:56" ht="14.1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69"/>
      <c r="Z399" s="569"/>
      <c r="AA399" s="570"/>
      <c r="AB399" s="570"/>
      <c r="AC399" s="570"/>
      <c r="AD399" s="570"/>
      <c r="AE399" s="570"/>
      <c r="AF399" s="570"/>
      <c r="AG399" s="570"/>
      <c r="AH399" s="570"/>
      <c r="AI399" s="54"/>
      <c r="AJ399" s="54"/>
      <c r="AK399" s="217"/>
      <c r="AL399" s="54"/>
      <c r="AM399" s="54"/>
      <c r="AN399" s="54"/>
      <c r="AO399" s="54"/>
      <c r="AP399" s="83">
        <v>13</v>
      </c>
      <c r="AQ399" s="257" t="s">
        <v>2811</v>
      </c>
      <c r="AR399" s="83">
        <v>6</v>
      </c>
      <c r="AS399" s="83">
        <v>1</v>
      </c>
      <c r="AT399" s="260">
        <f>SUM('3.2夜本建筑'!M21:M26)</f>
        <v>2352000</v>
      </c>
      <c r="AU399" s="252"/>
      <c r="AV399" s="262">
        <f>SUM('3.2夜本建筑'!N21:N26)</f>
        <v>2.4305555555555554</v>
      </c>
      <c r="AW399" s="54"/>
      <c r="AX399" s="54" t="s">
        <v>2798</v>
      </c>
      <c r="AY399" s="54"/>
      <c r="AZ399" s="54"/>
      <c r="BA399" s="54"/>
      <c r="BB399" s="54"/>
      <c r="BC399" s="171"/>
      <c r="BD399" s="171"/>
    </row>
    <row r="400" spans="1:56" ht="14.1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c r="AC400" s="54"/>
      <c r="AD400" s="54"/>
      <c r="AE400" s="54"/>
      <c r="AF400" s="54"/>
      <c r="AG400" s="54"/>
      <c r="AH400" s="54"/>
      <c r="AI400" s="54"/>
      <c r="AJ400" s="54"/>
      <c r="AK400" s="217"/>
      <c r="AL400" s="54"/>
      <c r="AM400" s="54"/>
      <c r="AN400" s="54"/>
      <c r="AO400" s="54"/>
      <c r="AP400" s="83">
        <v>14</v>
      </c>
      <c r="AQ400" s="257" t="s">
        <v>2812</v>
      </c>
      <c r="AR400" s="83">
        <v>8</v>
      </c>
      <c r="AS400" s="83">
        <v>1</v>
      </c>
      <c r="AT400" s="260">
        <f>SUM('3.2夜本建筑'!L48:L55)</f>
        <v>11900000</v>
      </c>
      <c r="AU400" s="252"/>
      <c r="AV400" s="263">
        <f>SUM('3.2夜本建筑'!M48:M55)</f>
        <v>18.833333333333332</v>
      </c>
      <c r="AW400" s="54"/>
      <c r="AX400" s="54" t="s">
        <v>2798</v>
      </c>
      <c r="AY400" s="54"/>
      <c r="AZ400" s="54"/>
      <c r="BA400" s="54"/>
      <c r="BB400" s="54"/>
      <c r="BC400" s="171"/>
      <c r="BD400" s="171"/>
    </row>
    <row r="401" spans="1:56" ht="14.1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c r="AC401" s="54"/>
      <c r="AD401" s="54"/>
      <c r="AE401" s="54"/>
      <c r="AF401" s="54"/>
      <c r="AG401" s="54"/>
      <c r="AH401" s="54"/>
      <c r="AI401" s="54"/>
      <c r="AJ401" s="54"/>
      <c r="AK401" s="217"/>
      <c r="AL401" s="54"/>
      <c r="AM401" s="54"/>
      <c r="AN401" s="54"/>
      <c r="AO401" s="54"/>
      <c r="AP401" s="54"/>
      <c r="AQ401" s="116"/>
      <c r="AR401" s="54"/>
      <c r="AS401" s="54"/>
      <c r="AT401" s="54"/>
      <c r="AU401" s="264"/>
      <c r="AV401" s="83"/>
      <c r="AW401" s="54"/>
      <c r="AX401" s="54"/>
      <c r="AY401" s="54"/>
      <c r="AZ401" s="54"/>
      <c r="BA401" s="54"/>
      <c r="BB401" s="54"/>
      <c r="BC401" s="171"/>
      <c r="BD401" s="171"/>
    </row>
    <row r="402" spans="1:56" ht="14.1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c r="AG402" s="54"/>
      <c r="AH402" s="54"/>
      <c r="AI402" s="54"/>
      <c r="AJ402" s="54"/>
      <c r="AK402" s="217"/>
      <c r="AL402" s="54"/>
      <c r="AM402" s="54"/>
      <c r="AN402" s="54"/>
      <c r="AO402" s="54"/>
      <c r="AP402" s="83">
        <v>15</v>
      </c>
      <c r="AQ402" s="257" t="s">
        <v>139</v>
      </c>
      <c r="AR402" s="83">
        <v>1</v>
      </c>
      <c r="AS402" s="83">
        <v>32</v>
      </c>
      <c r="AT402" s="254">
        <v>4000</v>
      </c>
      <c r="AU402" s="264"/>
      <c r="AV402" s="54"/>
      <c r="AW402" s="54"/>
      <c r="AX402" s="54" t="s">
        <v>2813</v>
      </c>
      <c r="AY402" s="54"/>
      <c r="AZ402" s="54"/>
      <c r="BA402" s="54"/>
      <c r="BB402" s="54"/>
      <c r="BC402" s="171"/>
      <c r="BD402" s="171"/>
    </row>
    <row r="403" spans="1:56" ht="14.1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c r="AG403" s="54"/>
      <c r="AH403" s="54"/>
      <c r="AI403" s="54"/>
      <c r="AJ403" s="54"/>
      <c r="AK403" s="54"/>
      <c r="AL403" s="54"/>
      <c r="AM403" s="54"/>
      <c r="AN403" s="54"/>
      <c r="AO403" s="54"/>
      <c r="AP403" s="83">
        <v>16</v>
      </c>
      <c r="AQ403" s="257" t="s">
        <v>2</v>
      </c>
      <c r="AR403" s="83">
        <v>1</v>
      </c>
      <c r="AS403" s="83">
        <v>3</v>
      </c>
      <c r="AT403" s="260">
        <v>10000</v>
      </c>
      <c r="AU403" s="264"/>
      <c r="AV403" s="262">
        <f>'3.2夜本建筑'!W7</f>
        <v>6.9444444444444404E-4</v>
      </c>
      <c r="AW403" s="54"/>
      <c r="AX403" s="54" t="s">
        <v>2813</v>
      </c>
      <c r="AY403" s="54"/>
      <c r="AZ403" s="54"/>
      <c r="BA403" s="54"/>
      <c r="BB403" s="54"/>
      <c r="BC403" s="171"/>
      <c r="BD403" s="171"/>
    </row>
    <row r="404" spans="1:56" ht="14.1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c r="AC404" s="54"/>
      <c r="AD404" s="54"/>
      <c r="AE404" s="54"/>
      <c r="AF404" s="54"/>
      <c r="AG404" s="54"/>
      <c r="AH404" s="54"/>
      <c r="AI404" s="54"/>
      <c r="AJ404" s="54"/>
      <c r="AK404" s="54"/>
      <c r="AL404" s="54"/>
      <c r="AM404" s="54"/>
      <c r="AN404" s="54"/>
      <c r="AO404" s="54"/>
      <c r="AP404" s="83">
        <v>17</v>
      </c>
      <c r="AQ404" s="257" t="s">
        <v>142</v>
      </c>
      <c r="AR404" s="83">
        <v>1</v>
      </c>
      <c r="AS404" s="83">
        <v>2</v>
      </c>
      <c r="AT404" s="260">
        <v>20000</v>
      </c>
      <c r="AU404" s="264"/>
      <c r="AV404" s="262">
        <f>AV403*10</f>
        <v>6.9444444444444406E-3</v>
      </c>
      <c r="AW404" s="54"/>
      <c r="AX404" s="54" t="s">
        <v>2813</v>
      </c>
      <c r="AY404" s="54"/>
      <c r="AZ404" s="54"/>
      <c r="BA404" s="54"/>
      <c r="BB404" s="54"/>
      <c r="BC404" s="171"/>
      <c r="BD404" s="171"/>
    </row>
    <row r="405" spans="1:56" ht="14.1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c r="AC405" s="54"/>
      <c r="AD405" s="54"/>
      <c r="AE405" s="54"/>
      <c r="AF405" s="54"/>
      <c r="AG405" s="54"/>
      <c r="AH405" s="54"/>
      <c r="AI405" s="54"/>
      <c r="AJ405" s="54"/>
      <c r="AK405" s="54"/>
      <c r="AL405" s="54"/>
      <c r="AM405" s="54"/>
      <c r="AN405" s="54"/>
      <c r="AO405" s="54"/>
      <c r="AP405" s="83">
        <v>18</v>
      </c>
      <c r="AQ405" s="257" t="s">
        <v>145</v>
      </c>
      <c r="AR405" s="83">
        <v>1</v>
      </c>
      <c r="AS405" s="83">
        <v>2</v>
      </c>
      <c r="AT405" s="260">
        <v>12000</v>
      </c>
      <c r="AU405" s="264"/>
      <c r="AV405" s="262">
        <f>AV404/2</f>
        <v>3.4722222222222203E-3</v>
      </c>
      <c r="AW405" s="54"/>
      <c r="AX405" s="54" t="s">
        <v>2813</v>
      </c>
      <c r="AY405" s="54"/>
      <c r="AZ405" s="54"/>
      <c r="BA405" s="54"/>
      <c r="BB405" s="54"/>
      <c r="BC405" s="171"/>
      <c r="BD405" s="171"/>
    </row>
    <row r="406" spans="1:56" ht="14.15" customHeight="1">
      <c r="A406" s="54"/>
      <c r="B406" s="54"/>
      <c r="C406" s="54"/>
      <c r="D406" s="54"/>
      <c r="E406" s="54"/>
      <c r="F406" s="569" t="s">
        <v>2308</v>
      </c>
      <c r="G406" s="569"/>
      <c r="H406" s="570" t="s">
        <v>2814</v>
      </c>
      <c r="I406" s="570"/>
      <c r="J406" s="570"/>
      <c r="K406" s="570"/>
      <c r="L406" s="570"/>
      <c r="M406" s="570"/>
      <c r="N406" s="570"/>
      <c r="O406" s="570"/>
      <c r="P406" s="570"/>
      <c r="Q406" s="570"/>
      <c r="R406" s="570"/>
      <c r="S406" s="54"/>
      <c r="T406" s="54"/>
      <c r="U406" s="54"/>
      <c r="V406" s="54"/>
      <c r="W406" s="54"/>
      <c r="X406" s="54"/>
      <c r="Y406" s="54"/>
      <c r="Z406" s="54"/>
      <c r="AA406" s="54"/>
      <c r="AB406" s="54"/>
      <c r="AC406" s="54"/>
      <c r="AD406" s="54"/>
      <c r="AE406" s="54"/>
      <c r="AF406" s="54"/>
      <c r="AG406" s="54"/>
      <c r="AH406" s="54"/>
      <c r="AI406" s="54"/>
      <c r="AJ406" s="54"/>
      <c r="AK406" s="54"/>
      <c r="AL406" s="54"/>
      <c r="AM406" s="54"/>
      <c r="AN406" s="54"/>
      <c r="AO406" s="54"/>
      <c r="AP406" s="83">
        <v>19</v>
      </c>
      <c r="AQ406" s="257" t="s">
        <v>43</v>
      </c>
      <c r="AR406" s="83">
        <v>1</v>
      </c>
      <c r="AS406" s="83">
        <v>3</v>
      </c>
      <c r="AT406" s="260">
        <v>50000</v>
      </c>
      <c r="AU406" s="264"/>
      <c r="AV406" s="262">
        <f>AV404*3</f>
        <v>2.0833333333333322E-2</v>
      </c>
      <c r="AW406" s="54"/>
      <c r="AX406" s="54" t="s">
        <v>2813</v>
      </c>
      <c r="AY406" s="54"/>
      <c r="AZ406" s="54"/>
      <c r="BA406" s="54"/>
      <c r="BB406" s="54"/>
      <c r="BC406" s="171"/>
      <c r="BD406" s="171"/>
    </row>
    <row r="407" spans="1:56" ht="14.15" customHeight="1">
      <c r="A407" s="54"/>
      <c r="B407" s="54"/>
      <c r="C407" s="54"/>
      <c r="D407" s="54"/>
      <c r="E407" s="54"/>
      <c r="F407" s="569"/>
      <c r="G407" s="569"/>
      <c r="H407" s="570"/>
      <c r="I407" s="570"/>
      <c r="J407" s="570"/>
      <c r="K407" s="570"/>
      <c r="L407" s="570"/>
      <c r="M407" s="570"/>
      <c r="N407" s="570"/>
      <c r="O407" s="570"/>
      <c r="P407" s="570"/>
      <c r="Q407" s="570"/>
      <c r="R407" s="570"/>
      <c r="S407" s="54"/>
      <c r="T407" s="54"/>
      <c r="U407" s="54"/>
      <c r="V407" s="54"/>
      <c r="W407" s="54"/>
      <c r="X407" s="54"/>
      <c r="Y407" s="54"/>
      <c r="Z407" s="54"/>
      <c r="AA407" s="54"/>
      <c r="AB407" s="54"/>
      <c r="AC407" s="54"/>
      <c r="AD407" s="54"/>
      <c r="AE407" s="54"/>
      <c r="AF407" s="54"/>
      <c r="AG407" s="54"/>
      <c r="AH407" s="54"/>
      <c r="AI407" s="54"/>
      <c r="AJ407" s="54"/>
      <c r="AK407" s="54"/>
      <c r="AL407" s="54"/>
      <c r="AM407" s="54"/>
      <c r="AN407" s="54"/>
      <c r="AO407" s="54"/>
      <c r="AP407" s="83">
        <v>20</v>
      </c>
      <c r="AQ407" s="257" t="s">
        <v>148</v>
      </c>
      <c r="AR407" s="83">
        <v>1</v>
      </c>
      <c r="AS407" s="83">
        <v>4</v>
      </c>
      <c r="AT407" s="260">
        <v>30000</v>
      </c>
      <c r="AU407" s="264"/>
      <c r="AV407" s="262">
        <f>AV406/2</f>
        <v>1.0416666666666661E-2</v>
      </c>
      <c r="AW407" s="54"/>
      <c r="AX407" s="54" t="s">
        <v>2813</v>
      </c>
      <c r="AY407" s="54"/>
      <c r="AZ407" s="54"/>
      <c r="BA407" s="54"/>
      <c r="BB407" s="54"/>
      <c r="BC407" s="171"/>
      <c r="BD407" s="171"/>
    </row>
    <row r="408" spans="1:56" ht="14.1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c r="AA408" s="54"/>
      <c r="AB408" s="54"/>
      <c r="AC408" s="54"/>
      <c r="AD408" s="54"/>
      <c r="AE408" s="54"/>
      <c r="AF408" s="54"/>
      <c r="AG408" s="54"/>
      <c r="AH408" s="54"/>
      <c r="AI408" s="54"/>
      <c r="AJ408" s="54"/>
      <c r="AK408" s="54"/>
      <c r="AL408" s="54"/>
      <c r="AM408" s="54"/>
      <c r="AN408" s="54"/>
      <c r="AO408" s="54"/>
      <c r="AP408" s="83">
        <v>21</v>
      </c>
      <c r="AQ408" s="257" t="s">
        <v>149</v>
      </c>
      <c r="AR408" s="83">
        <v>1</v>
      </c>
      <c r="AS408" s="83">
        <v>2</v>
      </c>
      <c r="AT408" s="260">
        <v>120000</v>
      </c>
      <c r="AU408" s="264"/>
      <c r="AV408" s="262">
        <f>'3.2夜本建筑'!M35</f>
        <v>8.3333333333333301E-2</v>
      </c>
      <c r="AW408" s="54"/>
      <c r="AX408" s="54" t="s">
        <v>2813</v>
      </c>
      <c r="AY408" s="54"/>
      <c r="AZ408" s="54"/>
      <c r="BA408" s="54"/>
      <c r="BB408" s="54"/>
      <c r="BC408" s="171"/>
      <c r="BD408" s="171"/>
    </row>
    <row r="409" spans="1:56" ht="14.1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c r="AC409" s="54"/>
      <c r="AD409" s="54"/>
      <c r="AE409" s="54"/>
      <c r="AF409" s="54"/>
      <c r="AG409" s="54"/>
      <c r="AH409" s="54"/>
      <c r="AI409" s="54"/>
      <c r="AJ409" s="54"/>
      <c r="AK409" s="54"/>
      <c r="AL409" s="54"/>
      <c r="AM409" s="54"/>
      <c r="AN409" s="54"/>
      <c r="AO409" s="54"/>
      <c r="AP409" s="83">
        <v>22</v>
      </c>
      <c r="AQ409" s="257" t="s">
        <v>151</v>
      </c>
      <c r="AR409" s="83">
        <v>1</v>
      </c>
      <c r="AS409" s="83">
        <v>1</v>
      </c>
      <c r="AT409" s="260">
        <f>'3.2夜本建筑'!V35</f>
        <v>200000</v>
      </c>
      <c r="AU409" s="264"/>
      <c r="AV409" s="262">
        <f>'3.2夜本建筑'!W35</f>
        <v>0.16700000000000001</v>
      </c>
      <c r="AW409" s="54"/>
      <c r="AX409" s="54" t="s">
        <v>2813</v>
      </c>
      <c r="AY409" s="54"/>
      <c r="AZ409" s="54"/>
      <c r="BA409" s="54"/>
      <c r="BB409" s="54"/>
      <c r="BC409" s="171"/>
      <c r="BD409" s="171"/>
    </row>
    <row r="410" spans="1:56" ht="14.1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c r="AA410" s="54"/>
      <c r="AB410" s="54"/>
      <c r="AC410" s="54"/>
      <c r="AD410" s="54"/>
      <c r="AE410" s="54"/>
      <c r="AF410" s="54"/>
      <c r="AG410" s="54"/>
      <c r="AH410" s="54"/>
      <c r="AI410" s="54"/>
      <c r="AJ410" s="54"/>
      <c r="AK410" s="54"/>
      <c r="AL410" s="54"/>
      <c r="AM410" s="54"/>
      <c r="AN410" s="54"/>
      <c r="AO410" s="54"/>
      <c r="AP410" s="83">
        <v>23</v>
      </c>
      <c r="AQ410" s="257" t="s">
        <v>2815</v>
      </c>
      <c r="AR410" s="83">
        <v>1</v>
      </c>
      <c r="AS410" s="83">
        <v>1</v>
      </c>
      <c r="AT410" s="260">
        <f>'3.2夜本建筑'!AF35</f>
        <v>300000</v>
      </c>
      <c r="AU410" s="264"/>
      <c r="AV410" s="83">
        <f>'3.2夜本建筑'!AG35</f>
        <v>0.25</v>
      </c>
      <c r="AW410" s="54"/>
      <c r="AX410" s="54" t="s">
        <v>2813</v>
      </c>
      <c r="AY410" s="54"/>
      <c r="AZ410" s="54"/>
      <c r="BA410" s="54"/>
      <c r="BB410" s="54"/>
      <c r="BC410" s="171"/>
      <c r="BD410" s="171"/>
    </row>
    <row r="411" spans="1:56" ht="14.1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c r="AA411" s="54"/>
      <c r="AB411" s="54"/>
      <c r="AC411" s="54"/>
      <c r="AD411" s="54"/>
      <c r="AE411" s="54"/>
      <c r="AF411" s="54"/>
      <c r="AG411" s="54"/>
      <c r="AH411" s="54"/>
      <c r="AI411" s="54"/>
      <c r="AJ411" s="54"/>
      <c r="AK411" s="54"/>
      <c r="AL411" s="54"/>
      <c r="AM411" s="54"/>
      <c r="AN411" s="54"/>
      <c r="AO411" s="54"/>
      <c r="AP411" s="83">
        <v>24</v>
      </c>
      <c r="AQ411" s="257" t="s">
        <v>159</v>
      </c>
      <c r="AR411" s="83">
        <v>1</v>
      </c>
      <c r="AS411" s="83">
        <v>1</v>
      </c>
      <c r="AT411" s="260">
        <f>'3.2夜本建筑'!V48</f>
        <v>1000000</v>
      </c>
      <c r="AU411" s="264"/>
      <c r="AV411" s="262">
        <f>'3.2夜本建筑'!W48</f>
        <v>0.41666666666666702</v>
      </c>
      <c r="AW411" s="54"/>
      <c r="AX411" s="54" t="s">
        <v>2813</v>
      </c>
      <c r="AY411" s="54"/>
      <c r="AZ411" s="54"/>
      <c r="BA411" s="54"/>
      <c r="BB411" s="54"/>
      <c r="BC411" s="171"/>
      <c r="BD411" s="171"/>
    </row>
    <row r="412" spans="1:56" ht="14.1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69" t="s">
        <v>2816</v>
      </c>
      <c r="Z412" s="569"/>
      <c r="AA412" s="570" t="s">
        <v>2817</v>
      </c>
      <c r="AB412" s="570"/>
      <c r="AC412" s="570"/>
      <c r="AD412" s="570"/>
      <c r="AE412" s="570"/>
      <c r="AF412" s="570"/>
      <c r="AG412" s="570"/>
      <c r="AH412" s="570"/>
      <c r="AI412" s="54"/>
      <c r="AJ412" s="54"/>
      <c r="AK412" s="54"/>
      <c r="AL412" s="54"/>
      <c r="AM412" s="54"/>
      <c r="AN412" s="54"/>
      <c r="AO412" s="54"/>
      <c r="AP412" s="83">
        <v>25</v>
      </c>
      <c r="AQ412" s="257" t="s">
        <v>161</v>
      </c>
      <c r="AR412" s="83">
        <v>1</v>
      </c>
      <c r="AS412" s="83">
        <v>1</v>
      </c>
      <c r="AT412" s="260">
        <f>'3.2夜本建筑'!AF48</f>
        <v>2000000</v>
      </c>
      <c r="AU412" s="264"/>
      <c r="AV412" s="83">
        <f>'3.2夜本建筑'!AG48</f>
        <v>0.5</v>
      </c>
      <c r="AW412" s="54"/>
      <c r="AX412" s="54" t="s">
        <v>2813</v>
      </c>
      <c r="AY412" s="54"/>
      <c r="AZ412" s="54"/>
      <c r="BA412" s="54"/>
      <c r="BB412" s="54"/>
      <c r="BC412" s="171"/>
      <c r="BD412" s="171"/>
    </row>
    <row r="413" spans="1:56" ht="14.1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69"/>
      <c r="Z413" s="569"/>
      <c r="AA413" s="570"/>
      <c r="AB413" s="570"/>
      <c r="AC413" s="570"/>
      <c r="AD413" s="570"/>
      <c r="AE413" s="570"/>
      <c r="AF413" s="570"/>
      <c r="AG413" s="570"/>
      <c r="AH413" s="570"/>
      <c r="AI413" s="54"/>
      <c r="AJ413" s="54"/>
      <c r="AK413" s="54"/>
      <c r="AL413" s="54"/>
      <c r="AM413" s="54"/>
      <c r="AN413" s="54"/>
      <c r="AO413" s="54"/>
      <c r="AP413" s="83">
        <v>26</v>
      </c>
      <c r="AQ413" s="257" t="s">
        <v>143</v>
      </c>
      <c r="AR413" s="83">
        <v>6</v>
      </c>
      <c r="AS413" s="83">
        <v>1</v>
      </c>
      <c r="AT413" s="254"/>
      <c r="AU413" s="259">
        <f>SUM('3.2夜本建筑'!BJ8:BJ13)</f>
        <v>5542000</v>
      </c>
      <c r="AV413" s="262">
        <f>SUM('3.2夜本建筑'!BK8:BK13)</f>
        <v>4.4618055555555554</v>
      </c>
      <c r="AW413" s="54"/>
      <c r="AX413" s="54" t="s">
        <v>2813</v>
      </c>
      <c r="AY413" s="54"/>
      <c r="AZ413" s="54"/>
      <c r="BA413" s="54"/>
      <c r="BB413" s="54"/>
      <c r="BC413" s="171"/>
      <c r="BD413" s="171"/>
    </row>
    <row r="414" spans="1:56" ht="14.1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c r="AA414" s="570"/>
      <c r="AB414" s="570"/>
      <c r="AC414" s="570"/>
      <c r="AD414" s="570"/>
      <c r="AE414" s="570"/>
      <c r="AF414" s="570"/>
      <c r="AG414" s="570"/>
      <c r="AH414" s="570"/>
      <c r="AI414" s="54"/>
      <c r="AJ414" s="54"/>
      <c r="AK414" s="54"/>
      <c r="AL414" s="54"/>
      <c r="AM414" s="54"/>
      <c r="AN414" s="54"/>
      <c r="AO414" s="54"/>
      <c r="AP414" s="83">
        <v>27</v>
      </c>
      <c r="AQ414" s="257" t="s">
        <v>55</v>
      </c>
      <c r="AR414" s="83">
        <v>1</v>
      </c>
      <c r="AS414" s="83">
        <v>3</v>
      </c>
      <c r="AT414" s="254">
        <f>'3.2夜本建筑'!BM21</f>
        <v>1000</v>
      </c>
      <c r="AU414" s="264"/>
      <c r="AV414" s="262">
        <f>'3.2夜本建筑'!BN21</f>
        <v>6.9444444444444397E-3</v>
      </c>
      <c r="AW414" s="54"/>
      <c r="AX414" s="54" t="s">
        <v>2813</v>
      </c>
      <c r="AY414" s="54"/>
      <c r="AZ414" s="54"/>
      <c r="BA414" s="54"/>
      <c r="BB414" s="54"/>
      <c r="BC414" s="171"/>
      <c r="BD414" s="171"/>
    </row>
    <row r="415" spans="1:56" ht="14.1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c r="AA415" s="54"/>
      <c r="AB415" s="54"/>
      <c r="AC415" s="54"/>
      <c r="AD415" s="54"/>
      <c r="AE415" s="54"/>
      <c r="AF415" s="54"/>
      <c r="AG415" s="54"/>
      <c r="AH415" s="54"/>
      <c r="AI415" s="54"/>
      <c r="AJ415" s="54"/>
      <c r="AK415" s="54"/>
      <c r="AL415" s="54"/>
      <c r="AM415" s="54"/>
      <c r="AN415" s="54"/>
      <c r="AO415" s="54"/>
      <c r="AP415" s="83">
        <v>28</v>
      </c>
      <c r="AQ415" s="257" t="s">
        <v>64</v>
      </c>
      <c r="AR415" s="83">
        <v>1</v>
      </c>
      <c r="AS415" s="83">
        <v>3</v>
      </c>
      <c r="AT415" s="254"/>
      <c r="AU415" s="252">
        <f>'3.2夜本建筑'!BC35</f>
        <v>1000</v>
      </c>
      <c r="AV415" s="262">
        <f>'3.2夜本建筑'!BD35</f>
        <v>6.9444444444444397E-3</v>
      </c>
      <c r="AW415" s="54"/>
      <c r="AX415" s="54" t="s">
        <v>2813</v>
      </c>
      <c r="AY415" s="54"/>
      <c r="AZ415" s="54"/>
      <c r="BA415" s="54"/>
      <c r="BB415" s="54"/>
      <c r="BC415" s="171"/>
      <c r="BD415" s="171"/>
    </row>
    <row r="416" spans="1:56" ht="14.1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c r="AA416" s="54"/>
      <c r="AB416" s="54"/>
      <c r="AC416" s="54"/>
      <c r="AD416" s="54"/>
      <c r="AE416" s="54"/>
      <c r="AF416" s="54"/>
      <c r="AG416" s="54"/>
      <c r="AH416" s="54"/>
      <c r="AI416" s="54"/>
      <c r="AJ416" s="54"/>
      <c r="AK416" s="54"/>
      <c r="AL416" s="54"/>
      <c r="AM416" s="54"/>
      <c r="AN416" s="54"/>
      <c r="AO416" s="54"/>
      <c r="AP416" s="83">
        <v>29</v>
      </c>
      <c r="AQ416" s="257" t="s">
        <v>162</v>
      </c>
      <c r="AR416" s="83">
        <v>1</v>
      </c>
      <c r="AS416" s="83">
        <v>5</v>
      </c>
      <c r="AT416" s="254">
        <f>'3.2夜本建筑'!AZ48</f>
        <v>1000</v>
      </c>
      <c r="AU416" s="264"/>
      <c r="AV416" s="83"/>
      <c r="AW416" s="54"/>
      <c r="AX416" s="54" t="s">
        <v>2813</v>
      </c>
      <c r="AY416" s="54"/>
      <c r="AZ416" s="54"/>
      <c r="BA416" s="54"/>
      <c r="BB416" s="54"/>
      <c r="BC416" s="171"/>
      <c r="BD416" s="171"/>
    </row>
    <row r="417" spans="1:56" ht="14.1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c r="AA417" s="54"/>
      <c r="AB417" s="54"/>
      <c r="AC417" s="54"/>
      <c r="AD417" s="54"/>
      <c r="AE417" s="54"/>
      <c r="AF417" s="54"/>
      <c r="AG417" s="54"/>
      <c r="AH417" s="54"/>
      <c r="AI417" s="54"/>
      <c r="AJ417" s="54"/>
      <c r="AK417" s="54"/>
      <c r="AL417" s="54"/>
      <c r="AM417" s="54"/>
      <c r="AN417" s="54"/>
      <c r="AO417" s="54"/>
      <c r="AP417" s="83">
        <v>30</v>
      </c>
      <c r="AQ417" s="257" t="s">
        <v>116</v>
      </c>
      <c r="AR417" s="83">
        <v>1</v>
      </c>
      <c r="AS417" s="83">
        <v>5</v>
      </c>
      <c r="AT417" s="260">
        <f>'3.2夜本建筑'!BJ48</f>
        <v>10000</v>
      </c>
      <c r="AU417" s="264"/>
      <c r="AV417" s="83"/>
      <c r="AW417" s="54"/>
      <c r="AX417" s="54" t="s">
        <v>2813</v>
      </c>
      <c r="AY417" s="54"/>
      <c r="AZ417" s="54"/>
      <c r="BA417" s="54"/>
      <c r="BB417" s="54"/>
      <c r="BC417" s="171"/>
      <c r="BD417" s="171"/>
    </row>
    <row r="418" spans="1:56" ht="14.1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c r="AA418" s="54"/>
      <c r="AB418" s="54"/>
      <c r="AC418" s="54"/>
      <c r="AD418" s="54"/>
      <c r="AE418" s="54"/>
      <c r="AF418" s="54"/>
      <c r="AG418" s="54"/>
      <c r="AH418" s="54"/>
      <c r="AI418" s="54"/>
      <c r="AJ418" s="54"/>
      <c r="AK418" s="54"/>
      <c r="AL418" s="54"/>
      <c r="AM418" s="54"/>
      <c r="AN418" s="54"/>
      <c r="AO418" s="54"/>
      <c r="AP418" s="83">
        <v>31</v>
      </c>
      <c r="AQ418" s="257" t="s">
        <v>166</v>
      </c>
      <c r="AR418" s="83">
        <v>1</v>
      </c>
      <c r="AS418" s="83">
        <v>5</v>
      </c>
      <c r="AT418" s="254">
        <f>'3.2夜本建筑'!AP61</f>
        <v>5000</v>
      </c>
      <c r="AU418" s="264"/>
      <c r="AV418" s="83"/>
      <c r="AW418" s="54"/>
      <c r="AX418" s="54" t="s">
        <v>2813</v>
      </c>
      <c r="AY418" s="54"/>
      <c r="AZ418" s="54"/>
      <c r="BA418" s="54"/>
      <c r="BB418" s="54"/>
      <c r="BC418" s="171"/>
      <c r="BD418" s="171"/>
    </row>
    <row r="419" spans="1:56" ht="14.15" customHeight="1">
      <c r="A419" s="54"/>
      <c r="B419" s="54"/>
      <c r="C419" s="54"/>
      <c r="D419" s="54"/>
      <c r="E419" s="54"/>
      <c r="F419" s="569" t="s">
        <v>2818</v>
      </c>
      <c r="G419" s="569"/>
      <c r="H419" s="570" t="s">
        <v>2819</v>
      </c>
      <c r="I419" s="570"/>
      <c r="J419" s="570"/>
      <c r="K419" s="570"/>
      <c r="L419" s="570"/>
      <c r="M419" s="570"/>
      <c r="N419" s="570"/>
      <c r="O419" s="570"/>
      <c r="P419" s="54"/>
      <c r="Q419" s="54"/>
      <c r="R419" s="54"/>
      <c r="S419" s="54"/>
      <c r="T419" s="54"/>
      <c r="U419" s="54"/>
      <c r="V419" s="54"/>
      <c r="W419" s="54"/>
      <c r="X419" s="54"/>
      <c r="Y419" s="54"/>
      <c r="Z419" s="54"/>
      <c r="AA419" s="54"/>
      <c r="AB419" s="54"/>
      <c r="AC419" s="54"/>
      <c r="AD419" s="54"/>
      <c r="AE419" s="54"/>
      <c r="AF419" s="54"/>
      <c r="AG419" s="54"/>
      <c r="AH419" s="54"/>
      <c r="AI419" s="54"/>
      <c r="AJ419" s="54"/>
      <c r="AK419" s="54"/>
      <c r="AL419" s="54"/>
      <c r="AM419" s="54"/>
      <c r="AN419" s="54"/>
      <c r="AO419" s="54"/>
      <c r="AP419" s="83">
        <v>32</v>
      </c>
      <c r="AQ419" s="257" t="s">
        <v>167</v>
      </c>
      <c r="AR419" s="83">
        <v>1</v>
      </c>
      <c r="AS419" s="83">
        <v>3</v>
      </c>
      <c r="AT419" s="260">
        <f>'3.2夜本建筑'!AZ61</f>
        <v>30000</v>
      </c>
      <c r="AU419" s="264"/>
      <c r="AV419" s="83"/>
      <c r="AW419" s="54"/>
      <c r="AX419" s="54" t="s">
        <v>2813</v>
      </c>
      <c r="AY419" s="54"/>
      <c r="AZ419" s="54"/>
      <c r="BA419" s="54"/>
      <c r="BB419" s="54"/>
      <c r="BC419" s="171"/>
      <c r="BD419" s="171"/>
    </row>
    <row r="420" spans="1:56" ht="14.15" customHeight="1">
      <c r="A420" s="54"/>
      <c r="B420" s="54"/>
      <c r="C420" s="54"/>
      <c r="D420" s="54"/>
      <c r="E420" s="54"/>
      <c r="F420" s="569"/>
      <c r="G420" s="569"/>
      <c r="H420" s="570"/>
      <c r="I420" s="570"/>
      <c r="J420" s="570"/>
      <c r="K420" s="570"/>
      <c r="L420" s="570"/>
      <c r="M420" s="570"/>
      <c r="N420" s="570"/>
      <c r="O420" s="570"/>
      <c r="P420" s="54"/>
      <c r="Q420" s="54"/>
      <c r="R420" s="54"/>
      <c r="S420" s="54"/>
      <c r="T420" s="54"/>
      <c r="U420" s="54"/>
      <c r="V420" s="54"/>
      <c r="W420" s="54"/>
      <c r="X420" s="54"/>
      <c r="Y420" s="54"/>
      <c r="Z420" s="54"/>
      <c r="AA420" s="54"/>
      <c r="AB420" s="54"/>
      <c r="AC420" s="54"/>
      <c r="AD420" s="54"/>
      <c r="AE420" s="54"/>
      <c r="AF420" s="54"/>
      <c r="AG420" s="54"/>
      <c r="AH420" s="54"/>
      <c r="AI420" s="54"/>
      <c r="AJ420" s="54"/>
      <c r="AK420" s="54"/>
      <c r="AL420" s="54"/>
      <c r="AM420" s="54"/>
      <c r="AN420" s="54"/>
      <c r="AO420" s="54"/>
      <c r="AP420" s="54"/>
      <c r="AQ420" s="116"/>
      <c r="AR420" s="54"/>
      <c r="AS420" s="83"/>
      <c r="AT420" s="54"/>
      <c r="AU420" s="264"/>
      <c r="AV420" s="83"/>
      <c r="AW420" s="54"/>
      <c r="AX420" s="54"/>
      <c r="AY420" s="54"/>
      <c r="AZ420" s="54"/>
      <c r="BA420" s="54"/>
      <c r="BB420" s="54"/>
      <c r="BC420" s="171"/>
      <c r="BD420" s="171"/>
    </row>
    <row r="421" spans="1:56" ht="14.1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c r="AA421" s="54"/>
      <c r="AB421" s="54"/>
      <c r="AC421" s="54"/>
      <c r="AD421" s="54"/>
      <c r="AE421" s="54"/>
      <c r="AF421" s="54"/>
      <c r="AG421" s="54"/>
      <c r="AH421" s="54"/>
      <c r="AI421" s="54"/>
      <c r="AJ421" s="54"/>
      <c r="AK421" s="54"/>
      <c r="AL421" s="54"/>
      <c r="AM421" s="54"/>
      <c r="AN421" s="54"/>
      <c r="AO421" s="54"/>
      <c r="AP421" s="83">
        <v>33</v>
      </c>
      <c r="AQ421" s="257" t="s">
        <v>157</v>
      </c>
      <c r="AR421" s="83">
        <v>9</v>
      </c>
      <c r="AS421" s="83">
        <v>1</v>
      </c>
      <c r="AT421" s="260">
        <f>SUM('3.2夜本建筑'!AQ48:AQ56)</f>
        <v>9350000</v>
      </c>
      <c r="AU421" s="264"/>
      <c r="AV421" s="262">
        <f>SUM('3.2夜本建筑'!AR48:AR56)</f>
        <v>4.3753333333333337</v>
      </c>
      <c r="AW421" s="54"/>
      <c r="AX421" s="54" t="s">
        <v>2820</v>
      </c>
      <c r="AY421" s="54"/>
      <c r="AZ421" s="54"/>
      <c r="BA421" s="54"/>
      <c r="BB421" s="54"/>
      <c r="BC421" s="171"/>
      <c r="BD421" s="171"/>
    </row>
    <row r="422" spans="1:56" ht="14.15" customHeight="1">
      <c r="A422" s="54"/>
      <c r="B422" s="54"/>
      <c r="C422" s="54"/>
      <c r="D422" s="54"/>
      <c r="E422" s="54"/>
      <c r="F422" s="54"/>
      <c r="G422" s="54"/>
      <c r="H422" s="570" t="s">
        <v>2821</v>
      </c>
      <c r="I422" s="570"/>
      <c r="J422" s="570"/>
      <c r="K422" s="570"/>
      <c r="L422" s="570"/>
      <c r="M422" s="570"/>
      <c r="N422" s="570"/>
      <c r="O422" s="54"/>
      <c r="P422" s="54"/>
      <c r="Q422" s="54"/>
      <c r="R422" s="54"/>
      <c r="S422" s="54"/>
      <c r="T422" s="54"/>
      <c r="U422" s="54"/>
      <c r="V422" s="54"/>
      <c r="W422" s="54"/>
      <c r="X422" s="54"/>
      <c r="Y422" s="54"/>
      <c r="Z422" s="54"/>
      <c r="AA422" s="54"/>
      <c r="AB422" s="54"/>
      <c r="AC422" s="54"/>
      <c r="AD422" s="54"/>
      <c r="AE422" s="54"/>
      <c r="AF422" s="54"/>
      <c r="AG422" s="54"/>
      <c r="AH422" s="54"/>
      <c r="AI422" s="54"/>
      <c r="AJ422" s="54"/>
      <c r="AK422" s="54"/>
      <c r="AL422" s="54"/>
      <c r="AM422" s="54"/>
      <c r="AN422" s="54"/>
      <c r="AO422" s="54"/>
      <c r="AP422" s="54"/>
      <c r="AQ422" s="54"/>
      <c r="AR422" s="54"/>
      <c r="AS422" s="54"/>
      <c r="AT422" s="54"/>
      <c r="AU422" s="264"/>
      <c r="AV422" s="83"/>
      <c r="AW422" s="54"/>
      <c r="AX422" s="54"/>
      <c r="AY422" s="54"/>
      <c r="AZ422" s="54"/>
      <c r="BA422" s="54"/>
      <c r="BB422" s="54"/>
      <c r="BC422" s="171"/>
      <c r="BD422" s="171"/>
    </row>
    <row r="423" spans="1:56" ht="14.15" customHeight="1">
      <c r="A423" s="54"/>
      <c r="B423" s="54"/>
      <c r="C423" s="54"/>
      <c r="D423" s="54"/>
      <c r="E423" s="54"/>
      <c r="F423" s="54"/>
      <c r="G423" s="54"/>
      <c r="H423" s="570"/>
      <c r="I423" s="570"/>
      <c r="J423" s="570"/>
      <c r="K423" s="570"/>
      <c r="L423" s="570"/>
      <c r="M423" s="570"/>
      <c r="N423" s="570"/>
      <c r="O423" s="54"/>
      <c r="P423" s="54"/>
      <c r="Q423" s="54"/>
      <c r="R423" s="54"/>
      <c r="S423" s="54"/>
      <c r="T423" s="54"/>
      <c r="U423" s="54"/>
      <c r="V423" s="54"/>
      <c r="W423" s="54"/>
      <c r="X423" s="54"/>
      <c r="Y423" s="54"/>
      <c r="Z423" s="54"/>
      <c r="AA423" s="54"/>
      <c r="AB423" s="54"/>
      <c r="AC423" s="54"/>
      <c r="AD423" s="54"/>
      <c r="AE423" s="54"/>
      <c r="AF423" s="54"/>
      <c r="AG423" s="54"/>
      <c r="AH423" s="54"/>
      <c r="AI423" s="54"/>
      <c r="AJ423" s="54"/>
      <c r="AK423" s="54"/>
      <c r="AL423" s="54"/>
      <c r="AM423" s="54"/>
      <c r="AN423" s="54"/>
      <c r="AO423" s="54"/>
      <c r="AP423" s="586" t="s">
        <v>2822</v>
      </c>
      <c r="AQ423" s="586"/>
      <c r="AR423" s="586"/>
      <c r="AS423" s="586"/>
      <c r="AT423" s="566">
        <f>SUMPRODUCT(AS385:AS421,AT385:AT421)</f>
        <v>87390500</v>
      </c>
      <c r="AU423" s="567">
        <f>SUMPRODUCT(AS385:AS421,AU385:AU421)</f>
        <v>136701000</v>
      </c>
      <c r="AV423" s="568">
        <f>SUMPRODUCT(AS385:AS421,AV385:AV421)</f>
        <v>171.84044444444444</v>
      </c>
      <c r="AW423" s="516">
        <f>AW388</f>
        <v>36</v>
      </c>
      <c r="AX423" s="54"/>
      <c r="AY423" s="54"/>
      <c r="AZ423" s="54"/>
      <c r="BA423" s="54"/>
      <c r="BB423" s="54"/>
      <c r="BC423" s="171"/>
      <c r="BD423" s="171"/>
    </row>
    <row r="424" spans="1:56" ht="14.1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c r="AA424" s="54"/>
      <c r="AB424" s="54"/>
      <c r="AC424" s="54"/>
      <c r="AD424" s="54"/>
      <c r="AE424" s="54"/>
      <c r="AF424" s="54"/>
      <c r="AG424" s="54"/>
      <c r="AH424" s="54"/>
      <c r="AI424" s="54"/>
      <c r="AJ424" s="54"/>
      <c r="AK424" s="54"/>
      <c r="AL424" s="54"/>
      <c r="AM424" s="54"/>
      <c r="AN424" s="54"/>
      <c r="AO424" s="54"/>
      <c r="AP424" s="586"/>
      <c r="AQ424" s="586"/>
      <c r="AR424" s="586"/>
      <c r="AS424" s="586"/>
      <c r="AT424" s="566"/>
      <c r="AU424" s="567"/>
      <c r="AV424" s="568"/>
      <c r="AW424" s="516"/>
      <c r="AX424" s="54"/>
      <c r="AY424" s="54"/>
      <c r="AZ424" s="54"/>
      <c r="BA424" s="54"/>
      <c r="BB424" s="54"/>
      <c r="BC424" s="171"/>
      <c r="BD424" s="171"/>
    </row>
    <row r="425" spans="1:56" ht="14.15" customHeight="1">
      <c r="A425" s="54"/>
      <c r="B425" s="54"/>
      <c r="C425" s="54"/>
      <c r="D425" s="54"/>
      <c r="E425" s="54"/>
      <c r="F425" s="54"/>
      <c r="G425" s="54"/>
      <c r="H425" s="54" t="s">
        <v>2823</v>
      </c>
      <c r="I425" s="54"/>
      <c r="J425" s="54"/>
      <c r="K425" s="54"/>
      <c r="L425" s="54"/>
      <c r="M425" s="54"/>
      <c r="N425" s="54"/>
      <c r="O425" s="54"/>
      <c r="P425" s="54"/>
      <c r="Q425" s="54"/>
      <c r="R425" s="54"/>
      <c r="S425" s="54"/>
      <c r="T425" s="54"/>
      <c r="U425" s="54"/>
      <c r="V425" s="54"/>
      <c r="W425" s="54"/>
      <c r="X425" s="54"/>
      <c r="Y425" s="54"/>
      <c r="Z425" s="54"/>
      <c r="AA425" s="54"/>
      <c r="AB425" s="54"/>
      <c r="AC425" s="54"/>
      <c r="AD425" s="54"/>
      <c r="AE425" s="54"/>
      <c r="AF425" s="54"/>
      <c r="AG425" s="54"/>
      <c r="AH425" s="54"/>
      <c r="AI425" s="54"/>
      <c r="AJ425" s="54"/>
      <c r="AK425" s="54"/>
      <c r="AL425" s="54"/>
      <c r="AM425" s="54"/>
      <c r="AN425" s="54"/>
      <c r="AO425" s="54"/>
      <c r="AP425" s="54"/>
      <c r="AQ425" s="54"/>
      <c r="AR425" s="54"/>
      <c r="AS425" s="83"/>
      <c r="AT425" s="54"/>
      <c r="AU425" s="264"/>
      <c r="AV425" s="54"/>
      <c r="AW425" s="54"/>
      <c r="AX425" s="54"/>
      <c r="AY425" s="54"/>
      <c r="AZ425" s="54"/>
      <c r="BA425" s="54"/>
      <c r="BB425" s="54"/>
      <c r="BC425" s="171"/>
      <c r="BD425" s="171"/>
    </row>
    <row r="426" spans="1:56" ht="14.1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c r="AA426" s="54"/>
      <c r="AB426" s="54"/>
      <c r="AC426" s="54"/>
      <c r="AD426" s="54"/>
      <c r="AE426" s="54"/>
      <c r="AF426" s="54"/>
      <c r="AG426" s="54"/>
      <c r="AH426" s="54"/>
      <c r="AI426" s="54"/>
      <c r="AJ426" s="54"/>
      <c r="AK426" s="54"/>
      <c r="AL426" s="54"/>
      <c r="AM426" s="54"/>
      <c r="AN426" s="54"/>
      <c r="AO426" s="54"/>
      <c r="AP426" s="54" t="s">
        <v>2824</v>
      </c>
      <c r="AQ426" s="54"/>
      <c r="AR426" s="54"/>
      <c r="AS426" s="83"/>
      <c r="AT426" s="54"/>
      <c r="AU426" s="54"/>
      <c r="AV426" s="54"/>
      <c r="AW426" s="54"/>
      <c r="AX426" s="54"/>
      <c r="AY426" s="54"/>
      <c r="AZ426" s="54"/>
      <c r="BA426" s="54"/>
      <c r="BB426" s="54"/>
      <c r="BC426" s="171"/>
      <c r="BD426" s="171"/>
    </row>
    <row r="427" spans="1:56" ht="14.1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c r="AA427" s="54"/>
      <c r="AB427" s="54"/>
      <c r="AC427" s="54"/>
      <c r="AD427" s="54"/>
      <c r="AE427" s="54"/>
      <c r="AF427" s="54"/>
      <c r="AG427" s="54"/>
      <c r="AH427" s="54"/>
      <c r="AI427" s="54"/>
      <c r="AJ427" s="54"/>
      <c r="AK427" s="54"/>
      <c r="AL427" s="54"/>
      <c r="AM427" s="54"/>
      <c r="AN427" s="54"/>
      <c r="AO427" s="54"/>
      <c r="AP427" s="54" t="s">
        <v>2825</v>
      </c>
      <c r="AQ427" s="54"/>
      <c r="AR427" s="54"/>
      <c r="AS427" s="54"/>
      <c r="AT427" s="54"/>
      <c r="AU427" s="54"/>
      <c r="AV427" s="54"/>
      <c r="AW427" s="54"/>
      <c r="AX427" s="54"/>
      <c r="AY427" s="54"/>
      <c r="AZ427" s="54"/>
      <c r="BA427" s="54"/>
      <c r="BB427" s="54"/>
      <c r="BC427" s="171"/>
      <c r="BD427" s="171"/>
    </row>
    <row r="428" spans="1:56" ht="14.1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c r="AA428" s="54"/>
      <c r="AB428" s="54"/>
      <c r="AC428" s="54"/>
      <c r="AD428" s="54"/>
      <c r="AE428" s="54"/>
      <c r="AF428" s="54"/>
      <c r="AG428" s="54"/>
      <c r="AH428" s="54"/>
      <c r="AI428" s="54"/>
      <c r="AJ428" s="54"/>
      <c r="AK428" s="54"/>
      <c r="AL428" s="54"/>
      <c r="AM428" s="54"/>
      <c r="AN428" s="54"/>
      <c r="AO428" s="54"/>
      <c r="AP428" s="54" t="s">
        <v>2826</v>
      </c>
      <c r="AQ428" s="54"/>
      <c r="AR428" s="54"/>
      <c r="AS428" s="83"/>
      <c r="AT428" s="54"/>
      <c r="AU428" s="54"/>
      <c r="AV428" s="54"/>
      <c r="AW428" s="54"/>
      <c r="AX428" s="54"/>
      <c r="AY428" s="54"/>
      <c r="AZ428" s="54"/>
      <c r="BA428" s="54"/>
      <c r="BB428" s="54"/>
      <c r="BC428" s="171"/>
      <c r="BD428" s="171"/>
    </row>
    <row r="429" spans="1:56" ht="14.1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69" t="s">
        <v>2827</v>
      </c>
      <c r="Z429" s="569"/>
      <c r="AA429" s="570" t="s">
        <v>2828</v>
      </c>
      <c r="AB429" s="570"/>
      <c r="AC429" s="570"/>
      <c r="AD429" s="570"/>
      <c r="AE429" s="570"/>
      <c r="AF429" s="570"/>
      <c r="AG429" s="570"/>
      <c r="AH429" s="570"/>
      <c r="AI429" s="54"/>
      <c r="AJ429" s="54"/>
      <c r="AK429" s="54"/>
      <c r="AL429" s="54"/>
      <c r="AM429" s="54"/>
      <c r="AN429" s="54"/>
      <c r="AO429" s="54"/>
      <c r="AP429" s="83" t="s">
        <v>243</v>
      </c>
      <c r="AQ429" s="265">
        <v>1</v>
      </c>
      <c r="AR429" s="87">
        <v>2</v>
      </c>
      <c r="AS429" s="87">
        <v>3</v>
      </c>
      <c r="AT429" s="87">
        <v>4</v>
      </c>
      <c r="AU429" s="99">
        <v>5</v>
      </c>
      <c r="AV429" s="90">
        <v>6</v>
      </c>
      <c r="AW429" s="278">
        <v>7</v>
      </c>
      <c r="AX429" s="279">
        <v>8</v>
      </c>
      <c r="AY429" s="280">
        <v>9</v>
      </c>
      <c r="AZ429" s="54"/>
      <c r="BA429" s="54"/>
      <c r="BB429" s="54"/>
      <c r="BC429" s="171"/>
      <c r="BD429" s="171"/>
    </row>
    <row r="430" spans="1:56" ht="14.1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69"/>
      <c r="Z430" s="569"/>
      <c r="AA430" s="570"/>
      <c r="AB430" s="570"/>
      <c r="AC430" s="570"/>
      <c r="AD430" s="570"/>
      <c r="AE430" s="570"/>
      <c r="AF430" s="570"/>
      <c r="AG430" s="570"/>
      <c r="AH430" s="570"/>
      <c r="AI430" s="54"/>
      <c r="AJ430" s="54"/>
      <c r="AK430" s="54"/>
      <c r="AL430" s="54"/>
      <c r="AM430" s="54"/>
      <c r="AN430" s="54"/>
      <c r="AO430" s="54"/>
      <c r="AP430" s="220" t="s">
        <v>2829</v>
      </c>
      <c r="AQ430" s="266">
        <v>14</v>
      </c>
      <c r="AR430" s="267">
        <v>16</v>
      </c>
      <c r="AS430" s="267">
        <v>18</v>
      </c>
      <c r="AT430" s="267">
        <v>20</v>
      </c>
      <c r="AU430" s="267">
        <v>22</v>
      </c>
      <c r="AV430" s="267">
        <v>24</v>
      </c>
      <c r="AW430" s="267">
        <v>26</v>
      </c>
      <c r="AX430" s="267">
        <v>28</v>
      </c>
      <c r="AY430" s="267">
        <v>30</v>
      </c>
      <c r="AZ430" s="54"/>
      <c r="BA430" s="54"/>
      <c r="BB430" s="54"/>
      <c r="BC430" s="171"/>
      <c r="BD430" s="171"/>
    </row>
    <row r="431" spans="1:56" ht="14.1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c r="AA431" s="189"/>
      <c r="AB431" s="189"/>
      <c r="AC431" s="189"/>
      <c r="AD431" s="189"/>
      <c r="AE431" s="189"/>
      <c r="AF431" s="189"/>
      <c r="AG431" s="189"/>
      <c r="AH431" s="189"/>
      <c r="AI431" s="54"/>
      <c r="AJ431" s="54"/>
      <c r="AK431" s="54"/>
      <c r="AL431" s="54"/>
      <c r="AM431" s="54"/>
      <c r="AN431" s="54"/>
      <c r="AO431" s="54"/>
      <c r="AP431" s="54" t="s">
        <v>2830</v>
      </c>
      <c r="AQ431" s="268">
        <f>AQ430*9</f>
        <v>126</v>
      </c>
      <c r="AR431" s="269">
        <f t="shared" ref="AR431:AY431" si="6">AR430*9</f>
        <v>144</v>
      </c>
      <c r="AS431" s="269">
        <f t="shared" si="6"/>
        <v>162</v>
      </c>
      <c r="AT431" s="269">
        <f t="shared" si="6"/>
        <v>180</v>
      </c>
      <c r="AU431" s="269">
        <f t="shared" si="6"/>
        <v>198</v>
      </c>
      <c r="AV431" s="269">
        <f t="shared" si="6"/>
        <v>216</v>
      </c>
      <c r="AW431" s="269">
        <f t="shared" si="6"/>
        <v>234</v>
      </c>
      <c r="AX431" s="269">
        <f t="shared" si="6"/>
        <v>252</v>
      </c>
      <c r="AY431" s="269">
        <f t="shared" si="6"/>
        <v>270</v>
      </c>
      <c r="AZ431" s="54"/>
      <c r="BA431" s="54"/>
      <c r="BB431" s="54"/>
      <c r="BC431" s="171"/>
      <c r="BD431" s="171"/>
    </row>
    <row r="432" spans="1:56" ht="14.1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69" t="s">
        <v>2831</v>
      </c>
      <c r="Z432" s="569"/>
      <c r="AA432" s="570" t="s">
        <v>2832</v>
      </c>
      <c r="AB432" s="570"/>
      <c r="AC432" s="570"/>
      <c r="AD432" s="570"/>
      <c r="AE432" s="570"/>
      <c r="AF432" s="570"/>
      <c r="AG432" s="570"/>
      <c r="AH432" s="570"/>
      <c r="AI432" s="54"/>
      <c r="AJ432" s="54"/>
      <c r="AK432" s="54"/>
      <c r="AL432" s="54"/>
      <c r="AM432" s="54"/>
      <c r="AN432" s="54"/>
      <c r="AO432" s="54"/>
      <c r="AP432" s="54" t="s">
        <v>2833</v>
      </c>
      <c r="AQ432" s="54"/>
      <c r="AR432" s="54"/>
      <c r="AS432" s="54"/>
      <c r="AT432" s="54"/>
      <c r="AU432" s="54"/>
      <c r="AV432" s="54"/>
      <c r="AW432" s="54"/>
      <c r="AX432" s="54"/>
      <c r="AY432" s="54"/>
      <c r="AZ432" s="54"/>
      <c r="BA432" s="54"/>
      <c r="BB432" s="54"/>
      <c r="BC432" s="171"/>
      <c r="BD432" s="171"/>
    </row>
    <row r="433" spans="1:56" ht="14.15" customHeight="1">
      <c r="A433" s="54"/>
      <c r="B433" s="54"/>
      <c r="C433" s="54"/>
      <c r="D433" s="54"/>
      <c r="E433" s="54"/>
      <c r="F433" s="573" t="s">
        <v>2834</v>
      </c>
      <c r="G433" s="573"/>
      <c r="H433" s="571" t="s">
        <v>2835</v>
      </c>
      <c r="I433" s="571"/>
      <c r="J433" s="571"/>
      <c r="K433" s="571"/>
      <c r="L433" s="571"/>
      <c r="M433" s="571"/>
      <c r="N433" s="571"/>
      <c r="O433" s="571"/>
      <c r="P433" s="571"/>
      <c r="Q433" s="54"/>
      <c r="R433" s="54" t="s">
        <v>2836</v>
      </c>
      <c r="S433" s="54"/>
      <c r="T433" s="54"/>
      <c r="U433" s="54"/>
      <c r="V433" s="54"/>
      <c r="W433" s="54"/>
      <c r="X433" s="54"/>
      <c r="Y433" s="569"/>
      <c r="Z433" s="569"/>
      <c r="AA433" s="570"/>
      <c r="AB433" s="570"/>
      <c r="AC433" s="570"/>
      <c r="AD433" s="570"/>
      <c r="AE433" s="570"/>
      <c r="AF433" s="570"/>
      <c r="AG433" s="570"/>
      <c r="AH433" s="570"/>
      <c r="AI433" s="54"/>
      <c r="AJ433" s="54"/>
      <c r="AK433" s="54"/>
      <c r="AL433" s="54"/>
      <c r="AM433" s="54"/>
      <c r="AN433" s="54"/>
      <c r="AO433" s="54"/>
      <c r="AP433" s="54" t="s">
        <v>2837</v>
      </c>
      <c r="AQ433" s="54"/>
      <c r="AR433" s="54"/>
      <c r="AS433" s="54"/>
      <c r="AT433" s="54"/>
      <c r="AU433" s="54"/>
      <c r="AV433" s="54"/>
      <c r="AW433" s="54"/>
      <c r="AX433" s="54"/>
      <c r="AY433" s="54"/>
      <c r="AZ433" s="54"/>
      <c r="BA433" s="54"/>
      <c r="BB433" s="54"/>
      <c r="BC433" s="171"/>
      <c r="BD433" s="171"/>
    </row>
    <row r="434" spans="1:56" ht="14.15" customHeight="1">
      <c r="A434" s="54"/>
      <c r="B434" s="54"/>
      <c r="C434" s="54"/>
      <c r="D434" s="54"/>
      <c r="E434" s="54"/>
      <c r="F434" s="574"/>
      <c r="G434" s="574"/>
      <c r="H434" s="572"/>
      <c r="I434" s="572"/>
      <c r="J434" s="572"/>
      <c r="K434" s="572"/>
      <c r="L434" s="572"/>
      <c r="M434" s="572"/>
      <c r="N434" s="572"/>
      <c r="O434" s="572"/>
      <c r="P434" s="572"/>
      <c r="Q434" s="165"/>
      <c r="R434" s="165" t="s">
        <v>2838</v>
      </c>
      <c r="S434" s="54"/>
      <c r="T434" s="54"/>
      <c r="U434" s="54"/>
      <c r="V434" s="54"/>
      <c r="W434" s="54"/>
      <c r="X434" s="54"/>
      <c r="Y434" s="54"/>
      <c r="Z434" s="54"/>
      <c r="AA434" s="54"/>
      <c r="AB434" s="54"/>
      <c r="AC434" s="54"/>
      <c r="AD434" s="54"/>
      <c r="AE434" s="54"/>
      <c r="AF434" s="54"/>
      <c r="AG434" s="54"/>
      <c r="AH434" s="54"/>
      <c r="AI434" s="54"/>
      <c r="AJ434" s="54"/>
      <c r="AK434" s="54"/>
      <c r="AL434" s="54"/>
      <c r="AM434" s="54"/>
      <c r="AN434" s="54"/>
      <c r="AO434" s="54"/>
      <c r="AP434" s="54" t="s">
        <v>2839</v>
      </c>
      <c r="AQ434" s="54"/>
      <c r="AR434" s="54"/>
      <c r="AS434" s="83"/>
      <c r="AT434" s="54"/>
      <c r="AU434" s="54"/>
      <c r="AV434" s="54"/>
      <c r="AW434" s="54"/>
      <c r="AX434" s="54"/>
      <c r="AY434" s="54"/>
      <c r="AZ434" s="54"/>
      <c r="BA434" s="54"/>
      <c r="BB434" s="54"/>
      <c r="BC434" s="171"/>
      <c r="BD434" s="171"/>
    </row>
    <row r="435" spans="1:56" ht="14.1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69" t="s">
        <v>2840</v>
      </c>
      <c r="Z435" s="569"/>
      <c r="AA435" s="570" t="s">
        <v>2841</v>
      </c>
      <c r="AB435" s="570"/>
      <c r="AC435" s="570"/>
      <c r="AD435" s="570"/>
      <c r="AE435" s="570"/>
      <c r="AF435" s="570"/>
      <c r="AG435" s="570"/>
      <c r="AH435" s="570"/>
      <c r="AI435" s="54"/>
      <c r="AJ435" s="54"/>
      <c r="AK435" s="54"/>
      <c r="AL435" s="54"/>
      <c r="AM435" s="54"/>
      <c r="AN435" s="54"/>
      <c r="AO435" s="54"/>
      <c r="AP435" s="54" t="s">
        <v>2842</v>
      </c>
      <c r="AQ435" s="54"/>
      <c r="AR435" s="54"/>
      <c r="AS435" s="83"/>
      <c r="AT435" s="54"/>
      <c r="AU435" s="54"/>
      <c r="AV435" s="54"/>
      <c r="AW435" s="54"/>
      <c r="AX435" s="54"/>
      <c r="AY435" s="54"/>
      <c r="AZ435" s="54"/>
      <c r="BA435" s="54"/>
      <c r="BB435" s="54"/>
      <c r="BC435" s="171"/>
      <c r="BD435" s="171"/>
    </row>
    <row r="436" spans="1:56" ht="14.15" customHeight="1">
      <c r="A436" s="54"/>
      <c r="B436" s="54"/>
      <c r="C436" s="54"/>
      <c r="D436" s="54"/>
      <c r="E436" s="54"/>
      <c r="F436" s="569" t="s">
        <v>240</v>
      </c>
      <c r="G436" s="569"/>
      <c r="H436" s="570" t="s">
        <v>2843</v>
      </c>
      <c r="I436" s="570"/>
      <c r="J436" s="570"/>
      <c r="K436" s="570"/>
      <c r="L436" s="570"/>
      <c r="M436" s="570"/>
      <c r="N436" s="570"/>
      <c r="O436" s="570"/>
      <c r="P436" s="570"/>
      <c r="Q436" s="570"/>
      <c r="R436" s="570"/>
      <c r="S436" s="54"/>
      <c r="T436" s="54"/>
      <c r="U436" s="54"/>
      <c r="V436" s="54"/>
      <c r="W436" s="54"/>
      <c r="X436" s="54"/>
      <c r="Y436" s="569"/>
      <c r="Z436" s="569"/>
      <c r="AA436" s="570"/>
      <c r="AB436" s="570"/>
      <c r="AC436" s="570"/>
      <c r="AD436" s="570"/>
      <c r="AE436" s="570"/>
      <c r="AF436" s="570"/>
      <c r="AG436" s="570"/>
      <c r="AH436" s="570"/>
      <c r="AI436" s="54"/>
      <c r="AJ436" s="54"/>
      <c r="AK436" s="54"/>
      <c r="AL436" s="54"/>
      <c r="AM436" s="54"/>
      <c r="AN436" s="54"/>
      <c r="AO436" s="54"/>
      <c r="AP436" s="54" t="s">
        <v>2844</v>
      </c>
      <c r="AQ436" s="54"/>
      <c r="AR436" s="54"/>
      <c r="AS436" s="83"/>
      <c r="AT436" s="54"/>
      <c r="AU436" s="54"/>
      <c r="AV436" s="54"/>
      <c r="AW436" s="54"/>
      <c r="AX436" s="54"/>
      <c r="AY436" s="54"/>
      <c r="AZ436" s="54"/>
      <c r="BA436" s="54"/>
      <c r="BB436" s="54"/>
      <c r="BC436" s="171"/>
      <c r="BD436" s="171"/>
    </row>
    <row r="437" spans="1:56" ht="14.15" customHeight="1">
      <c r="A437" s="54"/>
      <c r="B437" s="54"/>
      <c r="C437" s="54"/>
      <c r="D437" s="54"/>
      <c r="E437" s="54"/>
      <c r="F437" s="569"/>
      <c r="G437" s="569"/>
      <c r="H437" s="570"/>
      <c r="I437" s="570"/>
      <c r="J437" s="570"/>
      <c r="K437" s="570"/>
      <c r="L437" s="570"/>
      <c r="M437" s="570"/>
      <c r="N437" s="570"/>
      <c r="O437" s="570"/>
      <c r="P437" s="570"/>
      <c r="Q437" s="570"/>
      <c r="R437" s="570"/>
      <c r="S437" s="54"/>
      <c r="T437" s="54"/>
      <c r="U437" s="54"/>
      <c r="V437" s="54"/>
      <c r="W437" s="54"/>
      <c r="X437" s="54"/>
      <c r="Y437" s="54"/>
      <c r="Z437" s="54"/>
      <c r="AA437" s="54"/>
      <c r="AB437" s="54"/>
      <c r="AC437" s="54"/>
      <c r="AD437" s="54"/>
      <c r="AE437" s="54"/>
      <c r="AF437" s="54"/>
      <c r="AG437" s="54"/>
      <c r="AH437" s="54"/>
      <c r="AI437" s="54"/>
      <c r="AJ437" s="54"/>
      <c r="AK437" s="54"/>
      <c r="AL437" s="54"/>
      <c r="AM437" s="54"/>
      <c r="AN437" s="54"/>
      <c r="AO437" s="54"/>
      <c r="AP437" s="54" t="s">
        <v>2845</v>
      </c>
      <c r="AQ437" s="54"/>
      <c r="AR437" s="54"/>
      <c r="AS437" s="54"/>
      <c r="AT437" s="54"/>
      <c r="AU437" s="54"/>
      <c r="AV437" s="54"/>
      <c r="AW437" s="54"/>
      <c r="AX437" s="54"/>
      <c r="AY437" s="54"/>
      <c r="AZ437" s="54"/>
      <c r="BA437" s="54"/>
      <c r="BB437" s="54"/>
      <c r="BC437" s="171"/>
      <c r="BD437" s="171"/>
    </row>
    <row r="438" spans="1:56" ht="14.1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c r="AA438" s="54"/>
      <c r="AB438" s="54"/>
      <c r="AC438" s="54"/>
      <c r="AD438" s="54"/>
      <c r="AE438" s="54"/>
      <c r="AF438" s="54"/>
      <c r="AG438" s="54"/>
      <c r="AH438" s="54"/>
      <c r="AI438" s="54"/>
      <c r="AJ438" s="54"/>
      <c r="AK438" s="54"/>
      <c r="AL438" s="54"/>
      <c r="AM438" s="54"/>
      <c r="AN438" s="54"/>
      <c r="AO438" s="54"/>
      <c r="AP438" s="54"/>
      <c r="AQ438" s="54"/>
      <c r="AR438" s="54"/>
      <c r="AS438" s="83"/>
      <c r="AT438" s="54"/>
      <c r="AU438" s="54"/>
      <c r="AV438" s="54"/>
      <c r="AW438" s="54"/>
      <c r="AX438" s="54"/>
      <c r="AY438" s="54"/>
      <c r="AZ438" s="54"/>
      <c r="BA438" s="54"/>
      <c r="BB438" s="54"/>
      <c r="BC438" s="171"/>
      <c r="BD438" s="171"/>
    </row>
    <row r="439" spans="1:56" ht="14.15" customHeight="1">
      <c r="A439" s="54"/>
      <c r="B439" s="54"/>
      <c r="C439" s="54"/>
      <c r="D439" s="54"/>
      <c r="E439" s="54"/>
      <c r="F439" s="569" t="s">
        <v>2846</v>
      </c>
      <c r="G439" s="569"/>
      <c r="H439" s="570" t="s">
        <v>2847</v>
      </c>
      <c r="I439" s="570"/>
      <c r="J439" s="570"/>
      <c r="K439" s="570"/>
      <c r="L439" s="570"/>
      <c r="M439" s="570"/>
      <c r="N439" s="570"/>
      <c r="O439" s="570"/>
      <c r="P439" s="570"/>
      <c r="Q439" s="54"/>
      <c r="R439" s="54"/>
      <c r="S439" s="54"/>
      <c r="T439" s="54"/>
      <c r="U439" s="54"/>
      <c r="V439" s="54"/>
      <c r="W439" s="54"/>
      <c r="X439" s="54"/>
      <c r="Y439" s="54"/>
      <c r="Z439" s="54"/>
      <c r="AA439" s="54"/>
      <c r="AB439" s="54"/>
      <c r="AC439" s="54"/>
      <c r="AD439" s="54"/>
      <c r="AE439" s="54"/>
      <c r="AF439" s="54"/>
      <c r="AG439" s="54"/>
      <c r="AH439" s="54"/>
      <c r="AI439" s="54"/>
      <c r="AJ439" s="54"/>
      <c r="AK439" s="54"/>
      <c r="AL439" s="54"/>
      <c r="AM439" s="54"/>
      <c r="AN439" s="54"/>
      <c r="AO439" s="54"/>
      <c r="AP439" s="270" t="s">
        <v>2848</v>
      </c>
      <c r="AQ439" s="270"/>
      <c r="AR439" s="270"/>
      <c r="AS439" s="271"/>
      <c r="AT439" s="54"/>
      <c r="AU439" s="54"/>
      <c r="AV439" s="54"/>
      <c r="AW439" s="54"/>
      <c r="AX439" s="54"/>
      <c r="AY439" s="54"/>
      <c r="AZ439" s="54"/>
      <c r="BA439" s="54"/>
      <c r="BB439" s="54"/>
      <c r="BC439" s="171"/>
      <c r="BD439" s="171"/>
    </row>
    <row r="440" spans="1:56" ht="14.15" customHeight="1">
      <c r="A440" s="54"/>
      <c r="B440" s="54"/>
      <c r="C440" s="54"/>
      <c r="D440" s="54"/>
      <c r="E440" s="54"/>
      <c r="F440" s="569"/>
      <c r="G440" s="569"/>
      <c r="H440" s="570"/>
      <c r="I440" s="570"/>
      <c r="J440" s="570"/>
      <c r="K440" s="570"/>
      <c r="L440" s="570"/>
      <c r="M440" s="570"/>
      <c r="N440" s="570"/>
      <c r="O440" s="570"/>
      <c r="P440" s="570"/>
      <c r="Q440" s="54"/>
      <c r="R440" s="54"/>
      <c r="S440" s="54"/>
      <c r="T440" s="54"/>
      <c r="U440" s="54"/>
      <c r="V440" s="54"/>
      <c r="W440" s="54"/>
      <c r="X440" s="54"/>
      <c r="Y440" s="54"/>
      <c r="Z440" s="54"/>
      <c r="AA440" s="54"/>
      <c r="AB440" s="54"/>
      <c r="AC440" s="54"/>
      <c r="AD440" s="54"/>
      <c r="AE440" s="54"/>
      <c r="AF440" s="54"/>
      <c r="AG440" s="54"/>
      <c r="AH440" s="54"/>
      <c r="AI440" s="54"/>
      <c r="AJ440" s="54"/>
      <c r="AK440" s="54"/>
      <c r="AL440" s="54"/>
      <c r="AM440" s="54"/>
      <c r="AN440" s="54"/>
      <c r="AO440" s="54"/>
      <c r="AP440" s="556" t="s">
        <v>2774</v>
      </c>
      <c r="AQ440" s="556"/>
      <c r="AR440" s="270" t="s">
        <v>2849</v>
      </c>
      <c r="AS440" s="271" t="s">
        <v>2850</v>
      </c>
      <c r="AT440" s="54"/>
      <c r="AU440" s="54"/>
      <c r="AV440" s="54"/>
      <c r="AW440" s="54"/>
      <c r="AX440" s="54"/>
      <c r="AY440" s="54"/>
      <c r="AZ440" s="54"/>
      <c r="BA440" s="54"/>
      <c r="BB440" s="54"/>
      <c r="BC440" s="171"/>
      <c r="BD440" s="171"/>
    </row>
    <row r="441" spans="1:56" ht="14.1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c r="AA441" s="54"/>
      <c r="AB441" s="54"/>
      <c r="AC441" s="54"/>
      <c r="AD441" s="54"/>
      <c r="AE441" s="54"/>
      <c r="AF441" s="54"/>
      <c r="AG441" s="54"/>
      <c r="AH441" s="54"/>
      <c r="AI441" s="54"/>
      <c r="AJ441" s="54"/>
      <c r="AK441" s="54"/>
      <c r="AL441" s="54"/>
      <c r="AM441" s="54"/>
      <c r="AN441" s="54"/>
      <c r="AO441" s="54"/>
      <c r="AP441" s="557" t="s">
        <v>2783</v>
      </c>
      <c r="AQ441" s="557"/>
      <c r="AR441" s="272">
        <v>23</v>
      </c>
      <c r="AS441" s="272">
        <v>9</v>
      </c>
      <c r="AT441" s="54"/>
      <c r="AU441" s="54"/>
      <c r="AV441" s="54"/>
      <c r="AW441" s="54"/>
      <c r="AX441" s="54"/>
      <c r="AY441" s="54"/>
      <c r="AZ441" s="54"/>
      <c r="BA441" s="54"/>
      <c r="BB441" s="54"/>
      <c r="BC441" s="171"/>
      <c r="BD441" s="171"/>
    </row>
    <row r="442" spans="1:56" ht="14.15" customHeight="1">
      <c r="A442" s="54"/>
      <c r="B442" s="54"/>
      <c r="C442" s="54"/>
      <c r="D442" s="54"/>
      <c r="E442" s="54"/>
      <c r="F442" s="54"/>
      <c r="G442" s="54"/>
      <c r="H442" s="54" t="s">
        <v>2851</v>
      </c>
      <c r="I442" s="54"/>
      <c r="J442" s="54"/>
      <c r="K442" s="54"/>
      <c r="L442" s="54"/>
      <c r="M442" s="54"/>
      <c r="N442" s="54"/>
      <c r="O442" s="54"/>
      <c r="P442" s="54"/>
      <c r="Q442" s="54"/>
      <c r="R442" s="54"/>
      <c r="S442" s="54"/>
      <c r="T442" s="54"/>
      <c r="U442" s="54"/>
      <c r="V442" s="54"/>
      <c r="W442" s="54"/>
      <c r="X442" s="54"/>
      <c r="Y442" s="54"/>
      <c r="Z442" s="54"/>
      <c r="AA442" s="54"/>
      <c r="AB442" s="54"/>
      <c r="AC442" s="54"/>
      <c r="AD442" s="54"/>
      <c r="AE442" s="54"/>
      <c r="AF442" s="54"/>
      <c r="AG442" s="54"/>
      <c r="AH442" s="54"/>
      <c r="AI442" s="54"/>
      <c r="AJ442" s="54"/>
      <c r="AK442" s="54"/>
      <c r="AL442" s="54"/>
      <c r="AM442" s="54"/>
      <c r="AN442" s="54"/>
      <c r="AO442" s="54"/>
      <c r="AP442" s="558" t="s">
        <v>2852</v>
      </c>
      <c r="AQ442" s="558"/>
      <c r="AR442" s="271">
        <v>36.57</v>
      </c>
      <c r="AS442" s="271">
        <v>32.5</v>
      </c>
      <c r="AT442" s="54"/>
      <c r="AU442" s="54"/>
      <c r="AV442" s="54"/>
      <c r="AW442" s="54"/>
      <c r="AX442" s="54"/>
      <c r="AY442" s="54"/>
      <c r="AZ442" s="54"/>
      <c r="BA442" s="54"/>
      <c r="BB442" s="54"/>
      <c r="BC442" s="171"/>
      <c r="BD442" s="171"/>
    </row>
    <row r="443" spans="1:56" ht="14.15" customHeight="1">
      <c r="A443" s="54"/>
      <c r="B443" s="54"/>
      <c r="C443" s="54"/>
      <c r="D443" s="54"/>
      <c r="E443" s="54"/>
      <c r="F443" s="54"/>
      <c r="G443" s="54"/>
      <c r="H443" s="54" t="s">
        <v>2853</v>
      </c>
      <c r="I443" s="54"/>
      <c r="J443" s="54"/>
      <c r="K443" s="54"/>
      <c r="L443" s="54"/>
      <c r="M443" s="54"/>
      <c r="N443" s="54"/>
      <c r="O443" s="54"/>
      <c r="P443" s="54"/>
      <c r="Q443" s="54"/>
      <c r="R443" s="54"/>
      <c r="S443" s="54"/>
      <c r="T443" s="54"/>
      <c r="U443" s="54"/>
      <c r="V443" s="54"/>
      <c r="W443" s="54"/>
      <c r="X443" s="54"/>
      <c r="Y443" s="54"/>
      <c r="Z443" s="54"/>
      <c r="AA443" s="54"/>
      <c r="AB443" s="54"/>
      <c r="AC443" s="54"/>
      <c r="AD443" s="54"/>
      <c r="AE443" s="54"/>
      <c r="AF443" s="54"/>
      <c r="AG443" s="54"/>
      <c r="AH443" s="54"/>
      <c r="AI443" s="54"/>
      <c r="AJ443" s="54"/>
      <c r="AK443" s="54"/>
      <c r="AL443" s="54"/>
      <c r="AM443" s="54"/>
      <c r="AN443" s="54"/>
      <c r="AO443" s="54"/>
      <c r="AP443" s="556" t="s">
        <v>157</v>
      </c>
      <c r="AQ443" s="556"/>
      <c r="AR443" s="274">
        <f>AV421</f>
        <v>4.3753333333333337</v>
      </c>
      <c r="AS443" s="274">
        <f>2.5+(AR443-2.5)/27*24</f>
        <v>4.1669629629629634</v>
      </c>
      <c r="AT443" s="54"/>
      <c r="AU443" s="54"/>
      <c r="AV443" s="54"/>
      <c r="AW443" s="54"/>
      <c r="AX443" s="54"/>
      <c r="AY443" s="54"/>
      <c r="AZ443" s="54"/>
      <c r="BA443" s="54"/>
      <c r="BB443" s="54"/>
      <c r="BC443" s="171"/>
      <c r="BD443" s="171"/>
    </row>
    <row r="444" spans="1:56" ht="14.1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c r="AA444" s="54"/>
      <c r="AB444" s="54"/>
      <c r="AC444" s="54"/>
      <c r="AD444" s="54"/>
      <c r="AE444" s="54"/>
      <c r="AF444" s="54"/>
      <c r="AG444" s="54"/>
      <c r="AH444" s="54"/>
      <c r="AI444" s="54"/>
      <c r="AJ444" s="54"/>
      <c r="AK444" s="54"/>
      <c r="AL444" s="54"/>
      <c r="AM444" s="54"/>
      <c r="AN444" s="54"/>
      <c r="AO444" s="54"/>
      <c r="AP444" s="559" t="s">
        <v>2854</v>
      </c>
      <c r="AQ444" s="559"/>
      <c r="AR444" s="275">
        <f>AV423-AR443-AR442-AR441</f>
        <v>107.89511111111111</v>
      </c>
      <c r="AS444" s="276">
        <f>AR444/28.5*24</f>
        <v>90.85904093567251</v>
      </c>
      <c r="AT444" s="54"/>
      <c r="AU444" s="54"/>
      <c r="AV444" s="54"/>
      <c r="AW444" s="54"/>
      <c r="AX444" s="54"/>
      <c r="AY444" s="54"/>
      <c r="AZ444" s="54"/>
      <c r="BA444" s="54"/>
      <c r="BB444" s="54"/>
      <c r="BC444" s="171"/>
      <c r="BD444" s="171"/>
    </row>
    <row r="445" spans="1:56" ht="14.15" customHeight="1">
      <c r="A445" s="54"/>
      <c r="B445" s="54"/>
      <c r="C445" s="54"/>
      <c r="D445" s="54"/>
      <c r="E445" s="54"/>
      <c r="F445" s="54"/>
      <c r="G445" s="54"/>
      <c r="H445" s="54" t="s">
        <v>2855</v>
      </c>
      <c r="I445" s="54"/>
      <c r="J445" s="54"/>
      <c r="K445" s="54"/>
      <c r="L445" s="54"/>
      <c r="M445" s="54"/>
      <c r="N445" s="54"/>
      <c r="O445" s="54"/>
      <c r="P445" s="54"/>
      <c r="Q445" s="54"/>
      <c r="R445" s="54"/>
      <c r="S445" s="54"/>
      <c r="T445" s="54"/>
      <c r="U445" s="54"/>
      <c r="V445" s="54"/>
      <c r="W445" s="54"/>
      <c r="X445" s="54"/>
      <c r="Y445" s="54"/>
      <c r="Z445" s="54"/>
      <c r="AA445" s="54"/>
      <c r="AB445" s="54"/>
      <c r="AC445" s="54"/>
      <c r="AD445" s="54"/>
      <c r="AE445" s="54"/>
      <c r="AF445" s="54"/>
      <c r="AG445" s="54"/>
      <c r="AH445" s="54"/>
      <c r="AI445" s="54"/>
      <c r="AJ445" s="54"/>
      <c r="AK445" s="54"/>
      <c r="AL445" s="54"/>
      <c r="AM445" s="54"/>
      <c r="AN445" s="54"/>
      <c r="AO445" s="54"/>
      <c r="AP445" s="589" t="s">
        <v>2822</v>
      </c>
      <c r="AQ445" s="589"/>
      <c r="AR445" s="565">
        <f>AV423</f>
        <v>171.84044444444444</v>
      </c>
      <c r="AS445" s="565">
        <f>SUM(AS441:AS444)</f>
        <v>136.52600389863548</v>
      </c>
      <c r="AT445" s="54"/>
      <c r="AU445" s="54"/>
      <c r="AV445" s="54"/>
      <c r="AW445" s="54"/>
      <c r="AX445" s="54"/>
      <c r="AY445" s="54"/>
      <c r="AZ445" s="54"/>
      <c r="BA445" s="54"/>
      <c r="BB445" s="54"/>
      <c r="BC445" s="171"/>
      <c r="BD445" s="171"/>
    </row>
    <row r="446" spans="1:56" ht="14.1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c r="AA446" s="54"/>
      <c r="AB446" s="54"/>
      <c r="AC446" s="54"/>
      <c r="AD446" s="54"/>
      <c r="AE446" s="54"/>
      <c r="AF446" s="54"/>
      <c r="AG446" s="54"/>
      <c r="AH446" s="54"/>
      <c r="AI446" s="54"/>
      <c r="AJ446" s="54"/>
      <c r="AK446" s="54"/>
      <c r="AL446" s="54"/>
      <c r="AM446" s="54"/>
      <c r="AN446" s="54"/>
      <c r="AO446" s="54"/>
      <c r="AP446" s="589"/>
      <c r="AQ446" s="589"/>
      <c r="AR446" s="565"/>
      <c r="AS446" s="565"/>
      <c r="AT446" s="54"/>
      <c r="AU446" s="54"/>
      <c r="AV446" s="54"/>
      <c r="AW446" s="54"/>
      <c r="AX446" s="54"/>
      <c r="AY446" s="54"/>
      <c r="AZ446" s="54"/>
      <c r="BA446" s="54"/>
      <c r="BB446" s="54"/>
      <c r="BC446" s="171"/>
      <c r="BD446" s="171"/>
    </row>
    <row r="447" spans="1:56" ht="14.15" customHeight="1">
      <c r="A447" s="54"/>
      <c r="B447" s="54"/>
      <c r="C447" s="54"/>
      <c r="D447" s="54"/>
      <c r="E447" s="54"/>
      <c r="F447" s="54"/>
      <c r="G447" s="54"/>
      <c r="H447" s="54" t="s">
        <v>2856</v>
      </c>
      <c r="I447" s="54"/>
      <c r="J447" s="54"/>
      <c r="K447" s="54"/>
      <c r="L447" s="54"/>
      <c r="M447" s="54"/>
      <c r="N447" s="54"/>
      <c r="O447" s="54"/>
      <c r="P447" s="54"/>
      <c r="Q447" s="54"/>
      <c r="R447" s="54"/>
      <c r="S447" s="54"/>
      <c r="T447" s="54"/>
      <c r="U447" s="54"/>
      <c r="V447" s="54"/>
      <c r="W447" s="54"/>
      <c r="X447" s="54"/>
      <c r="Y447" s="54"/>
      <c r="Z447" s="54"/>
      <c r="AA447" s="54"/>
      <c r="AB447" s="54"/>
      <c r="AC447" s="54"/>
      <c r="AD447" s="54"/>
      <c r="AE447" s="54"/>
      <c r="AF447" s="54"/>
      <c r="AG447" s="54"/>
      <c r="AH447" s="54"/>
      <c r="AI447" s="54"/>
      <c r="AJ447" s="54"/>
      <c r="AK447" s="54"/>
      <c r="AL447" s="54"/>
      <c r="AM447" s="54"/>
      <c r="AN447" s="54"/>
      <c r="AO447" s="54"/>
      <c r="AP447" s="54"/>
      <c r="AQ447" s="54"/>
      <c r="AR447" s="54"/>
      <c r="AS447" s="83"/>
      <c r="AT447" s="54"/>
      <c r="AU447" s="54"/>
      <c r="AV447" s="54"/>
      <c r="AW447" s="54"/>
      <c r="AX447" s="54"/>
      <c r="AY447" s="54"/>
      <c r="AZ447" s="54"/>
      <c r="BA447" s="54"/>
      <c r="BB447" s="54"/>
      <c r="BC447" s="171"/>
      <c r="BD447" s="171"/>
    </row>
    <row r="448" spans="1:56" ht="14.1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c r="AC448" s="54"/>
      <c r="AD448" s="54"/>
      <c r="AE448" s="54"/>
      <c r="AF448" s="54"/>
      <c r="AG448" s="54"/>
      <c r="AH448" s="54"/>
      <c r="AI448" s="54"/>
      <c r="AJ448" s="54"/>
      <c r="AK448" s="54"/>
      <c r="AL448" s="54"/>
      <c r="AM448" s="54"/>
      <c r="AN448" s="54"/>
      <c r="AO448" s="54"/>
      <c r="AP448" s="54"/>
      <c r="AQ448" s="54"/>
      <c r="AR448" s="54"/>
      <c r="AS448" s="83"/>
      <c r="AT448" s="54"/>
      <c r="AU448" s="54"/>
      <c r="AV448" s="54"/>
      <c r="AW448" s="54"/>
      <c r="AX448" s="54"/>
      <c r="AY448" s="54"/>
      <c r="AZ448" s="54"/>
      <c r="BA448" s="54"/>
      <c r="BB448" s="54"/>
      <c r="BC448" s="171"/>
      <c r="BD448" s="171"/>
    </row>
    <row r="449" spans="1:56" ht="14.15" customHeight="1">
      <c r="A449" s="54"/>
      <c r="B449" s="54"/>
      <c r="C449" s="54"/>
      <c r="D449" s="54"/>
      <c r="E449" s="54"/>
      <c r="F449" s="54"/>
      <c r="G449" s="54"/>
      <c r="H449" s="54" t="s">
        <v>2857</v>
      </c>
      <c r="I449" s="54"/>
      <c r="J449" s="54"/>
      <c r="K449" s="54"/>
      <c r="L449" s="54"/>
      <c r="M449" s="54"/>
      <c r="N449" s="54"/>
      <c r="O449" s="54"/>
      <c r="P449" s="54"/>
      <c r="Q449" s="54"/>
      <c r="R449" s="54"/>
      <c r="S449" s="54"/>
      <c r="T449" s="54"/>
      <c r="U449" s="54"/>
      <c r="V449" s="54"/>
      <c r="W449" s="54"/>
      <c r="X449" s="54"/>
      <c r="Y449" s="54"/>
      <c r="Z449" s="54"/>
      <c r="AA449" s="54"/>
      <c r="AB449" s="54"/>
      <c r="AC449" s="54"/>
      <c r="AD449" s="54"/>
      <c r="AE449" s="54"/>
      <c r="AF449" s="54"/>
      <c r="AG449" s="54"/>
      <c r="AH449" s="54"/>
      <c r="AI449" s="54"/>
      <c r="AJ449" s="54"/>
      <c r="AK449" s="54"/>
      <c r="AL449" s="54"/>
      <c r="AM449" s="54"/>
      <c r="AN449" s="54"/>
      <c r="AO449" s="54"/>
      <c r="AP449" s="54"/>
      <c r="AQ449" s="54"/>
      <c r="AR449" s="54"/>
      <c r="AS449" s="83"/>
      <c r="AT449" s="54"/>
      <c r="AU449" s="54"/>
      <c r="AV449" s="54"/>
      <c r="AW449" s="54"/>
      <c r="AX449" s="54"/>
      <c r="AY449" s="54"/>
      <c r="AZ449" s="54"/>
      <c r="BA449" s="54"/>
      <c r="BB449" s="54"/>
      <c r="BC449" s="171"/>
      <c r="BD449" s="171"/>
    </row>
    <row r="450" spans="1:56" ht="14.1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c r="AC450" s="54"/>
      <c r="AD450" s="54"/>
      <c r="AE450" s="54"/>
      <c r="AF450" s="54"/>
      <c r="AG450" s="54"/>
      <c r="AH450" s="54"/>
      <c r="AI450" s="54"/>
      <c r="AJ450" s="54"/>
      <c r="AK450" s="54"/>
      <c r="AL450" s="54"/>
      <c r="AM450" s="54"/>
      <c r="AN450" s="54"/>
      <c r="AO450" s="54"/>
      <c r="AP450" s="54"/>
      <c r="AQ450" s="54"/>
      <c r="AR450" s="54"/>
      <c r="AS450" s="83"/>
      <c r="AT450" s="54"/>
      <c r="AU450" s="54"/>
      <c r="AV450" s="54"/>
      <c r="AW450" s="54"/>
      <c r="AX450" s="54"/>
      <c r="AY450" s="54"/>
      <c r="AZ450" s="54"/>
      <c r="BA450" s="54"/>
      <c r="BB450" s="54"/>
      <c r="BC450" s="171"/>
      <c r="BD450" s="171"/>
    </row>
    <row r="451" spans="1:56" ht="14.15" customHeight="1">
      <c r="A451" s="54"/>
      <c r="B451" s="54"/>
      <c r="C451" s="54"/>
      <c r="D451" s="54"/>
      <c r="E451" s="54"/>
      <c r="F451" s="569" t="s">
        <v>2858</v>
      </c>
      <c r="G451" s="569"/>
      <c r="H451" s="570" t="s">
        <v>2859</v>
      </c>
      <c r="I451" s="570"/>
      <c r="J451" s="570"/>
      <c r="K451" s="570"/>
      <c r="L451" s="570"/>
      <c r="M451" s="570"/>
      <c r="N451" s="570"/>
      <c r="O451" s="570"/>
      <c r="P451" s="570"/>
      <c r="Q451" s="54"/>
      <c r="R451" s="54"/>
      <c r="S451" s="54"/>
      <c r="T451" s="54"/>
      <c r="U451" s="54"/>
      <c r="V451" s="54"/>
      <c r="W451" s="54"/>
      <c r="X451" s="54"/>
      <c r="Y451" s="54"/>
      <c r="Z451" s="54"/>
      <c r="AA451" s="54"/>
      <c r="AB451" s="54"/>
      <c r="AC451" s="54"/>
      <c r="AD451" s="54"/>
      <c r="AE451" s="54"/>
      <c r="AF451" s="54"/>
      <c r="AG451" s="54"/>
      <c r="AH451" s="54"/>
      <c r="AI451" s="54"/>
      <c r="AJ451" s="54"/>
      <c r="AK451" s="54"/>
      <c r="AL451" s="54"/>
      <c r="AM451" s="54"/>
      <c r="AN451" s="54"/>
      <c r="AO451" s="54"/>
      <c r="AP451" s="54"/>
      <c r="AQ451" s="54"/>
      <c r="AR451" s="54"/>
      <c r="AS451" s="54"/>
      <c r="AT451" s="54"/>
      <c r="AU451" s="54"/>
      <c r="AV451" s="54"/>
      <c r="AW451" s="54"/>
      <c r="AX451" s="54"/>
      <c r="AY451" s="54"/>
      <c r="AZ451" s="54"/>
      <c r="BA451" s="54"/>
      <c r="BB451" s="54"/>
      <c r="BC451" s="171"/>
      <c r="BD451" s="171"/>
    </row>
    <row r="452" spans="1:56" ht="14.15" customHeight="1">
      <c r="A452" s="54"/>
      <c r="B452" s="54"/>
      <c r="C452" s="54"/>
      <c r="D452" s="54"/>
      <c r="E452" s="54"/>
      <c r="F452" s="569"/>
      <c r="G452" s="569"/>
      <c r="H452" s="570"/>
      <c r="I452" s="570"/>
      <c r="J452" s="570"/>
      <c r="K452" s="570"/>
      <c r="L452" s="570"/>
      <c r="M452" s="570"/>
      <c r="N452" s="570"/>
      <c r="O452" s="570"/>
      <c r="P452" s="570"/>
      <c r="Q452" s="54"/>
      <c r="R452" s="54"/>
      <c r="S452" s="54"/>
      <c r="T452" s="54"/>
      <c r="U452" s="54"/>
      <c r="V452" s="54"/>
      <c r="W452" s="54"/>
      <c r="X452" s="54"/>
      <c r="Y452" s="54"/>
      <c r="Z452" s="54"/>
      <c r="AA452" s="54"/>
      <c r="AB452" s="54"/>
      <c r="AC452" s="54"/>
      <c r="AD452" s="54"/>
      <c r="AE452" s="54"/>
      <c r="AF452" s="54"/>
      <c r="AG452" s="54"/>
      <c r="AH452" s="54"/>
      <c r="AI452" s="54"/>
      <c r="AJ452" s="54"/>
      <c r="AK452" s="54"/>
      <c r="AL452" s="54"/>
      <c r="AM452" s="54"/>
      <c r="AN452" s="54"/>
      <c r="AO452" s="54"/>
      <c r="AP452" s="54"/>
      <c r="AQ452" s="54"/>
      <c r="AR452" s="54"/>
      <c r="AS452" s="54"/>
      <c r="AT452" s="54"/>
      <c r="AU452" s="54"/>
      <c r="AV452" s="54"/>
      <c r="AW452" s="54"/>
      <c r="AX452" s="54"/>
      <c r="AY452" s="54"/>
      <c r="AZ452" s="54"/>
      <c r="BA452" s="54"/>
      <c r="BB452" s="54"/>
      <c r="BC452" s="171"/>
      <c r="BD452" s="171"/>
    </row>
    <row r="453" spans="1:56" ht="14.1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c r="AA453" s="54"/>
      <c r="AB453" s="54"/>
      <c r="AC453" s="54"/>
      <c r="AD453" s="54"/>
      <c r="AE453" s="54"/>
      <c r="AF453" s="54"/>
      <c r="AG453" s="54"/>
      <c r="AH453" s="54"/>
      <c r="AI453" s="54"/>
      <c r="AJ453" s="54"/>
      <c r="AK453" s="54"/>
      <c r="AL453" s="54"/>
      <c r="AM453" s="54"/>
      <c r="AN453" s="54"/>
      <c r="AO453" s="54"/>
      <c r="AP453" s="54"/>
      <c r="AQ453" s="54"/>
      <c r="AR453" s="54"/>
      <c r="AS453" s="54"/>
      <c r="AT453" s="54"/>
      <c r="AU453" s="54"/>
      <c r="AV453" s="54"/>
      <c r="AW453" s="54"/>
      <c r="AX453" s="54"/>
      <c r="AY453" s="54"/>
      <c r="AZ453" s="54"/>
      <c r="BA453" s="54"/>
      <c r="BB453" s="54"/>
      <c r="BC453" s="171"/>
      <c r="BD453" s="171"/>
    </row>
    <row r="454" spans="1:56" ht="14.1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73" t="s">
        <v>63</v>
      </c>
      <c r="Z454" s="573"/>
      <c r="AA454" s="571" t="s">
        <v>2860</v>
      </c>
      <c r="AB454" s="571"/>
      <c r="AC454" s="571"/>
      <c r="AD454" s="571"/>
      <c r="AE454" s="571"/>
      <c r="AF454" s="571"/>
      <c r="AG454" s="571"/>
      <c r="AH454" s="571"/>
      <c r="AI454" s="571"/>
      <c r="AJ454" s="54" t="s">
        <v>2861</v>
      </c>
      <c r="AK454" s="54"/>
      <c r="AL454" s="54"/>
      <c r="AM454" s="54"/>
      <c r="AN454" s="54"/>
      <c r="AO454" s="54"/>
      <c r="AP454" s="54"/>
      <c r="AQ454" s="54"/>
      <c r="AR454" s="54"/>
      <c r="AS454" s="54"/>
      <c r="AT454" s="54"/>
      <c r="AU454" s="54"/>
      <c r="AV454" s="54"/>
      <c r="AW454" s="54"/>
      <c r="AX454" s="54"/>
      <c r="AY454" s="54"/>
      <c r="AZ454" s="54"/>
      <c r="BA454" s="54"/>
      <c r="BB454" s="54"/>
      <c r="BC454" s="171"/>
      <c r="BD454" s="171"/>
    </row>
    <row r="455" spans="1:56" ht="14.15" customHeight="1">
      <c r="A455" s="54"/>
      <c r="B455" s="54"/>
      <c r="C455" s="54"/>
      <c r="D455" s="54"/>
      <c r="E455" s="54"/>
      <c r="F455" s="569" t="s">
        <v>2862</v>
      </c>
      <c r="G455" s="569"/>
      <c r="H455" s="570" t="s">
        <v>2863</v>
      </c>
      <c r="I455" s="570"/>
      <c r="J455" s="570"/>
      <c r="K455" s="570"/>
      <c r="L455" s="570"/>
      <c r="M455" s="570"/>
      <c r="N455" s="570"/>
      <c r="O455" s="570"/>
      <c r="P455" s="570"/>
      <c r="Q455" s="54"/>
      <c r="R455" s="54"/>
      <c r="S455" s="54"/>
      <c r="T455" s="54"/>
      <c r="U455" s="54"/>
      <c r="V455" s="54"/>
      <c r="W455" s="54"/>
      <c r="X455" s="54"/>
      <c r="Y455" s="574"/>
      <c r="Z455" s="574"/>
      <c r="AA455" s="572"/>
      <c r="AB455" s="572"/>
      <c r="AC455" s="572"/>
      <c r="AD455" s="572"/>
      <c r="AE455" s="572"/>
      <c r="AF455" s="572"/>
      <c r="AG455" s="572"/>
      <c r="AH455" s="572"/>
      <c r="AI455" s="572"/>
      <c r="AJ455" s="165" t="s">
        <v>2864</v>
      </c>
      <c r="AK455" s="54"/>
      <c r="AL455" s="54"/>
      <c r="AM455" s="54"/>
      <c r="AN455" s="54"/>
      <c r="AO455" s="54"/>
      <c r="AP455" s="54"/>
      <c r="AQ455" s="54"/>
      <c r="AR455" s="54"/>
      <c r="AS455" s="54"/>
      <c r="AT455" s="54"/>
      <c r="AU455" s="54"/>
      <c r="AV455" s="54"/>
      <c r="AW455" s="54"/>
      <c r="AX455" s="54"/>
      <c r="AY455" s="54"/>
      <c r="AZ455" s="54"/>
      <c r="BA455" s="54"/>
      <c r="BB455" s="54"/>
      <c r="BC455" s="171"/>
      <c r="BD455" s="171"/>
    </row>
    <row r="456" spans="1:56" ht="14.15" customHeight="1">
      <c r="A456" s="54"/>
      <c r="B456" s="54"/>
      <c r="C456" s="54"/>
      <c r="D456" s="54"/>
      <c r="E456" s="54"/>
      <c r="F456" s="569"/>
      <c r="G456" s="569"/>
      <c r="H456" s="570"/>
      <c r="I456" s="570"/>
      <c r="J456" s="570"/>
      <c r="K456" s="570"/>
      <c r="L456" s="570"/>
      <c r="M456" s="570"/>
      <c r="N456" s="570"/>
      <c r="O456" s="570"/>
      <c r="P456" s="570"/>
      <c r="Q456" s="54"/>
      <c r="R456" s="54"/>
      <c r="S456" s="54"/>
      <c r="T456" s="54"/>
      <c r="U456" s="54"/>
      <c r="V456" s="54"/>
      <c r="W456" s="54"/>
      <c r="X456" s="54"/>
      <c r="Y456" s="54"/>
      <c r="Z456" s="54"/>
      <c r="AA456" s="54"/>
      <c r="AB456" s="54"/>
      <c r="AC456" s="54"/>
      <c r="AD456" s="54"/>
      <c r="AE456" s="54"/>
      <c r="AF456" s="54"/>
      <c r="AG456" s="54"/>
      <c r="AH456" s="54"/>
      <c r="AI456" s="54"/>
      <c r="AJ456" s="54"/>
      <c r="AK456" s="54"/>
      <c r="AL456" s="54"/>
      <c r="AM456" s="54"/>
      <c r="AN456" s="54"/>
      <c r="AO456" s="54"/>
      <c r="AP456" s="54"/>
      <c r="AQ456" s="54"/>
      <c r="AR456" s="54"/>
      <c r="AS456" s="54"/>
      <c r="AT456" s="54"/>
      <c r="AU456" s="54"/>
      <c r="AV456" s="54"/>
      <c r="AW456" s="54"/>
      <c r="AX456" s="54"/>
      <c r="AY456" s="54"/>
      <c r="AZ456" s="54"/>
      <c r="BA456" s="54"/>
      <c r="BB456" s="54"/>
      <c r="BC456" s="171"/>
      <c r="BD456" s="171"/>
    </row>
    <row r="457" spans="1:56" ht="14.1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69" t="s">
        <v>2865</v>
      </c>
      <c r="Z457" s="569"/>
      <c r="AA457" s="570" t="s">
        <v>2866</v>
      </c>
      <c r="AB457" s="570"/>
      <c r="AC457" s="570"/>
      <c r="AD457" s="570"/>
      <c r="AE457" s="570"/>
      <c r="AF457" s="570"/>
      <c r="AG457" s="570"/>
      <c r="AH457" s="570"/>
      <c r="AI457" s="570"/>
      <c r="AJ457" s="570"/>
      <c r="AK457" s="54"/>
      <c r="AL457" s="54"/>
      <c r="AM457" s="54"/>
      <c r="AN457" s="54"/>
      <c r="AO457" s="54"/>
      <c r="AP457" s="54"/>
      <c r="AQ457" s="54"/>
      <c r="AR457" s="54"/>
      <c r="AS457" s="54"/>
      <c r="AT457" s="54"/>
      <c r="AU457" s="54"/>
      <c r="AV457" s="54"/>
      <c r="AW457" s="54"/>
      <c r="AX457" s="54"/>
      <c r="AY457" s="54"/>
      <c r="AZ457" s="54"/>
      <c r="BA457" s="54"/>
      <c r="BB457" s="54"/>
      <c r="BC457" s="171"/>
      <c r="BD457" s="171"/>
    </row>
    <row r="458" spans="1:56" ht="14.1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69"/>
      <c r="Z458" s="569"/>
      <c r="AA458" s="570"/>
      <c r="AB458" s="570"/>
      <c r="AC458" s="570"/>
      <c r="AD458" s="570"/>
      <c r="AE458" s="570"/>
      <c r="AF458" s="570"/>
      <c r="AG458" s="570"/>
      <c r="AH458" s="570"/>
      <c r="AI458" s="570"/>
      <c r="AJ458" s="570"/>
      <c r="AK458" s="54"/>
      <c r="AL458" s="54"/>
      <c r="AM458" s="54"/>
      <c r="AN458" s="54"/>
      <c r="AO458" s="54"/>
      <c r="AP458" s="54"/>
      <c r="AQ458" s="54"/>
      <c r="AR458" s="54"/>
      <c r="AS458" s="54"/>
      <c r="AT458" s="54"/>
      <c r="AU458" s="54"/>
      <c r="AV458" s="54"/>
      <c r="AW458" s="54"/>
      <c r="AX458" s="54"/>
      <c r="AY458" s="54"/>
      <c r="AZ458" s="54"/>
      <c r="BA458" s="54"/>
      <c r="BB458" s="54"/>
      <c r="BC458" s="171"/>
      <c r="BD458" s="171"/>
    </row>
    <row r="459" spans="1:56" ht="14.1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c r="AA459" s="281" t="s">
        <v>2867</v>
      </c>
      <c r="AB459" s="54"/>
      <c r="AC459" s="54"/>
      <c r="AD459" s="54"/>
      <c r="AE459" s="54"/>
      <c r="AF459" s="54"/>
      <c r="AG459" s="54"/>
      <c r="AH459" s="54"/>
      <c r="AI459" s="54"/>
      <c r="AJ459" s="54"/>
      <c r="AK459" s="54"/>
      <c r="AL459" s="54"/>
      <c r="AM459" s="54"/>
      <c r="AN459" s="54"/>
      <c r="AO459" s="54"/>
      <c r="AP459" s="54"/>
      <c r="AQ459" s="54"/>
      <c r="AR459" s="54"/>
      <c r="AS459" s="54"/>
      <c r="AT459" s="54"/>
      <c r="AU459" s="54"/>
      <c r="AV459" s="54"/>
      <c r="AW459" s="54"/>
      <c r="AX459" s="54"/>
      <c r="AY459" s="54"/>
      <c r="AZ459" s="54"/>
      <c r="BA459" s="54"/>
      <c r="BB459" s="54"/>
      <c r="BC459" s="171"/>
      <c r="BD459" s="171"/>
    </row>
    <row r="460" spans="1:56" ht="14.1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69" t="s">
        <v>2868</v>
      </c>
      <c r="Z460" s="569"/>
      <c r="AA460" s="570" t="s">
        <v>2869</v>
      </c>
      <c r="AB460" s="570"/>
      <c r="AC460" s="570"/>
      <c r="AD460" s="570"/>
      <c r="AE460" s="570"/>
      <c r="AF460" s="570"/>
      <c r="AG460" s="570"/>
      <c r="AH460" s="570"/>
      <c r="AI460" s="570"/>
      <c r="AJ460" s="570"/>
      <c r="AK460" s="54"/>
      <c r="AL460" s="54"/>
      <c r="AM460" s="54"/>
      <c r="AN460" s="54"/>
      <c r="AO460" s="54"/>
      <c r="AP460" s="54"/>
      <c r="AQ460" s="54"/>
      <c r="AR460" s="54"/>
      <c r="AS460" s="54"/>
      <c r="AT460" s="54"/>
      <c r="AU460" s="54"/>
      <c r="AV460" s="54"/>
      <c r="AW460" s="54"/>
      <c r="AX460" s="54"/>
      <c r="AY460" s="54"/>
      <c r="AZ460" s="54"/>
      <c r="BA460" s="54"/>
      <c r="BB460" s="54"/>
      <c r="BC460" s="171"/>
      <c r="BD460" s="171"/>
    </row>
    <row r="461" spans="1:56" ht="14.1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69"/>
      <c r="Z461" s="569"/>
      <c r="AA461" s="570"/>
      <c r="AB461" s="570"/>
      <c r="AC461" s="570"/>
      <c r="AD461" s="570"/>
      <c r="AE461" s="570"/>
      <c r="AF461" s="570"/>
      <c r="AG461" s="570"/>
      <c r="AH461" s="570"/>
      <c r="AI461" s="570"/>
      <c r="AJ461" s="570"/>
      <c r="AK461" s="54"/>
      <c r="AL461" s="54"/>
      <c r="AM461" s="54"/>
      <c r="AN461" s="54"/>
      <c r="AO461" s="54"/>
      <c r="AP461" s="54"/>
      <c r="AQ461" s="54"/>
      <c r="AR461" s="54"/>
      <c r="AS461" s="54"/>
      <c r="AT461" s="54"/>
      <c r="AU461" s="54"/>
      <c r="AV461" s="54"/>
      <c r="AW461" s="54"/>
      <c r="AX461" s="54"/>
      <c r="AY461" s="54"/>
      <c r="AZ461" s="54"/>
      <c r="BA461" s="54"/>
      <c r="BB461" s="54"/>
      <c r="BC461" s="171"/>
      <c r="BD461" s="171"/>
    </row>
    <row r="462" spans="1:56" ht="14.1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c r="AA462" s="54"/>
      <c r="AB462" s="54"/>
      <c r="AC462" s="54"/>
      <c r="AD462" s="54"/>
      <c r="AE462" s="54"/>
      <c r="AF462" s="54"/>
      <c r="AG462" s="54"/>
      <c r="AH462" s="54"/>
      <c r="AI462" s="54"/>
      <c r="AJ462" s="54"/>
      <c r="AK462" s="54"/>
      <c r="AL462" s="54"/>
      <c r="AM462" s="54"/>
      <c r="AN462" s="54"/>
      <c r="AO462" s="54"/>
      <c r="AP462" s="54"/>
      <c r="AQ462" s="54"/>
      <c r="AR462" s="54"/>
      <c r="AS462" s="54"/>
      <c r="AT462" s="54"/>
      <c r="AU462" s="54"/>
      <c r="AV462" s="54"/>
      <c r="AW462" s="54"/>
      <c r="AX462" s="54"/>
      <c r="AY462" s="54"/>
      <c r="AZ462" s="54"/>
      <c r="BA462" s="54"/>
      <c r="BB462" s="54"/>
      <c r="BC462" s="171"/>
      <c r="BD462" s="171"/>
    </row>
    <row r="463" spans="1:56" ht="14.1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69" t="s">
        <v>2870</v>
      </c>
      <c r="Z463" s="569"/>
      <c r="AA463" s="570" t="s">
        <v>2871</v>
      </c>
      <c r="AB463" s="570"/>
      <c r="AC463" s="570"/>
      <c r="AD463" s="570"/>
      <c r="AE463" s="570"/>
      <c r="AF463" s="570"/>
      <c r="AG463" s="570"/>
      <c r="AH463" s="570"/>
      <c r="AI463" s="570"/>
      <c r="AJ463" s="570"/>
      <c r="AK463" s="54"/>
      <c r="AL463" s="54"/>
      <c r="AM463" s="54"/>
      <c r="AN463" s="54"/>
      <c r="AO463" s="54"/>
      <c r="AP463" s="54"/>
      <c r="AQ463" s="54"/>
      <c r="AR463" s="54"/>
      <c r="AS463" s="54"/>
      <c r="AT463" s="54"/>
      <c r="AU463" s="54"/>
      <c r="AV463" s="54"/>
      <c r="AW463" s="54"/>
      <c r="AX463" s="54"/>
      <c r="AY463" s="54"/>
      <c r="AZ463" s="54"/>
      <c r="BA463" s="54"/>
      <c r="BB463" s="54"/>
      <c r="BC463" s="171"/>
      <c r="BD463" s="171"/>
    </row>
    <row r="464" spans="1:56" ht="14.1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69"/>
      <c r="Z464" s="569"/>
      <c r="AA464" s="570"/>
      <c r="AB464" s="570"/>
      <c r="AC464" s="570"/>
      <c r="AD464" s="570"/>
      <c r="AE464" s="570"/>
      <c r="AF464" s="570"/>
      <c r="AG464" s="570"/>
      <c r="AH464" s="570"/>
      <c r="AI464" s="570"/>
      <c r="AJ464" s="570"/>
      <c r="AK464" s="54"/>
      <c r="AL464" s="54"/>
      <c r="AM464" s="54"/>
      <c r="AN464" s="54"/>
      <c r="AO464" s="54"/>
      <c r="AP464" s="54"/>
      <c r="AQ464" s="54"/>
      <c r="AR464" s="54"/>
      <c r="AS464" s="54"/>
      <c r="AT464" s="54"/>
      <c r="AU464" s="54"/>
      <c r="AV464" s="54"/>
      <c r="AW464" s="54"/>
      <c r="AX464" s="54"/>
      <c r="AY464" s="54"/>
      <c r="AZ464" s="54"/>
      <c r="BA464" s="54"/>
      <c r="BB464" s="54"/>
      <c r="BC464" s="171"/>
      <c r="BD464" s="171"/>
    </row>
    <row r="465" spans="1:56" ht="14.1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c r="AA465" s="54"/>
      <c r="AB465" s="54"/>
      <c r="AC465" s="54"/>
      <c r="AD465" s="54"/>
      <c r="AE465" s="54"/>
      <c r="AF465" s="54"/>
      <c r="AG465" s="54"/>
      <c r="AH465" s="54"/>
      <c r="AI465" s="54"/>
      <c r="AJ465" s="54"/>
      <c r="AK465" s="54"/>
      <c r="AL465" s="54"/>
      <c r="AM465" s="54"/>
      <c r="AN465" s="54"/>
      <c r="AO465" s="54"/>
      <c r="AP465" s="54"/>
      <c r="AQ465" s="54"/>
      <c r="AR465" s="54"/>
      <c r="AS465" s="54"/>
      <c r="AT465" s="54"/>
      <c r="AU465" s="54"/>
      <c r="AV465" s="54"/>
      <c r="AW465" s="54"/>
      <c r="AX465" s="54"/>
      <c r="AY465" s="54"/>
      <c r="AZ465" s="54"/>
      <c r="BA465" s="54"/>
      <c r="BB465" s="54"/>
      <c r="BC465" s="171"/>
      <c r="BD465" s="171"/>
    </row>
    <row r="466" spans="1:56" ht="14.1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c r="AA466" s="54"/>
      <c r="AB466" s="54"/>
      <c r="AC466" s="54"/>
      <c r="AD466" s="54"/>
      <c r="AE466" s="54"/>
      <c r="AF466" s="54"/>
      <c r="AG466" s="54"/>
      <c r="AH466" s="54"/>
      <c r="AI466" s="54"/>
      <c r="AJ466" s="54"/>
      <c r="AK466" s="54"/>
      <c r="AL466" s="54"/>
      <c r="AM466" s="54"/>
      <c r="AN466" s="54"/>
      <c r="AO466" s="54"/>
      <c r="AP466" s="54"/>
      <c r="AQ466" s="54"/>
      <c r="AR466" s="54"/>
      <c r="AS466" s="54"/>
      <c r="AT466" s="54"/>
      <c r="AU466" s="54"/>
      <c r="AV466" s="54"/>
      <c r="AW466" s="54"/>
      <c r="AX466" s="54"/>
      <c r="AY466" s="54"/>
      <c r="AZ466" s="54"/>
      <c r="BA466" s="54"/>
      <c r="BB466" s="54"/>
      <c r="BC466" s="171"/>
      <c r="BD466" s="171"/>
    </row>
    <row r="467" spans="1:56" ht="14.1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c r="AA467" s="54"/>
      <c r="AB467" s="54"/>
      <c r="AC467" s="54"/>
      <c r="AD467" s="54"/>
      <c r="AE467" s="54"/>
      <c r="AF467" s="54"/>
      <c r="AG467" s="54"/>
      <c r="AH467" s="54"/>
      <c r="AI467" s="54"/>
      <c r="AJ467" s="54"/>
      <c r="AK467" s="54"/>
      <c r="AL467" s="54"/>
      <c r="AM467" s="54"/>
      <c r="AN467" s="54"/>
      <c r="AO467" s="54"/>
      <c r="AP467" s="54"/>
      <c r="AQ467" s="54"/>
      <c r="AR467" s="54"/>
      <c r="AS467" s="54"/>
      <c r="AT467" s="54"/>
      <c r="AU467" s="54"/>
      <c r="AV467" s="54"/>
      <c r="AW467" s="54"/>
      <c r="AX467" s="54"/>
      <c r="AY467" s="54"/>
      <c r="AZ467" s="54"/>
      <c r="BA467" s="54"/>
      <c r="BB467" s="54"/>
      <c r="BC467" s="171"/>
      <c r="BD467" s="171"/>
    </row>
    <row r="468" spans="1:56" ht="14.1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c r="AA468" s="54"/>
      <c r="AB468" s="54"/>
      <c r="AC468" s="54"/>
      <c r="AD468" s="54"/>
      <c r="AE468" s="54"/>
      <c r="AF468" s="54"/>
      <c r="AG468" s="54"/>
      <c r="AH468" s="54"/>
      <c r="AI468" s="54"/>
      <c r="AJ468" s="54"/>
      <c r="AK468" s="54"/>
      <c r="AL468" s="54"/>
      <c r="AM468" s="54"/>
      <c r="AN468" s="54"/>
      <c r="AO468" s="54"/>
      <c r="AP468" s="54"/>
      <c r="AQ468" s="54"/>
      <c r="AR468" s="54"/>
      <c r="AS468" s="54"/>
      <c r="AT468" s="54"/>
      <c r="AU468" s="54"/>
      <c r="AV468" s="54"/>
      <c r="AW468" s="54"/>
      <c r="AX468" s="54"/>
      <c r="AY468" s="54"/>
      <c r="AZ468" s="54"/>
      <c r="BA468" s="54"/>
      <c r="BB468" s="54"/>
      <c r="BC468" s="171"/>
      <c r="BD468" s="171"/>
    </row>
    <row r="469" spans="1:56" ht="14.1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c r="AA469" s="54"/>
      <c r="AB469" s="54"/>
      <c r="AC469" s="54"/>
      <c r="AD469" s="54"/>
      <c r="AE469" s="54"/>
      <c r="AF469" s="54"/>
      <c r="AG469" s="54"/>
      <c r="AH469" s="54"/>
      <c r="AI469" s="54"/>
      <c r="AJ469" s="54"/>
      <c r="AK469" s="54"/>
      <c r="AL469" s="54"/>
      <c r="AM469" s="54"/>
      <c r="AN469" s="54"/>
      <c r="AO469" s="54"/>
      <c r="AP469" s="54"/>
      <c r="AQ469" s="54"/>
      <c r="AR469" s="54"/>
      <c r="AS469" s="54"/>
      <c r="AT469" s="54"/>
      <c r="AU469" s="54"/>
      <c r="AV469" s="54"/>
      <c r="AW469" s="54"/>
      <c r="AX469" s="54"/>
      <c r="AY469" s="54"/>
      <c r="AZ469" s="54"/>
      <c r="BA469" s="54"/>
      <c r="BB469" s="54"/>
      <c r="BC469" s="171"/>
      <c r="BD469" s="171"/>
    </row>
    <row r="470" spans="1:56" ht="14.1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c r="AA470" s="54"/>
      <c r="AB470" s="54"/>
      <c r="AC470" s="54"/>
      <c r="AD470" s="54"/>
      <c r="AE470" s="54"/>
      <c r="AF470" s="54"/>
      <c r="AG470" s="54"/>
      <c r="AH470" s="54"/>
      <c r="AI470" s="54"/>
      <c r="AJ470" s="54"/>
      <c r="AK470" s="54"/>
      <c r="AL470" s="54"/>
      <c r="AM470" s="54"/>
      <c r="AN470" s="54"/>
      <c r="AO470" s="54"/>
      <c r="AP470" s="54"/>
      <c r="AQ470" s="54"/>
      <c r="AR470" s="54"/>
      <c r="AS470" s="54"/>
      <c r="AT470" s="54"/>
      <c r="AU470" s="54"/>
      <c r="AV470" s="54"/>
      <c r="AW470" s="54"/>
      <c r="AX470" s="54"/>
      <c r="AY470" s="54"/>
      <c r="AZ470" s="54"/>
      <c r="BA470" s="54"/>
      <c r="BB470" s="54"/>
      <c r="BC470" s="171"/>
      <c r="BD470" s="171"/>
    </row>
    <row r="471" spans="1:56" ht="14.1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c r="AA471" s="54"/>
      <c r="AB471" s="54"/>
      <c r="AC471" s="54"/>
      <c r="AD471" s="54"/>
      <c r="AE471" s="54"/>
      <c r="AF471" s="54"/>
      <c r="AG471" s="54"/>
      <c r="AH471" s="54"/>
      <c r="AI471" s="54"/>
      <c r="AJ471" s="54"/>
      <c r="AK471" s="54"/>
      <c r="AL471" s="54"/>
      <c r="AM471" s="54"/>
      <c r="AN471" s="54"/>
      <c r="AO471" s="54"/>
      <c r="AP471" s="54"/>
      <c r="AQ471" s="54"/>
      <c r="AR471" s="54"/>
      <c r="AS471" s="54"/>
      <c r="AT471" s="54"/>
      <c r="AU471" s="54"/>
      <c r="AV471" s="54"/>
      <c r="AW471" s="54"/>
      <c r="AX471" s="54"/>
      <c r="AY471" s="54"/>
      <c r="AZ471" s="54"/>
      <c r="BA471" s="54"/>
      <c r="BB471" s="54"/>
      <c r="BC471" s="171"/>
      <c r="BD471" s="171"/>
    </row>
    <row r="472" spans="1:56" ht="14.1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c r="AE472" s="54"/>
      <c r="AF472" s="54"/>
      <c r="AG472" s="54"/>
      <c r="AH472" s="54"/>
      <c r="AI472" s="54"/>
      <c r="AJ472" s="54"/>
      <c r="AK472" s="54"/>
      <c r="AL472" s="54"/>
      <c r="AM472" s="54"/>
      <c r="AN472" s="54"/>
      <c r="AO472" s="54"/>
      <c r="AP472" s="54"/>
      <c r="AQ472" s="54"/>
      <c r="AR472" s="54"/>
      <c r="AS472" s="54"/>
      <c r="AT472" s="54"/>
      <c r="AU472" s="54"/>
      <c r="AV472" s="54"/>
      <c r="AW472" s="54"/>
      <c r="AX472" s="54"/>
      <c r="AY472" s="54"/>
      <c r="AZ472" s="54"/>
      <c r="BA472" s="54"/>
      <c r="BB472" s="54"/>
      <c r="BC472" s="171"/>
      <c r="BD472" s="171"/>
    </row>
    <row r="473" spans="1:56" ht="14.1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c r="AA473" s="54"/>
      <c r="AB473" s="54"/>
      <c r="AC473" s="54" t="s">
        <v>2872</v>
      </c>
      <c r="AD473" s="54"/>
      <c r="AE473" s="54"/>
      <c r="AF473" s="54"/>
      <c r="AG473" s="54"/>
      <c r="AH473" s="54"/>
      <c r="AI473" s="54"/>
      <c r="AJ473" s="54"/>
      <c r="AK473" s="54"/>
      <c r="AL473" s="54"/>
      <c r="AM473" s="54"/>
      <c r="AN473" s="54"/>
      <c r="AO473" s="54"/>
      <c r="AP473" s="54"/>
      <c r="AQ473" s="54"/>
      <c r="AR473" s="54"/>
      <c r="AS473" s="54"/>
      <c r="AT473" s="54"/>
      <c r="AU473" s="54"/>
      <c r="AV473" s="54"/>
      <c r="AW473" s="54"/>
      <c r="AX473" s="54"/>
      <c r="AY473" s="54"/>
      <c r="AZ473" s="54"/>
      <c r="BA473" s="54"/>
      <c r="BB473" s="54"/>
      <c r="BC473" s="171"/>
      <c r="BD473" s="171"/>
    </row>
    <row r="474" spans="1:56" ht="14.1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c r="AK474" s="54"/>
      <c r="AL474" s="54"/>
      <c r="AM474" s="54"/>
      <c r="AN474" s="54"/>
      <c r="AO474" s="54"/>
      <c r="AP474" s="54"/>
      <c r="AQ474" s="54"/>
      <c r="AR474" s="54"/>
      <c r="AS474" s="54"/>
      <c r="AT474" s="54"/>
      <c r="AU474" s="54"/>
      <c r="AV474" s="54"/>
      <c r="AW474" s="54"/>
      <c r="AX474" s="54"/>
      <c r="AY474" s="54"/>
      <c r="AZ474" s="54"/>
      <c r="BA474" s="54"/>
      <c r="BB474" s="54"/>
      <c r="BC474" s="171"/>
      <c r="BD474" s="171"/>
    </row>
    <row r="475" spans="1:56" ht="14.1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69" t="s">
        <v>2873</v>
      </c>
      <c r="Z475" s="569"/>
      <c r="AA475" s="570" t="s">
        <v>2874</v>
      </c>
      <c r="AB475" s="570"/>
      <c r="AC475" s="570"/>
      <c r="AD475" s="570"/>
      <c r="AE475" s="570"/>
      <c r="AF475" s="570"/>
      <c r="AG475" s="570"/>
      <c r="AH475" s="570"/>
      <c r="AI475" s="570"/>
      <c r="AJ475" s="570"/>
      <c r="AK475" s="54"/>
      <c r="AL475" s="54"/>
      <c r="AM475" s="54"/>
      <c r="AN475" s="54"/>
      <c r="AO475" s="54"/>
      <c r="AP475" s="54"/>
      <c r="AQ475" s="54"/>
      <c r="AR475" s="54"/>
      <c r="AS475" s="54"/>
      <c r="AT475" s="54"/>
      <c r="AU475" s="54"/>
      <c r="AV475" s="54"/>
      <c r="AW475" s="54"/>
      <c r="AX475" s="54"/>
      <c r="AY475" s="54"/>
      <c r="AZ475" s="54"/>
      <c r="BA475" s="54"/>
      <c r="BB475" s="54"/>
      <c r="BC475" s="171"/>
      <c r="BD475" s="171"/>
    </row>
    <row r="476" spans="1:56" ht="14.1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69"/>
      <c r="Z476" s="569"/>
      <c r="AA476" s="570"/>
      <c r="AB476" s="570"/>
      <c r="AC476" s="570"/>
      <c r="AD476" s="570"/>
      <c r="AE476" s="570"/>
      <c r="AF476" s="570"/>
      <c r="AG476" s="570"/>
      <c r="AH476" s="570"/>
      <c r="AI476" s="570"/>
      <c r="AJ476" s="570"/>
      <c r="AK476" s="54"/>
      <c r="AL476" s="54"/>
      <c r="AM476" s="54"/>
      <c r="AN476" s="54"/>
      <c r="AO476" s="54"/>
      <c r="AP476" s="54"/>
      <c r="AQ476" s="54"/>
      <c r="AR476" s="54"/>
      <c r="AS476" s="54"/>
      <c r="AT476" s="54"/>
      <c r="AU476" s="54"/>
      <c r="AV476" s="54"/>
      <c r="AW476" s="54"/>
      <c r="AX476" s="54"/>
      <c r="AY476" s="54"/>
      <c r="AZ476" s="54"/>
      <c r="BA476" s="54"/>
      <c r="BB476" s="54"/>
      <c r="BC476" s="171"/>
      <c r="BD476" s="171"/>
    </row>
    <row r="477" spans="1:56" ht="14.1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c r="AA477" s="570"/>
      <c r="AB477" s="570"/>
      <c r="AC477" s="570"/>
      <c r="AD477" s="570"/>
      <c r="AE477" s="570"/>
      <c r="AF477" s="570"/>
      <c r="AG477" s="570"/>
      <c r="AH477" s="570"/>
      <c r="AI477" s="570"/>
      <c r="AJ477" s="570"/>
      <c r="AK477" s="54"/>
      <c r="AL477" s="54"/>
      <c r="AM477" s="54"/>
      <c r="AN477" s="54"/>
      <c r="AO477" s="54"/>
      <c r="AP477" s="54"/>
      <c r="AQ477" s="54"/>
      <c r="AR477" s="54"/>
      <c r="AS477" s="54"/>
      <c r="AT477" s="54"/>
      <c r="AU477" s="54"/>
      <c r="AV477" s="54"/>
      <c r="AW477" s="54"/>
      <c r="AX477" s="54"/>
      <c r="AY477" s="54"/>
      <c r="AZ477" s="54"/>
      <c r="BA477" s="54"/>
      <c r="BB477" s="54"/>
      <c r="BC477" s="171"/>
      <c r="BD477" s="171"/>
    </row>
    <row r="478" spans="1:56" ht="14.1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c r="AA478" s="54"/>
      <c r="AB478" s="54"/>
      <c r="AC478" s="54"/>
      <c r="AD478" s="54"/>
      <c r="AE478" s="54"/>
      <c r="AF478" s="54"/>
      <c r="AG478" s="54"/>
      <c r="AH478" s="54"/>
      <c r="AI478" s="54"/>
      <c r="AJ478" s="54"/>
      <c r="AK478" s="54"/>
      <c r="AL478" s="54"/>
      <c r="AM478" s="54"/>
      <c r="AN478" s="54"/>
      <c r="AO478" s="54"/>
      <c r="AP478" s="54"/>
      <c r="AQ478" s="54"/>
      <c r="AR478" s="54"/>
      <c r="AS478" s="54"/>
      <c r="AT478" s="54"/>
      <c r="AU478" s="54"/>
      <c r="AV478" s="54"/>
      <c r="AW478" s="54"/>
      <c r="AX478" s="54"/>
      <c r="AY478" s="54"/>
      <c r="AZ478" s="54"/>
      <c r="BA478" s="54"/>
      <c r="BB478" s="54"/>
      <c r="BC478" s="171"/>
      <c r="BD478" s="171"/>
    </row>
    <row r="479" spans="1:56" ht="14.1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69" t="s">
        <v>2875</v>
      </c>
      <c r="Z479" s="569"/>
      <c r="AA479" s="570" t="s">
        <v>2876</v>
      </c>
      <c r="AB479" s="570"/>
      <c r="AC479" s="570"/>
      <c r="AD479" s="570"/>
      <c r="AE479" s="570"/>
      <c r="AF479" s="570"/>
      <c r="AG479" s="570"/>
      <c r="AH479" s="570"/>
      <c r="AI479" s="570"/>
      <c r="AJ479" s="570"/>
      <c r="AK479" s="54"/>
      <c r="AL479" s="54"/>
      <c r="AM479" s="54"/>
      <c r="AN479" s="54"/>
      <c r="AO479" s="54"/>
      <c r="AP479" s="54"/>
      <c r="AQ479" s="54"/>
      <c r="AR479" s="54"/>
      <c r="AS479" s="54"/>
      <c r="AT479" s="54"/>
      <c r="AU479" s="54"/>
      <c r="AV479" s="54"/>
      <c r="AW479" s="54"/>
      <c r="AX479" s="54"/>
      <c r="AY479" s="54"/>
      <c r="AZ479" s="54"/>
      <c r="BA479" s="54"/>
      <c r="BB479" s="54"/>
      <c r="BC479" s="171"/>
      <c r="BD479" s="171"/>
    </row>
    <row r="480" spans="1:56" ht="14.1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69"/>
      <c r="Z480" s="569"/>
      <c r="AA480" s="570"/>
      <c r="AB480" s="570"/>
      <c r="AC480" s="570"/>
      <c r="AD480" s="570"/>
      <c r="AE480" s="570"/>
      <c r="AF480" s="570"/>
      <c r="AG480" s="570"/>
      <c r="AH480" s="570"/>
      <c r="AI480" s="570"/>
      <c r="AJ480" s="570"/>
      <c r="AK480" s="54"/>
      <c r="AL480" s="54"/>
      <c r="AM480" s="54"/>
      <c r="AN480" s="54"/>
      <c r="AO480" s="54"/>
      <c r="AP480" s="54"/>
      <c r="AQ480" s="54"/>
      <c r="AR480" s="54"/>
      <c r="AS480" s="54"/>
      <c r="AT480" s="54"/>
      <c r="AU480" s="54"/>
      <c r="AV480" s="54"/>
      <c r="AW480" s="54"/>
      <c r="AX480" s="54"/>
      <c r="AY480" s="54"/>
      <c r="AZ480" s="54"/>
      <c r="BA480" s="54"/>
      <c r="BB480" s="54"/>
      <c r="BC480" s="171"/>
      <c r="BD480" s="171"/>
    </row>
    <row r="481" spans="1:56" ht="14.15" customHeight="1">
      <c r="A481" s="54"/>
      <c r="B481" s="54"/>
      <c r="C481" s="54"/>
      <c r="D481" s="54"/>
      <c r="E481" s="54"/>
      <c r="F481" s="569" t="s">
        <v>2877</v>
      </c>
      <c r="G481" s="569"/>
      <c r="H481" s="570" t="s">
        <v>2878</v>
      </c>
      <c r="I481" s="570"/>
      <c r="J481" s="570"/>
      <c r="K481" s="570"/>
      <c r="L481" s="570"/>
      <c r="M481" s="570"/>
      <c r="N481" s="570"/>
      <c r="O481" s="570"/>
      <c r="P481" s="570"/>
      <c r="Q481" s="54"/>
      <c r="R481" s="54"/>
      <c r="S481" s="54"/>
      <c r="T481" s="54"/>
      <c r="U481" s="54"/>
      <c r="V481" s="54"/>
      <c r="W481" s="54"/>
      <c r="X481" s="54"/>
      <c r="Y481" s="54"/>
      <c r="Z481" s="54"/>
      <c r="AA481" s="54"/>
      <c r="AB481" s="54"/>
      <c r="AC481" s="54"/>
      <c r="AD481" s="54"/>
      <c r="AE481" s="54"/>
      <c r="AF481" s="54"/>
      <c r="AG481" s="54"/>
      <c r="AH481" s="54"/>
      <c r="AI481" s="54"/>
      <c r="AJ481" s="54"/>
      <c r="AK481" s="54"/>
      <c r="AL481" s="54"/>
      <c r="AM481" s="54"/>
      <c r="AN481" s="54"/>
      <c r="AO481" s="54"/>
      <c r="AP481" s="54"/>
      <c r="AQ481" s="54"/>
      <c r="AR481" s="54"/>
      <c r="AS481" s="54"/>
      <c r="AT481" s="54"/>
      <c r="AU481" s="54"/>
      <c r="AV481" s="54"/>
      <c r="AW481" s="54"/>
      <c r="AX481" s="54"/>
      <c r="AY481" s="54"/>
      <c r="AZ481" s="54"/>
      <c r="BA481" s="54"/>
      <c r="BB481" s="54"/>
      <c r="BC481" s="171"/>
      <c r="BD481" s="171"/>
    </row>
    <row r="482" spans="1:56" ht="14.15" customHeight="1">
      <c r="A482" s="54"/>
      <c r="B482" s="54"/>
      <c r="C482" s="54"/>
      <c r="D482" s="54"/>
      <c r="E482" s="54"/>
      <c r="F482" s="569"/>
      <c r="G482" s="569"/>
      <c r="H482" s="570"/>
      <c r="I482" s="570"/>
      <c r="J482" s="570"/>
      <c r="K482" s="570"/>
      <c r="L482" s="570"/>
      <c r="M482" s="570"/>
      <c r="N482" s="570"/>
      <c r="O482" s="570"/>
      <c r="P482" s="570"/>
      <c r="Q482" s="54"/>
      <c r="R482" s="54"/>
      <c r="S482" s="54"/>
      <c r="T482" s="54"/>
      <c r="U482" s="54"/>
      <c r="V482" s="54"/>
      <c r="W482" s="54"/>
      <c r="X482" s="54"/>
      <c r="Y482" s="54"/>
      <c r="Z482" s="54"/>
      <c r="AA482" s="54"/>
      <c r="AB482" s="54"/>
      <c r="AC482" s="54"/>
      <c r="AD482" s="54"/>
      <c r="AE482" s="54"/>
      <c r="AF482" s="54"/>
      <c r="AG482" s="54"/>
      <c r="AH482" s="54"/>
      <c r="AI482" s="54"/>
      <c r="AJ482" s="54"/>
      <c r="AK482" s="54"/>
      <c r="AL482" s="54"/>
      <c r="AM482" s="54"/>
      <c r="AN482" s="54"/>
      <c r="AO482" s="54"/>
      <c r="AP482" s="54"/>
      <c r="AQ482" s="54"/>
      <c r="AR482" s="54"/>
      <c r="AS482" s="54"/>
      <c r="AT482" s="54"/>
      <c r="AU482" s="54"/>
      <c r="AV482" s="54"/>
      <c r="AW482" s="54"/>
      <c r="AX482" s="54"/>
      <c r="AY482" s="54"/>
      <c r="AZ482" s="54"/>
      <c r="BA482" s="54"/>
      <c r="BB482" s="54"/>
      <c r="BC482" s="171"/>
      <c r="BD482" s="171"/>
    </row>
    <row r="483" spans="1:56" ht="14.15" customHeight="1">
      <c r="A483" s="54"/>
      <c r="B483" s="54"/>
      <c r="C483" s="54"/>
      <c r="D483" s="54"/>
      <c r="E483" s="54"/>
      <c r="F483" s="54"/>
      <c r="G483" s="54"/>
      <c r="H483" s="189"/>
      <c r="I483" s="189"/>
      <c r="J483" s="189"/>
      <c r="K483" s="189"/>
      <c r="L483" s="189"/>
      <c r="M483" s="189"/>
      <c r="N483" s="189"/>
      <c r="O483" s="189"/>
      <c r="P483" s="189"/>
      <c r="Q483" s="54"/>
      <c r="R483" s="54"/>
      <c r="S483" s="54"/>
      <c r="T483" s="54"/>
      <c r="U483" s="54"/>
      <c r="V483" s="54"/>
      <c r="W483" s="54"/>
      <c r="X483" s="54"/>
      <c r="Y483" s="569" t="s">
        <v>2879</v>
      </c>
      <c r="Z483" s="569"/>
      <c r="AA483" s="570" t="s">
        <v>2880</v>
      </c>
      <c r="AB483" s="570"/>
      <c r="AC483" s="570"/>
      <c r="AD483" s="570"/>
      <c r="AE483" s="570"/>
      <c r="AF483" s="570"/>
      <c r="AG483" s="570"/>
      <c r="AH483" s="570"/>
      <c r="AI483" s="570"/>
      <c r="AJ483" s="570"/>
      <c r="AK483" s="54"/>
      <c r="AL483" s="54"/>
      <c r="AM483" s="54"/>
      <c r="AN483" s="54"/>
      <c r="AO483" s="54"/>
      <c r="AP483" s="54"/>
      <c r="AQ483" s="54"/>
      <c r="AR483" s="54"/>
      <c r="AS483" s="54"/>
      <c r="AT483" s="54"/>
      <c r="AU483" s="54"/>
      <c r="AV483" s="54"/>
      <c r="AW483" s="54"/>
      <c r="AX483" s="54"/>
      <c r="AY483" s="54"/>
      <c r="AZ483" s="54"/>
      <c r="BA483" s="54"/>
      <c r="BB483" s="54"/>
      <c r="BC483" s="171"/>
      <c r="BD483" s="171"/>
    </row>
    <row r="484" spans="1:56" ht="14.15" customHeight="1">
      <c r="A484" s="54"/>
      <c r="B484" s="54"/>
      <c r="C484" s="54"/>
      <c r="D484" s="54"/>
      <c r="E484" s="54"/>
      <c r="F484" s="54"/>
      <c r="G484" s="54"/>
      <c r="H484" s="54" t="s">
        <v>2881</v>
      </c>
      <c r="I484" s="54"/>
      <c r="J484" s="54"/>
      <c r="K484" s="54"/>
      <c r="L484" s="54"/>
      <c r="M484" s="54"/>
      <c r="N484" s="54"/>
      <c r="O484" s="54"/>
      <c r="P484" s="54"/>
      <c r="Q484" s="54"/>
      <c r="R484" s="54"/>
      <c r="S484" s="54"/>
      <c r="T484" s="54"/>
      <c r="U484" s="54"/>
      <c r="V484" s="54"/>
      <c r="W484" s="54"/>
      <c r="X484" s="54"/>
      <c r="Y484" s="569"/>
      <c r="Z484" s="569"/>
      <c r="AA484" s="570"/>
      <c r="AB484" s="570"/>
      <c r="AC484" s="570"/>
      <c r="AD484" s="570"/>
      <c r="AE484" s="570"/>
      <c r="AF484" s="570"/>
      <c r="AG484" s="570"/>
      <c r="AH484" s="570"/>
      <c r="AI484" s="570"/>
      <c r="AJ484" s="570"/>
      <c r="AK484" s="54"/>
      <c r="AL484" s="54"/>
      <c r="AM484" s="54"/>
      <c r="AN484" s="54"/>
      <c r="AO484" s="54"/>
      <c r="AP484" s="54"/>
      <c r="AQ484" s="54"/>
      <c r="AR484" s="54"/>
      <c r="AS484" s="54"/>
      <c r="AT484" s="54"/>
      <c r="AU484" s="54"/>
      <c r="AV484" s="54"/>
      <c r="AW484" s="54"/>
      <c r="AX484" s="54"/>
      <c r="AY484" s="54"/>
      <c r="AZ484" s="54"/>
      <c r="BA484" s="54"/>
      <c r="BB484" s="54"/>
      <c r="BC484" s="171"/>
      <c r="BD484" s="171"/>
    </row>
    <row r="485" spans="1:56" ht="14.1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c r="AA485" s="54"/>
      <c r="AB485" s="54"/>
      <c r="AC485" s="54"/>
      <c r="AD485" s="54"/>
      <c r="AE485" s="54"/>
      <c r="AF485" s="54"/>
      <c r="AG485" s="54"/>
      <c r="AH485" s="54"/>
      <c r="AI485" s="54"/>
      <c r="AJ485" s="54"/>
      <c r="AK485" s="54"/>
      <c r="AL485" s="54"/>
      <c r="AM485" s="54"/>
      <c r="AN485" s="54"/>
      <c r="AO485" s="54"/>
      <c r="AP485" s="54"/>
      <c r="AQ485" s="54"/>
      <c r="AR485" s="54"/>
      <c r="AS485" s="54"/>
      <c r="AT485" s="54"/>
      <c r="AU485" s="54"/>
      <c r="AV485" s="54"/>
      <c r="AW485" s="54"/>
      <c r="AX485" s="54"/>
      <c r="AY485" s="54"/>
      <c r="AZ485" s="54"/>
      <c r="BA485" s="54"/>
      <c r="BB485" s="54"/>
      <c r="BC485" s="171"/>
      <c r="BD485" s="171"/>
    </row>
    <row r="486" spans="1:56" ht="14.1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69" t="s">
        <v>2882</v>
      </c>
      <c r="Z486" s="569"/>
      <c r="AA486" s="570" t="s">
        <v>2883</v>
      </c>
      <c r="AB486" s="570"/>
      <c r="AC486" s="570"/>
      <c r="AD486" s="570"/>
      <c r="AE486" s="570"/>
      <c r="AF486" s="570"/>
      <c r="AG486" s="570"/>
      <c r="AH486" s="570"/>
      <c r="AI486" s="570"/>
      <c r="AJ486" s="570"/>
      <c r="AK486" s="54"/>
      <c r="AL486" s="54"/>
      <c r="AM486" s="54"/>
      <c r="AN486" s="54"/>
      <c r="AO486" s="54"/>
      <c r="AP486" s="54"/>
      <c r="AQ486" s="54"/>
      <c r="AR486" s="54"/>
      <c r="AS486" s="54"/>
      <c r="AT486" s="54"/>
      <c r="AU486" s="54"/>
      <c r="AV486" s="54"/>
      <c r="AW486" s="54"/>
      <c r="AX486" s="54"/>
      <c r="AY486" s="54"/>
      <c r="AZ486" s="54"/>
      <c r="BA486" s="54"/>
      <c r="BB486" s="54"/>
      <c r="BC486" s="171"/>
      <c r="BD486" s="171"/>
    </row>
    <row r="487" spans="1:56" ht="14.15" customHeight="1">
      <c r="A487" s="54"/>
      <c r="B487" s="54"/>
      <c r="C487" s="54"/>
      <c r="D487" s="54"/>
      <c r="E487" s="54"/>
      <c r="F487" s="569" t="s">
        <v>2884</v>
      </c>
      <c r="G487" s="569"/>
      <c r="H487" s="570" t="s">
        <v>2885</v>
      </c>
      <c r="I487" s="570"/>
      <c r="J487" s="570"/>
      <c r="K487" s="570"/>
      <c r="L487" s="570"/>
      <c r="M487" s="570"/>
      <c r="N487" s="570"/>
      <c r="O487" s="570"/>
      <c r="P487" s="570"/>
      <c r="Q487" s="54"/>
      <c r="R487" s="54"/>
      <c r="S487" s="54"/>
      <c r="T487" s="54"/>
      <c r="U487" s="54"/>
      <c r="V487" s="54"/>
      <c r="W487" s="54"/>
      <c r="X487" s="54"/>
      <c r="Y487" s="569"/>
      <c r="Z487" s="569"/>
      <c r="AA487" s="570"/>
      <c r="AB487" s="570"/>
      <c r="AC487" s="570"/>
      <c r="AD487" s="570"/>
      <c r="AE487" s="570"/>
      <c r="AF487" s="570"/>
      <c r="AG487" s="570"/>
      <c r="AH487" s="570"/>
      <c r="AI487" s="570"/>
      <c r="AJ487" s="570"/>
      <c r="AK487" s="54"/>
      <c r="AL487" s="54"/>
      <c r="AM487" s="54"/>
      <c r="AN487" s="54"/>
      <c r="AO487" s="54"/>
      <c r="AP487" s="54"/>
      <c r="AQ487" s="54"/>
      <c r="AR487" s="54"/>
      <c r="AS487" s="54"/>
      <c r="AT487" s="54"/>
      <c r="AU487" s="54"/>
      <c r="AV487" s="54"/>
      <c r="AW487" s="54"/>
      <c r="AX487" s="54"/>
      <c r="AY487" s="54"/>
      <c r="AZ487" s="54"/>
      <c r="BA487" s="54"/>
      <c r="BB487" s="54"/>
      <c r="BC487" s="171"/>
      <c r="BD487" s="171"/>
    </row>
    <row r="488" spans="1:56" ht="14.15" customHeight="1">
      <c r="A488" s="54"/>
      <c r="B488" s="54"/>
      <c r="C488" s="54"/>
      <c r="D488" s="54"/>
      <c r="E488" s="54"/>
      <c r="F488" s="569"/>
      <c r="G488" s="569"/>
      <c r="H488" s="570"/>
      <c r="I488" s="570"/>
      <c r="J488" s="570"/>
      <c r="K488" s="570"/>
      <c r="L488" s="570"/>
      <c r="M488" s="570"/>
      <c r="N488" s="570"/>
      <c r="O488" s="570"/>
      <c r="P488" s="570"/>
      <c r="Q488" s="54"/>
      <c r="R488" s="54"/>
      <c r="S488" s="54"/>
      <c r="T488" s="54"/>
      <c r="U488" s="54"/>
      <c r="V488" s="54"/>
      <c r="W488" s="54"/>
      <c r="X488" s="54"/>
      <c r="Y488" s="54"/>
      <c r="Z488" s="54"/>
      <c r="AA488" s="54"/>
      <c r="AB488" s="54"/>
      <c r="AC488" s="54"/>
      <c r="AD488" s="54"/>
      <c r="AE488" s="54"/>
      <c r="AF488" s="54"/>
      <c r="AG488" s="54"/>
      <c r="AH488" s="54"/>
      <c r="AI488" s="54"/>
      <c r="AJ488" s="54"/>
      <c r="AK488" s="54"/>
      <c r="AL488" s="54"/>
      <c r="AM488" s="54"/>
      <c r="AN488" s="54"/>
      <c r="AO488" s="54"/>
      <c r="AP488" s="54"/>
      <c r="AQ488" s="54"/>
      <c r="AR488" s="54"/>
      <c r="AS488" s="54"/>
      <c r="AT488" s="54"/>
      <c r="AU488" s="54"/>
      <c r="AV488" s="54"/>
      <c r="AW488" s="54"/>
      <c r="AX488" s="54"/>
      <c r="AY488" s="54"/>
      <c r="AZ488" s="54"/>
      <c r="BA488" s="54"/>
      <c r="BB488" s="54"/>
      <c r="BC488" s="171"/>
      <c r="BD488" s="171"/>
    </row>
    <row r="489" spans="1:56" ht="14.1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c r="AA489" s="54"/>
      <c r="AB489" s="54"/>
      <c r="AC489" s="54"/>
      <c r="AD489" s="54"/>
      <c r="AE489" s="54"/>
      <c r="AF489" s="54"/>
      <c r="AG489" s="54"/>
      <c r="AH489" s="54"/>
      <c r="AI489" s="54"/>
      <c r="AJ489" s="54"/>
      <c r="AK489" s="54"/>
      <c r="AL489" s="54"/>
      <c r="AM489" s="54"/>
      <c r="AN489" s="54"/>
      <c r="AO489" s="54"/>
      <c r="AP489" s="54"/>
      <c r="AQ489" s="54"/>
      <c r="AR489" s="54"/>
      <c r="AS489" s="54"/>
      <c r="AT489" s="54"/>
      <c r="AU489" s="54"/>
      <c r="AV489" s="54"/>
      <c r="AW489" s="54"/>
      <c r="AX489" s="54"/>
      <c r="AY489" s="54"/>
      <c r="AZ489" s="54"/>
      <c r="BA489" s="54"/>
      <c r="BB489" s="54"/>
      <c r="BC489" s="171"/>
      <c r="BD489" s="171"/>
    </row>
    <row r="490" spans="1:56" ht="14.1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c r="AA490" s="54"/>
      <c r="AB490" s="54"/>
      <c r="AC490" s="54"/>
      <c r="AD490" s="54"/>
      <c r="AE490" s="54"/>
      <c r="AF490" s="54"/>
      <c r="AG490" s="54"/>
      <c r="AH490" s="54"/>
      <c r="AI490" s="54"/>
      <c r="AJ490" s="54"/>
      <c r="AK490" s="54"/>
      <c r="AL490" s="54"/>
      <c r="AM490" s="54"/>
      <c r="AN490" s="54"/>
      <c r="AO490" s="54"/>
      <c r="AP490" s="54"/>
      <c r="AQ490" s="54"/>
      <c r="AR490" s="54"/>
      <c r="AS490" s="54"/>
      <c r="AT490" s="54"/>
      <c r="AU490" s="54"/>
      <c r="AV490" s="54"/>
      <c r="AW490" s="54"/>
      <c r="AX490" s="54"/>
      <c r="AY490" s="54"/>
      <c r="AZ490" s="54"/>
      <c r="BA490" s="54"/>
      <c r="BB490" s="54"/>
      <c r="BC490" s="171"/>
      <c r="BD490" s="171"/>
    </row>
    <row r="491" spans="1:56" ht="14.1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c r="AA491" s="54"/>
      <c r="AB491" s="54"/>
      <c r="AC491" s="54"/>
      <c r="AD491" s="54"/>
      <c r="AE491" s="54"/>
      <c r="AF491" s="54"/>
      <c r="AG491" s="54"/>
      <c r="AH491" s="54"/>
      <c r="AI491" s="54"/>
      <c r="AJ491" s="54"/>
      <c r="AK491" s="54"/>
      <c r="AL491" s="54"/>
      <c r="AM491" s="54"/>
      <c r="AN491" s="54"/>
      <c r="AO491" s="54"/>
      <c r="AP491" s="54"/>
      <c r="AQ491" s="54"/>
      <c r="AR491" s="54"/>
      <c r="AS491" s="54"/>
      <c r="AT491" s="54"/>
      <c r="AU491" s="54"/>
      <c r="AV491" s="54"/>
      <c r="AW491" s="54"/>
      <c r="AX491" s="54"/>
      <c r="AY491" s="54"/>
      <c r="AZ491" s="54"/>
      <c r="BA491" s="54"/>
      <c r="BB491" s="54"/>
      <c r="BC491" s="171"/>
      <c r="BD491" s="171"/>
    </row>
    <row r="492" spans="1:56" ht="14.1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c r="AA492" s="54"/>
      <c r="AB492" s="54"/>
      <c r="AC492" s="54"/>
      <c r="AD492" s="54"/>
      <c r="AE492" s="54"/>
      <c r="AF492" s="54"/>
      <c r="AG492" s="54"/>
      <c r="AH492" s="54"/>
      <c r="AI492" s="54"/>
      <c r="AJ492" s="54"/>
      <c r="AK492" s="54"/>
      <c r="AL492" s="54"/>
      <c r="AM492" s="54"/>
      <c r="AN492" s="54"/>
      <c r="AO492" s="54"/>
      <c r="AP492" s="54"/>
      <c r="AQ492" s="54"/>
      <c r="AR492" s="54"/>
      <c r="AS492" s="54"/>
      <c r="AT492" s="54"/>
      <c r="AU492" s="54"/>
      <c r="AV492" s="54"/>
      <c r="AW492" s="54"/>
      <c r="AX492" s="54"/>
      <c r="AY492" s="54"/>
      <c r="AZ492" s="54"/>
      <c r="BA492" s="54"/>
      <c r="BB492" s="54"/>
      <c r="BC492" s="171"/>
      <c r="BD492" s="171"/>
    </row>
    <row r="493" spans="1:56" ht="14.1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c r="AA493" s="54"/>
      <c r="AB493" s="54"/>
      <c r="AC493" s="54"/>
      <c r="AD493" s="54"/>
      <c r="AE493" s="54"/>
      <c r="AF493" s="54"/>
      <c r="AG493" s="54"/>
      <c r="AH493" s="54"/>
      <c r="AI493" s="54"/>
      <c r="AJ493" s="54"/>
      <c r="AK493" s="54"/>
      <c r="AL493" s="54"/>
      <c r="AM493" s="54"/>
      <c r="AN493" s="54"/>
      <c r="AO493" s="54"/>
      <c r="AP493" s="54"/>
      <c r="AQ493" s="54"/>
      <c r="AR493" s="54"/>
      <c r="AS493" s="54"/>
      <c r="AT493" s="54"/>
      <c r="AU493" s="54"/>
      <c r="AV493" s="54"/>
      <c r="AW493" s="54"/>
      <c r="AX493" s="54"/>
      <c r="AY493" s="54"/>
      <c r="AZ493" s="54"/>
      <c r="BA493" s="54"/>
      <c r="BB493" s="54"/>
      <c r="BC493" s="171"/>
      <c r="BD493" s="171"/>
    </row>
    <row r="494" spans="1:56" ht="14.1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69" t="s">
        <v>2886</v>
      </c>
      <c r="Z494" s="569"/>
      <c r="AA494" s="570" t="s">
        <v>2887</v>
      </c>
      <c r="AB494" s="570"/>
      <c r="AC494" s="570"/>
      <c r="AD494" s="570"/>
      <c r="AE494" s="570"/>
      <c r="AF494" s="570"/>
      <c r="AG494" s="570"/>
      <c r="AH494" s="570"/>
      <c r="AI494" s="570"/>
      <c r="AJ494" s="570"/>
      <c r="AK494" s="54"/>
      <c r="AL494" s="54"/>
      <c r="AM494" s="54"/>
      <c r="AN494" s="54"/>
      <c r="AO494" s="54"/>
      <c r="AP494" s="54"/>
      <c r="AQ494" s="54"/>
      <c r="AR494" s="54"/>
      <c r="AS494" s="54"/>
      <c r="AT494" s="54"/>
      <c r="AU494" s="54"/>
      <c r="AV494" s="54"/>
      <c r="AW494" s="54"/>
      <c r="AX494" s="54"/>
      <c r="AY494" s="54"/>
      <c r="AZ494" s="54"/>
      <c r="BA494" s="54"/>
      <c r="BB494" s="54"/>
      <c r="BC494" s="171"/>
      <c r="BD494" s="171"/>
    </row>
    <row r="495" spans="1:56" ht="14.1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69"/>
      <c r="Z495" s="569"/>
      <c r="AA495" s="570"/>
      <c r="AB495" s="570"/>
      <c r="AC495" s="570"/>
      <c r="AD495" s="570"/>
      <c r="AE495" s="570"/>
      <c r="AF495" s="570"/>
      <c r="AG495" s="570"/>
      <c r="AH495" s="570"/>
      <c r="AI495" s="570"/>
      <c r="AJ495" s="570"/>
      <c r="AK495" s="54"/>
      <c r="AL495" s="54"/>
      <c r="AM495" s="54"/>
      <c r="AN495" s="54"/>
      <c r="AO495" s="54"/>
      <c r="AP495" s="54"/>
      <c r="AQ495" s="54"/>
      <c r="AR495" s="54"/>
      <c r="AS495" s="54"/>
      <c r="AT495" s="54"/>
      <c r="AU495" s="54"/>
      <c r="AV495" s="54"/>
      <c r="AW495" s="54"/>
      <c r="AX495" s="54"/>
      <c r="AY495" s="54"/>
      <c r="AZ495" s="54"/>
      <c r="BA495" s="54"/>
      <c r="BB495" s="54"/>
      <c r="BC495" s="171"/>
      <c r="BD495" s="171"/>
    </row>
    <row r="496" spans="1:56" ht="14.1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c r="AA496" s="570" t="s">
        <v>2888</v>
      </c>
      <c r="AB496" s="570"/>
      <c r="AC496" s="570"/>
      <c r="AD496" s="570"/>
      <c r="AE496" s="570"/>
      <c r="AF496" s="570"/>
      <c r="AG496" s="570"/>
      <c r="AH496" s="570"/>
      <c r="AI496" s="570"/>
      <c r="AJ496" s="570"/>
      <c r="AK496" s="570"/>
      <c r="AL496" s="54"/>
      <c r="AM496" s="54"/>
      <c r="AN496" s="54"/>
      <c r="AO496" s="54"/>
      <c r="AP496" s="54"/>
      <c r="AQ496" s="54"/>
      <c r="AR496" s="54"/>
      <c r="AS496" s="54"/>
      <c r="AT496" s="54"/>
      <c r="AU496" s="54"/>
      <c r="AV496" s="54"/>
      <c r="AW496" s="54"/>
      <c r="AX496" s="54"/>
      <c r="AY496" s="54"/>
      <c r="AZ496" s="54"/>
      <c r="BA496" s="54"/>
      <c r="BB496" s="54"/>
      <c r="BC496" s="171"/>
      <c r="BD496" s="171"/>
    </row>
    <row r="497" spans="1:56" ht="14.1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c r="AA497" s="570"/>
      <c r="AB497" s="570"/>
      <c r="AC497" s="570"/>
      <c r="AD497" s="570"/>
      <c r="AE497" s="570"/>
      <c r="AF497" s="570"/>
      <c r="AG497" s="570"/>
      <c r="AH497" s="570"/>
      <c r="AI497" s="570"/>
      <c r="AJ497" s="570"/>
      <c r="AK497" s="570"/>
      <c r="AL497" s="54"/>
      <c r="AM497" s="54"/>
      <c r="AN497" s="54"/>
      <c r="AO497" s="54"/>
      <c r="AP497" s="54"/>
      <c r="AQ497" s="54"/>
      <c r="AR497" s="54"/>
      <c r="AS497" s="54"/>
      <c r="AT497" s="54"/>
      <c r="AU497" s="54"/>
      <c r="AV497" s="54"/>
      <c r="AW497" s="54"/>
      <c r="AX497" s="54"/>
      <c r="AY497" s="54"/>
      <c r="AZ497" s="54"/>
      <c r="BA497" s="54"/>
      <c r="BB497" s="54"/>
      <c r="BC497" s="171"/>
      <c r="BD497" s="171"/>
    </row>
    <row r="498" spans="1:56" ht="14.1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c r="AA498" s="570" t="s">
        <v>2889</v>
      </c>
      <c r="AB498" s="570"/>
      <c r="AC498" s="570"/>
      <c r="AD498" s="570"/>
      <c r="AE498" s="570"/>
      <c r="AF498" s="570"/>
      <c r="AG498" s="570"/>
      <c r="AH498" s="570"/>
      <c r="AI498" s="570"/>
      <c r="AJ498" s="570"/>
      <c r="AK498" s="570"/>
      <c r="AL498" s="54"/>
      <c r="AM498" s="54"/>
      <c r="AN498" s="54"/>
      <c r="AO498" s="54"/>
      <c r="AP498" s="54"/>
      <c r="AQ498" s="54"/>
      <c r="AR498" s="54"/>
      <c r="AS498" s="54"/>
      <c r="AT498" s="54"/>
      <c r="AU498" s="54"/>
      <c r="AV498" s="54"/>
      <c r="AW498" s="54"/>
      <c r="AX498" s="54"/>
      <c r="AY498" s="54"/>
      <c r="AZ498" s="54"/>
      <c r="BA498" s="54"/>
      <c r="BB498" s="54"/>
      <c r="BC498" s="171"/>
      <c r="BD498" s="171"/>
    </row>
    <row r="499" spans="1:56" ht="14.1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c r="AA499" s="570"/>
      <c r="AB499" s="570"/>
      <c r="AC499" s="570"/>
      <c r="AD499" s="570"/>
      <c r="AE499" s="570"/>
      <c r="AF499" s="570"/>
      <c r="AG499" s="570"/>
      <c r="AH499" s="570"/>
      <c r="AI499" s="570"/>
      <c r="AJ499" s="570"/>
      <c r="AK499" s="570"/>
      <c r="AL499" s="54"/>
      <c r="AM499" s="54"/>
      <c r="AN499" s="54"/>
      <c r="AO499" s="54"/>
      <c r="AP499" s="54"/>
      <c r="AQ499" s="54"/>
      <c r="AR499" s="54"/>
      <c r="AS499" s="54"/>
      <c r="AT499" s="54"/>
      <c r="AU499" s="54"/>
      <c r="AV499" s="54"/>
      <c r="AW499" s="54"/>
      <c r="AX499" s="54"/>
      <c r="AY499" s="54"/>
      <c r="AZ499" s="54"/>
      <c r="BA499" s="54"/>
      <c r="BB499" s="54"/>
      <c r="BC499" s="171"/>
      <c r="BD499" s="171"/>
    </row>
    <row r="500" spans="1:56" ht="14.1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70" t="s">
        <v>2890</v>
      </c>
      <c r="AB500" s="570"/>
      <c r="AC500" s="570"/>
      <c r="AD500" s="570"/>
      <c r="AE500" s="570"/>
      <c r="AF500" s="570"/>
      <c r="AG500" s="570"/>
      <c r="AH500" s="570"/>
      <c r="AI500" s="570"/>
      <c r="AJ500" s="570"/>
      <c r="AK500" s="570"/>
      <c r="AL500" s="54"/>
      <c r="AM500" s="54"/>
      <c r="AN500" s="54"/>
      <c r="AO500" s="54"/>
      <c r="AP500" s="54"/>
      <c r="AQ500" s="54"/>
      <c r="AR500" s="54"/>
      <c r="AS500" s="54"/>
      <c r="AT500" s="54"/>
      <c r="AU500" s="54"/>
      <c r="AV500" s="54"/>
      <c r="AW500" s="54"/>
      <c r="AX500" s="54"/>
      <c r="AY500" s="54"/>
      <c r="AZ500" s="54"/>
      <c r="BA500" s="54"/>
      <c r="BB500" s="54"/>
      <c r="BC500" s="171"/>
      <c r="BD500" s="171"/>
    </row>
    <row r="501" spans="1:56" ht="14.1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70"/>
      <c r="AB501" s="570"/>
      <c r="AC501" s="570"/>
      <c r="AD501" s="570"/>
      <c r="AE501" s="570"/>
      <c r="AF501" s="570"/>
      <c r="AG501" s="570"/>
      <c r="AH501" s="570"/>
      <c r="AI501" s="570"/>
      <c r="AJ501" s="570"/>
      <c r="AK501" s="570"/>
      <c r="AL501" s="54"/>
      <c r="AM501" s="54"/>
      <c r="AN501" s="54"/>
      <c r="AO501" s="54"/>
      <c r="AP501" s="54"/>
      <c r="AQ501" s="54"/>
      <c r="AR501" s="54"/>
      <c r="AS501" s="54"/>
      <c r="AT501" s="54"/>
      <c r="AU501" s="54"/>
      <c r="AV501" s="54"/>
      <c r="AW501" s="54"/>
      <c r="AX501" s="54"/>
      <c r="AY501" s="54"/>
      <c r="AZ501" s="54"/>
      <c r="BA501" s="54"/>
      <c r="BB501" s="54"/>
      <c r="BC501" s="171"/>
      <c r="BD501" s="171"/>
    </row>
    <row r="502" spans="1:56" ht="14.1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c r="AA502" s="54"/>
      <c r="AB502" s="54"/>
      <c r="AC502" s="54"/>
      <c r="AD502" s="54"/>
      <c r="AE502" s="54"/>
      <c r="AF502" s="54"/>
      <c r="AG502" s="54"/>
      <c r="AH502" s="54"/>
      <c r="AI502" s="54"/>
      <c r="AJ502" s="54"/>
      <c r="AK502" s="54"/>
      <c r="AL502" s="54"/>
      <c r="AM502" s="54"/>
      <c r="AN502" s="54"/>
      <c r="AO502" s="54"/>
      <c r="AP502" s="54"/>
      <c r="AQ502" s="54"/>
      <c r="AR502" s="54"/>
      <c r="AS502" s="54"/>
      <c r="AT502" s="54"/>
      <c r="AU502" s="54"/>
      <c r="AV502" s="54"/>
      <c r="AW502" s="54"/>
      <c r="AX502" s="54"/>
      <c r="AY502" s="54"/>
      <c r="AZ502" s="54"/>
      <c r="BA502" s="54"/>
      <c r="BB502" s="54"/>
      <c r="BC502" s="171"/>
      <c r="BD502" s="171"/>
    </row>
    <row r="503" spans="1:56" ht="14.1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c r="AA503" s="54"/>
      <c r="AB503" s="54"/>
      <c r="AC503" s="54"/>
      <c r="AD503" s="54"/>
      <c r="AE503" s="54"/>
      <c r="AF503" s="54"/>
      <c r="AG503" s="54"/>
      <c r="AH503" s="54"/>
      <c r="AI503" s="54"/>
      <c r="AJ503" s="54"/>
      <c r="AK503" s="54"/>
      <c r="AL503" s="54"/>
      <c r="AM503" s="54"/>
      <c r="AN503" s="54"/>
      <c r="AO503" s="54"/>
      <c r="AP503" s="54"/>
      <c r="AQ503" s="54"/>
      <c r="AR503" s="54"/>
      <c r="AS503" s="54"/>
      <c r="AT503" s="54"/>
      <c r="AU503" s="54"/>
      <c r="AV503" s="54"/>
      <c r="AW503" s="54"/>
      <c r="AX503" s="54"/>
      <c r="AY503" s="54"/>
      <c r="AZ503" s="54"/>
      <c r="BA503" s="54"/>
      <c r="BB503" s="54"/>
      <c r="BC503" s="171"/>
      <c r="BD503" s="171"/>
    </row>
    <row r="504" spans="1:56" ht="14.1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c r="AA504" s="54"/>
      <c r="AB504" s="54"/>
      <c r="AC504" s="54"/>
      <c r="AD504" s="54"/>
      <c r="AE504" s="54"/>
      <c r="AF504" s="54"/>
      <c r="AG504" s="54"/>
      <c r="AH504" s="54"/>
      <c r="AI504" s="54"/>
      <c r="AJ504" s="54"/>
      <c r="AK504" s="54"/>
      <c r="AL504" s="54"/>
      <c r="AM504" s="54"/>
      <c r="AN504" s="54"/>
      <c r="AO504" s="54"/>
      <c r="AP504" s="54"/>
      <c r="AQ504" s="54"/>
      <c r="AR504" s="54"/>
      <c r="AS504" s="54"/>
      <c r="AT504" s="54"/>
      <c r="AU504" s="54"/>
      <c r="AV504" s="54"/>
      <c r="AW504" s="54"/>
      <c r="AX504" s="54"/>
      <c r="AY504" s="54"/>
      <c r="AZ504" s="54"/>
      <c r="BA504" s="54"/>
      <c r="BB504" s="54"/>
      <c r="BC504" s="171"/>
      <c r="BD504" s="171"/>
    </row>
    <row r="505" spans="1:56" ht="14.1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c r="AA505" s="54"/>
      <c r="AB505" s="54"/>
      <c r="AC505" s="54"/>
      <c r="AD505" s="54"/>
      <c r="AE505" s="54"/>
      <c r="AF505" s="54"/>
      <c r="AG505" s="54"/>
      <c r="AH505" s="54"/>
      <c r="AI505" s="54"/>
      <c r="AJ505" s="54"/>
      <c r="AK505" s="54"/>
      <c r="AL505" s="54"/>
      <c r="AM505" s="54"/>
      <c r="AN505" s="54"/>
      <c r="AO505" s="54"/>
      <c r="AP505" s="54"/>
      <c r="AQ505" s="54"/>
      <c r="AR505" s="54"/>
      <c r="AS505" s="54"/>
      <c r="AT505" s="54"/>
      <c r="AU505" s="54"/>
      <c r="AV505" s="54"/>
      <c r="AW505" s="54"/>
      <c r="AX505" s="54"/>
      <c r="AY505" s="54"/>
      <c r="AZ505" s="54"/>
      <c r="BA505" s="54"/>
      <c r="BB505" s="54"/>
      <c r="BC505" s="171"/>
      <c r="BD505" s="171"/>
    </row>
    <row r="506" spans="1:56" ht="14.1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c r="AA506" s="54"/>
      <c r="AB506" s="54"/>
      <c r="AC506" s="54"/>
      <c r="AD506" s="54"/>
      <c r="AE506" s="54"/>
      <c r="AF506" s="54"/>
      <c r="AG506" s="54"/>
      <c r="AH506" s="54"/>
      <c r="AI506" s="54"/>
      <c r="AJ506" s="54"/>
      <c r="AK506" s="54"/>
      <c r="AL506" s="54"/>
      <c r="AM506" s="54"/>
      <c r="AN506" s="54"/>
      <c r="AO506" s="54"/>
      <c r="AP506" s="54"/>
      <c r="AQ506" s="54"/>
      <c r="AR506" s="54"/>
      <c r="AS506" s="54"/>
      <c r="AT506" s="54"/>
      <c r="AU506" s="54"/>
      <c r="AV506" s="54"/>
      <c r="AW506" s="54"/>
      <c r="AX506" s="54"/>
      <c r="AY506" s="54"/>
      <c r="AZ506" s="54"/>
      <c r="BA506" s="54"/>
      <c r="BB506" s="54"/>
      <c r="BC506" s="171"/>
      <c r="BD506" s="171"/>
    </row>
    <row r="507" spans="1:56" ht="14.1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c r="AA507" s="54"/>
      <c r="AB507" s="54"/>
      <c r="AC507" s="54"/>
      <c r="AD507" s="54"/>
      <c r="AE507" s="54"/>
      <c r="AF507" s="54"/>
      <c r="AG507" s="54"/>
      <c r="AH507" s="54"/>
      <c r="AI507" s="54"/>
      <c r="AJ507" s="54"/>
      <c r="AK507" s="54"/>
      <c r="AL507" s="54"/>
      <c r="AM507" s="54"/>
      <c r="AN507" s="54"/>
      <c r="AO507" s="54"/>
      <c r="AP507" s="54"/>
      <c r="AQ507" s="54"/>
      <c r="AR507" s="54"/>
      <c r="AS507" s="54"/>
      <c r="AT507" s="54"/>
      <c r="AU507" s="54"/>
      <c r="AV507" s="54"/>
      <c r="AW507" s="54"/>
      <c r="AX507" s="54"/>
      <c r="AY507" s="54"/>
      <c r="AZ507" s="54"/>
      <c r="BA507" s="54"/>
      <c r="BB507" s="54"/>
      <c r="BC507" s="171"/>
      <c r="BD507" s="171"/>
    </row>
    <row r="508" spans="1:56" ht="14.1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c r="AA508" s="54"/>
      <c r="AB508" s="54"/>
      <c r="AC508" s="54"/>
      <c r="AD508" s="54"/>
      <c r="AE508" s="54"/>
      <c r="AF508" s="54"/>
      <c r="AG508" s="54"/>
      <c r="AH508" s="54"/>
      <c r="AI508" s="54"/>
      <c r="AJ508" s="54"/>
      <c r="AK508" s="54"/>
      <c r="AL508" s="54"/>
      <c r="AM508" s="54"/>
      <c r="AN508" s="54"/>
      <c r="AO508" s="54"/>
      <c r="AP508" s="54"/>
      <c r="AQ508" s="54"/>
      <c r="AR508" s="54"/>
      <c r="AS508" s="54"/>
      <c r="AT508" s="54"/>
      <c r="AU508" s="54"/>
      <c r="AV508" s="54"/>
      <c r="AW508" s="54"/>
      <c r="AX508" s="54"/>
      <c r="AY508" s="54"/>
      <c r="AZ508" s="54"/>
      <c r="BA508" s="54"/>
      <c r="BB508" s="54"/>
      <c r="BC508" s="171"/>
      <c r="BD508" s="171"/>
    </row>
    <row r="509" spans="1:56" ht="14.1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c r="AA509" s="54"/>
      <c r="AB509" s="54"/>
      <c r="AC509" s="54"/>
      <c r="AD509" s="54"/>
      <c r="AE509" s="54"/>
      <c r="AF509" s="54"/>
      <c r="AG509" s="54"/>
      <c r="AH509" s="54"/>
      <c r="AI509" s="54"/>
      <c r="AJ509" s="54"/>
      <c r="AK509" s="54"/>
      <c r="AL509" s="54"/>
      <c r="AM509" s="54"/>
      <c r="AN509" s="54"/>
      <c r="AO509" s="54"/>
      <c r="AP509" s="54"/>
      <c r="AQ509" s="54"/>
      <c r="AR509" s="54"/>
      <c r="AS509" s="54"/>
      <c r="AT509" s="54"/>
      <c r="AU509" s="54"/>
      <c r="AV509" s="54"/>
      <c r="AW509" s="54"/>
      <c r="AX509" s="54"/>
      <c r="AY509" s="54"/>
      <c r="AZ509" s="54"/>
      <c r="BA509" s="54"/>
      <c r="BB509" s="54"/>
      <c r="BC509" s="171"/>
      <c r="BD509" s="171"/>
    </row>
    <row r="510" spans="1:56" ht="14.1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c r="AA510" s="54"/>
      <c r="AB510" s="54"/>
      <c r="AC510" s="54"/>
      <c r="AD510" s="54"/>
      <c r="AE510" s="54"/>
      <c r="AF510" s="54"/>
      <c r="AG510" s="54"/>
      <c r="AH510" s="54"/>
      <c r="AI510" s="54"/>
      <c r="AJ510" s="54"/>
      <c r="AK510" s="54"/>
      <c r="AL510" s="54"/>
      <c r="AM510" s="54"/>
      <c r="AN510" s="54"/>
      <c r="AO510" s="54"/>
      <c r="AP510" s="54"/>
      <c r="AQ510" s="54"/>
      <c r="AR510" s="54"/>
      <c r="AS510" s="54"/>
      <c r="AT510" s="54"/>
      <c r="AU510" s="54"/>
      <c r="AV510" s="54"/>
      <c r="AW510" s="54"/>
      <c r="AX510" s="54"/>
      <c r="AY510" s="54"/>
      <c r="AZ510" s="54"/>
      <c r="BA510" s="54"/>
      <c r="BB510" s="54"/>
      <c r="BC510" s="171"/>
      <c r="BD510" s="171"/>
    </row>
    <row r="511" spans="1:56" ht="14.1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73" t="s">
        <v>35</v>
      </c>
      <c r="Z511" s="573"/>
      <c r="AA511" s="571" t="s">
        <v>2891</v>
      </c>
      <c r="AB511" s="571"/>
      <c r="AC511" s="571"/>
      <c r="AD511" s="571"/>
      <c r="AE511" s="571"/>
      <c r="AF511" s="571"/>
      <c r="AG511" s="571"/>
      <c r="AH511" s="571"/>
      <c r="AI511" s="571"/>
      <c r="AJ511" s="54" t="s">
        <v>2892</v>
      </c>
      <c r="AK511" s="54"/>
      <c r="AL511" s="54"/>
      <c r="AM511" s="54"/>
      <c r="AN511" s="54"/>
      <c r="AO511" s="54"/>
      <c r="AP511" s="54"/>
      <c r="AQ511" s="54"/>
      <c r="AR511" s="54"/>
      <c r="AS511" s="54"/>
      <c r="AT511" s="54"/>
      <c r="AU511" s="54"/>
      <c r="AV511" s="54"/>
      <c r="AW511" s="54"/>
      <c r="AX511" s="54"/>
      <c r="AY511" s="54"/>
      <c r="AZ511" s="54"/>
      <c r="BA511" s="54"/>
      <c r="BB511" s="54"/>
      <c r="BC511" s="171"/>
      <c r="BD511" s="171"/>
    </row>
    <row r="512" spans="1:56" ht="14.1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74"/>
      <c r="Z512" s="574"/>
      <c r="AA512" s="572"/>
      <c r="AB512" s="572"/>
      <c r="AC512" s="572"/>
      <c r="AD512" s="572"/>
      <c r="AE512" s="572"/>
      <c r="AF512" s="572"/>
      <c r="AG512" s="572"/>
      <c r="AH512" s="572"/>
      <c r="AI512" s="572"/>
      <c r="AJ512" s="165" t="s">
        <v>2893</v>
      </c>
      <c r="AK512" s="54"/>
      <c r="AL512" s="54"/>
      <c r="AM512" s="54"/>
      <c r="AN512" s="54"/>
      <c r="AO512" s="54"/>
      <c r="AP512" s="54"/>
      <c r="AQ512" s="54"/>
      <c r="AR512" s="54"/>
      <c r="AS512" s="54"/>
      <c r="AT512" s="54"/>
      <c r="AU512" s="54"/>
      <c r="AV512" s="54"/>
      <c r="AW512" s="54"/>
      <c r="AX512" s="54"/>
      <c r="AY512" s="54"/>
      <c r="AZ512" s="54"/>
      <c r="BA512" s="54"/>
      <c r="BB512" s="54"/>
      <c r="BC512" s="171"/>
      <c r="BD512" s="171"/>
    </row>
    <row r="513" spans="1:56" ht="14.1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c r="AA513" s="54"/>
      <c r="AB513" s="54"/>
      <c r="AC513" s="54"/>
      <c r="AD513" s="54"/>
      <c r="AE513" s="54"/>
      <c r="AF513" s="54"/>
      <c r="AG513" s="54"/>
      <c r="AH513" s="54"/>
      <c r="AI513" s="54"/>
      <c r="AJ513" s="54"/>
      <c r="AK513" s="54"/>
      <c r="AL513" s="54"/>
      <c r="AM513" s="54"/>
      <c r="AN513" s="54"/>
      <c r="AO513" s="54"/>
      <c r="AP513" s="54"/>
      <c r="AQ513" s="54"/>
      <c r="AR513" s="54"/>
      <c r="AS513" s="54"/>
      <c r="AT513" s="54"/>
      <c r="AU513" s="54"/>
      <c r="AV513" s="54"/>
      <c r="AW513" s="54"/>
      <c r="AX513" s="54"/>
      <c r="AY513" s="54"/>
      <c r="AZ513" s="54"/>
      <c r="BA513" s="54"/>
      <c r="BB513" s="54"/>
      <c r="BC513" s="171"/>
      <c r="BD513" s="171"/>
    </row>
    <row r="514" spans="1:56" ht="14.1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69" t="s">
        <v>2894</v>
      </c>
      <c r="Z514" s="569"/>
      <c r="AA514" s="570" t="s">
        <v>2895</v>
      </c>
      <c r="AB514" s="570"/>
      <c r="AC514" s="570"/>
      <c r="AD514" s="570"/>
      <c r="AE514" s="570"/>
      <c r="AF514" s="570"/>
      <c r="AG514" s="570"/>
      <c r="AH514" s="570"/>
      <c r="AI514" s="570"/>
      <c r="AJ514" s="570"/>
      <c r="AK514" s="54"/>
      <c r="AL514" s="54"/>
      <c r="AM514" s="54"/>
      <c r="AN514" s="54"/>
      <c r="AO514" s="54"/>
      <c r="AP514" s="54"/>
      <c r="AQ514" s="54"/>
      <c r="AR514" s="54"/>
      <c r="AS514" s="54"/>
      <c r="AT514" s="54"/>
      <c r="AU514" s="54"/>
      <c r="AV514" s="54"/>
      <c r="AW514" s="54"/>
      <c r="AX514" s="54"/>
      <c r="AY514" s="54"/>
      <c r="AZ514" s="54"/>
      <c r="BA514" s="54"/>
      <c r="BB514" s="54"/>
      <c r="BC514" s="171"/>
      <c r="BD514" s="171"/>
    </row>
    <row r="515" spans="1:56" ht="14.1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69"/>
      <c r="Z515" s="569"/>
      <c r="AA515" s="570"/>
      <c r="AB515" s="570"/>
      <c r="AC515" s="570"/>
      <c r="AD515" s="570"/>
      <c r="AE515" s="570"/>
      <c r="AF515" s="570"/>
      <c r="AG515" s="570"/>
      <c r="AH515" s="570"/>
      <c r="AI515" s="570"/>
      <c r="AJ515" s="570"/>
      <c r="AK515" s="54"/>
      <c r="AL515" s="54"/>
      <c r="AM515" s="54"/>
      <c r="AN515" s="54"/>
      <c r="AO515" s="54"/>
      <c r="AP515" s="54"/>
      <c r="AQ515" s="54"/>
      <c r="AR515" s="54"/>
      <c r="AS515" s="54"/>
      <c r="AT515" s="54"/>
      <c r="AU515" s="54"/>
      <c r="AV515" s="54"/>
      <c r="AW515" s="54"/>
      <c r="AX515" s="54"/>
      <c r="AY515" s="54"/>
      <c r="AZ515" s="54"/>
      <c r="BA515" s="54"/>
      <c r="BB515" s="54"/>
      <c r="BC515" s="171"/>
      <c r="BD515" s="171"/>
    </row>
    <row r="516" spans="1:56" ht="14.1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c r="AA516" s="54"/>
      <c r="AB516" s="54"/>
      <c r="AC516" s="54"/>
      <c r="AD516" s="54"/>
      <c r="AE516" s="54"/>
      <c r="AF516" s="54"/>
      <c r="AG516" s="54"/>
      <c r="AH516" s="54"/>
      <c r="AI516" s="54"/>
      <c r="AJ516" s="54"/>
      <c r="AK516" s="54"/>
      <c r="AL516" s="54"/>
      <c r="AM516" s="54"/>
      <c r="AN516" s="54"/>
      <c r="AO516" s="54"/>
      <c r="AP516" s="54"/>
      <c r="AQ516" s="54"/>
      <c r="AR516" s="54"/>
      <c r="AS516" s="54"/>
      <c r="AT516" s="54"/>
      <c r="AU516" s="54"/>
      <c r="AV516" s="54"/>
      <c r="AW516" s="54"/>
      <c r="AX516" s="54"/>
      <c r="AY516" s="54"/>
      <c r="AZ516" s="54"/>
      <c r="BA516" s="54"/>
      <c r="BB516" s="54"/>
      <c r="BC516" s="171"/>
      <c r="BD516" s="171"/>
    </row>
    <row r="517" spans="1:56" ht="14.1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69" t="s">
        <v>2896</v>
      </c>
      <c r="Z517" s="569"/>
      <c r="AA517" s="570" t="s">
        <v>2897</v>
      </c>
      <c r="AB517" s="570"/>
      <c r="AC517" s="570"/>
      <c r="AD517" s="570"/>
      <c r="AE517" s="570"/>
      <c r="AF517" s="570"/>
      <c r="AG517" s="570"/>
      <c r="AH517" s="570"/>
      <c r="AI517" s="570"/>
      <c r="AJ517" s="570"/>
      <c r="AK517" s="54"/>
      <c r="AL517" s="54"/>
      <c r="AM517" s="54"/>
      <c r="AN517" s="54"/>
      <c r="AO517" s="54"/>
      <c r="AP517" s="54"/>
      <c r="AQ517" s="54"/>
      <c r="AR517" s="54"/>
      <c r="AS517" s="54"/>
      <c r="AT517" s="54"/>
      <c r="AU517" s="54"/>
      <c r="AV517" s="54"/>
      <c r="AW517" s="54"/>
      <c r="AX517" s="54"/>
      <c r="AY517" s="54"/>
      <c r="AZ517" s="54"/>
      <c r="BA517" s="54"/>
      <c r="BB517" s="54"/>
      <c r="BC517" s="171"/>
      <c r="BD517" s="171"/>
    </row>
    <row r="518" spans="1:56" ht="14.1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69"/>
      <c r="Z518" s="569"/>
      <c r="AA518" s="570"/>
      <c r="AB518" s="570"/>
      <c r="AC518" s="570"/>
      <c r="AD518" s="570"/>
      <c r="AE518" s="570"/>
      <c r="AF518" s="570"/>
      <c r="AG518" s="570"/>
      <c r="AH518" s="570"/>
      <c r="AI518" s="570"/>
      <c r="AJ518" s="570"/>
      <c r="AK518" s="54"/>
      <c r="AL518" s="54"/>
      <c r="AM518" s="54"/>
      <c r="AN518" s="54"/>
      <c r="AO518" s="54"/>
      <c r="AP518" s="54"/>
      <c r="AQ518" s="54"/>
      <c r="AR518" s="54"/>
      <c r="AS518" s="54"/>
      <c r="AT518" s="54"/>
      <c r="AU518" s="54"/>
      <c r="AV518" s="54"/>
      <c r="AW518" s="54"/>
      <c r="AX518" s="54"/>
      <c r="AY518" s="54"/>
      <c r="AZ518" s="54"/>
      <c r="BA518" s="54"/>
      <c r="BB518" s="54"/>
      <c r="BC518" s="171"/>
      <c r="BD518" s="171"/>
    </row>
    <row r="519" spans="1:56" ht="14.1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c r="AA519" s="54"/>
      <c r="AB519" s="54"/>
      <c r="AC519" s="54"/>
      <c r="AD519" s="54"/>
      <c r="AE519" s="54"/>
      <c r="AF519" s="54"/>
      <c r="AG519" s="54"/>
      <c r="AH519" s="54"/>
      <c r="AI519" s="54"/>
      <c r="AJ519" s="54"/>
      <c r="AK519" s="54"/>
      <c r="AL519" s="54"/>
      <c r="AM519" s="54"/>
      <c r="AN519" s="54"/>
      <c r="AO519" s="54"/>
      <c r="AP519" s="54"/>
      <c r="AQ519" s="54"/>
      <c r="AR519" s="54"/>
      <c r="AS519" s="54"/>
      <c r="AT519" s="54"/>
      <c r="AU519" s="54"/>
      <c r="AV519" s="54"/>
      <c r="AW519" s="54"/>
      <c r="AX519" s="54"/>
      <c r="AY519" s="54"/>
      <c r="AZ519" s="54"/>
      <c r="BA519" s="54"/>
      <c r="BB519" s="54"/>
      <c r="BC519" s="171"/>
      <c r="BD519" s="171"/>
    </row>
    <row r="520" spans="1:56" ht="14.1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c r="AA520" s="54"/>
      <c r="AB520" s="54"/>
      <c r="AC520" s="54"/>
      <c r="AD520" s="54"/>
      <c r="AE520" s="54"/>
      <c r="AF520" s="54"/>
      <c r="AG520" s="54"/>
      <c r="AH520" s="54"/>
      <c r="AI520" s="54"/>
      <c r="AJ520" s="54"/>
      <c r="AK520" s="54"/>
      <c r="AL520" s="54"/>
      <c r="AM520" s="54"/>
      <c r="AN520" s="54"/>
      <c r="AO520" s="54"/>
      <c r="AP520" s="54"/>
      <c r="AQ520" s="54"/>
      <c r="AR520" s="54"/>
      <c r="AS520" s="54"/>
      <c r="AT520" s="54"/>
      <c r="AU520" s="54"/>
      <c r="AV520" s="54"/>
      <c r="AW520" s="54"/>
      <c r="AX520" s="54"/>
      <c r="AY520" s="54"/>
      <c r="AZ520" s="54"/>
      <c r="BA520" s="54"/>
      <c r="BB520" s="54"/>
      <c r="BC520" s="171"/>
      <c r="BD520" s="171"/>
    </row>
    <row r="521" spans="1:56" ht="14.1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69" t="s">
        <v>2898</v>
      </c>
      <c r="Z521" s="569"/>
      <c r="AA521" s="570" t="s">
        <v>2899</v>
      </c>
      <c r="AB521" s="570"/>
      <c r="AC521" s="570"/>
      <c r="AD521" s="570"/>
      <c r="AE521" s="570"/>
      <c r="AF521" s="570"/>
      <c r="AG521" s="570"/>
      <c r="AH521" s="570"/>
      <c r="AI521" s="570"/>
      <c r="AJ521" s="570"/>
      <c r="AK521" s="54"/>
      <c r="AL521" s="54"/>
      <c r="AM521" s="54"/>
      <c r="AN521" s="54"/>
      <c r="AO521" s="54"/>
      <c r="AP521" s="54"/>
      <c r="AQ521" s="54"/>
      <c r="AR521" s="54"/>
      <c r="AS521" s="54"/>
      <c r="AT521" s="54"/>
      <c r="AU521" s="54"/>
      <c r="AV521" s="54"/>
      <c r="AW521" s="54"/>
      <c r="AX521" s="54"/>
      <c r="AY521" s="54"/>
      <c r="AZ521" s="54"/>
      <c r="BA521" s="54"/>
      <c r="BB521" s="54"/>
      <c r="BC521" s="171"/>
      <c r="BD521" s="171"/>
    </row>
    <row r="522" spans="1:56" ht="14.1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69"/>
      <c r="Z522" s="569"/>
      <c r="AA522" s="570"/>
      <c r="AB522" s="570"/>
      <c r="AC522" s="570"/>
      <c r="AD522" s="570"/>
      <c r="AE522" s="570"/>
      <c r="AF522" s="570"/>
      <c r="AG522" s="570"/>
      <c r="AH522" s="570"/>
      <c r="AI522" s="570"/>
      <c r="AJ522" s="570"/>
      <c r="AK522" s="54"/>
      <c r="AL522" s="54"/>
      <c r="AM522" s="54"/>
      <c r="AN522" s="54"/>
      <c r="AO522" s="54"/>
      <c r="AP522" s="54"/>
      <c r="AQ522" s="54"/>
      <c r="AR522" s="54"/>
      <c r="AS522" s="54"/>
      <c r="AT522" s="54"/>
      <c r="AU522" s="54"/>
      <c r="AV522" s="54"/>
      <c r="AW522" s="54"/>
      <c r="AX522" s="54"/>
      <c r="AY522" s="54"/>
      <c r="AZ522" s="54"/>
      <c r="BA522" s="54"/>
      <c r="BB522" s="54"/>
      <c r="BC522" s="171"/>
      <c r="BD522" s="171"/>
    </row>
    <row r="523" spans="1:56" ht="14.1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c r="AA523" s="54"/>
      <c r="AB523" s="54"/>
      <c r="AC523" s="54"/>
      <c r="AD523" s="54"/>
      <c r="AE523" s="54"/>
      <c r="AF523" s="54"/>
      <c r="AG523" s="54"/>
      <c r="AH523" s="54"/>
      <c r="AI523" s="54"/>
      <c r="AJ523" s="54"/>
      <c r="AK523" s="54"/>
      <c r="AL523" s="54"/>
      <c r="AM523" s="54"/>
      <c r="AN523" s="54"/>
      <c r="AO523" s="54"/>
      <c r="AP523" s="54"/>
      <c r="AQ523" s="54"/>
      <c r="AR523" s="54"/>
      <c r="AS523" s="54"/>
      <c r="AT523" s="54"/>
      <c r="AU523" s="54"/>
      <c r="AV523" s="54"/>
      <c r="AW523" s="54"/>
      <c r="AX523" s="54"/>
      <c r="AY523" s="54"/>
      <c r="AZ523" s="54"/>
      <c r="BA523" s="54"/>
      <c r="BB523" s="54"/>
      <c r="BC523" s="171"/>
      <c r="BD523" s="171"/>
    </row>
    <row r="524" spans="1:56" ht="14.1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69" t="s">
        <v>2900</v>
      </c>
      <c r="Z524" s="569"/>
      <c r="AA524" s="580" t="s">
        <v>2901</v>
      </c>
      <c r="AB524" s="580"/>
      <c r="AC524" s="580"/>
      <c r="AD524" s="580"/>
      <c r="AE524" s="580"/>
      <c r="AF524" s="580"/>
      <c r="AG524" s="580"/>
      <c r="AH524" s="580"/>
      <c r="AI524" s="580"/>
      <c r="AJ524" s="580"/>
      <c r="AK524" s="54"/>
      <c r="AL524" s="54"/>
      <c r="AM524" s="54"/>
      <c r="AN524" s="54"/>
      <c r="AO524" s="54"/>
      <c r="AP524" s="54"/>
      <c r="AQ524" s="54"/>
      <c r="AR524" s="54"/>
      <c r="AS524" s="54"/>
      <c r="AT524" s="54"/>
      <c r="AU524" s="54"/>
      <c r="AV524" s="54"/>
      <c r="AW524" s="54"/>
      <c r="AX524" s="54"/>
      <c r="AY524" s="54"/>
      <c r="AZ524" s="54"/>
      <c r="BA524" s="54"/>
      <c r="BB524" s="54"/>
      <c r="BC524" s="171"/>
      <c r="BD524" s="171"/>
    </row>
    <row r="525" spans="1:56" ht="14.1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69"/>
      <c r="Z525" s="569"/>
      <c r="AA525" s="580"/>
      <c r="AB525" s="580"/>
      <c r="AC525" s="580"/>
      <c r="AD525" s="580"/>
      <c r="AE525" s="580"/>
      <c r="AF525" s="580"/>
      <c r="AG525" s="580"/>
      <c r="AH525" s="580"/>
      <c r="AI525" s="580"/>
      <c r="AJ525" s="580"/>
      <c r="AK525" s="54"/>
      <c r="AL525" s="54"/>
      <c r="AM525" s="54"/>
      <c r="AN525" s="54"/>
      <c r="AO525" s="54"/>
      <c r="AP525" s="54"/>
      <c r="AQ525" s="54"/>
      <c r="AR525" s="54"/>
      <c r="AS525" s="54"/>
      <c r="AT525" s="54"/>
      <c r="AU525" s="54"/>
      <c r="AV525" s="54"/>
      <c r="AW525" s="54"/>
      <c r="AX525" s="54"/>
      <c r="AY525" s="54"/>
      <c r="AZ525" s="54"/>
      <c r="BA525" s="54"/>
      <c r="BB525" s="54"/>
      <c r="BC525" s="171"/>
      <c r="BD525" s="171"/>
    </row>
    <row r="526" spans="1:56" ht="14.1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c r="AA526" s="580"/>
      <c r="AB526" s="580"/>
      <c r="AC526" s="580"/>
      <c r="AD526" s="580"/>
      <c r="AE526" s="580"/>
      <c r="AF526" s="580"/>
      <c r="AG526" s="580"/>
      <c r="AH526" s="580"/>
      <c r="AI526" s="580"/>
      <c r="AJ526" s="580"/>
      <c r="AK526" s="54"/>
      <c r="AL526" s="54"/>
      <c r="AM526" s="54"/>
      <c r="AN526" s="54"/>
      <c r="AO526" s="54"/>
      <c r="AP526" s="54"/>
      <c r="AQ526" s="54"/>
      <c r="AR526" s="54"/>
      <c r="AS526" s="54"/>
      <c r="AT526" s="54"/>
      <c r="AU526" s="54"/>
      <c r="AV526" s="54"/>
      <c r="AW526" s="54"/>
      <c r="AX526" s="54"/>
      <c r="AY526" s="54"/>
      <c r="AZ526" s="54"/>
      <c r="BA526" s="54"/>
      <c r="BB526" s="54"/>
      <c r="BC526" s="171"/>
      <c r="BD526" s="171"/>
    </row>
    <row r="527" spans="1:56" ht="14.1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c r="AA527" s="580"/>
      <c r="AB527" s="580"/>
      <c r="AC527" s="580"/>
      <c r="AD527" s="580"/>
      <c r="AE527" s="580"/>
      <c r="AF527" s="580"/>
      <c r="AG527" s="580"/>
      <c r="AH527" s="580"/>
      <c r="AI527" s="580"/>
      <c r="AJ527" s="580"/>
      <c r="AK527" s="54"/>
      <c r="AL527" s="54"/>
      <c r="AM527" s="54"/>
      <c r="AN527" s="54"/>
      <c r="AO527" s="54"/>
      <c r="AP527" s="54"/>
      <c r="AQ527" s="54"/>
      <c r="AR527" s="54"/>
      <c r="AS527" s="54"/>
      <c r="AT527" s="54"/>
      <c r="AU527" s="54"/>
      <c r="AV527" s="54"/>
      <c r="AW527" s="54"/>
      <c r="AX527" s="54"/>
      <c r="AY527" s="54"/>
      <c r="AZ527" s="54"/>
      <c r="BA527" s="54"/>
      <c r="BB527" s="54"/>
      <c r="BC527" s="171"/>
      <c r="BD527" s="171"/>
    </row>
    <row r="528" spans="1:56" ht="14.1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c r="AA528" s="580"/>
      <c r="AB528" s="580"/>
      <c r="AC528" s="580"/>
      <c r="AD528" s="580"/>
      <c r="AE528" s="580"/>
      <c r="AF528" s="580"/>
      <c r="AG528" s="580"/>
      <c r="AH528" s="580"/>
      <c r="AI528" s="580"/>
      <c r="AJ528" s="580"/>
      <c r="AK528" s="54"/>
      <c r="AL528" s="54"/>
      <c r="AM528" s="54"/>
      <c r="AN528" s="54"/>
      <c r="AO528" s="54"/>
      <c r="AP528" s="54"/>
      <c r="AQ528" s="54"/>
      <c r="AR528" s="54"/>
      <c r="AS528" s="54"/>
      <c r="AT528" s="54"/>
      <c r="AU528" s="54"/>
      <c r="AV528" s="54"/>
      <c r="AW528" s="54"/>
      <c r="AX528" s="54"/>
      <c r="AY528" s="54"/>
      <c r="AZ528" s="54"/>
      <c r="BA528" s="54"/>
      <c r="BB528" s="54"/>
      <c r="BC528" s="171"/>
      <c r="BD528" s="171"/>
    </row>
    <row r="529" spans="1:56" ht="14.1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69" t="s">
        <v>2902</v>
      </c>
      <c r="Z529" s="569"/>
      <c r="AA529" s="570" t="s">
        <v>2903</v>
      </c>
      <c r="AB529" s="570"/>
      <c r="AC529" s="570"/>
      <c r="AD529" s="570"/>
      <c r="AE529" s="570"/>
      <c r="AF529" s="570"/>
      <c r="AG529" s="570"/>
      <c r="AH529" s="570"/>
      <c r="AI529" s="570"/>
      <c r="AJ529" s="570"/>
      <c r="AK529" s="54"/>
      <c r="AL529" s="54"/>
      <c r="AM529" s="54"/>
      <c r="AN529" s="54"/>
      <c r="AO529" s="54"/>
      <c r="AP529" s="54"/>
      <c r="AQ529" s="54"/>
      <c r="AR529" s="54"/>
      <c r="AS529" s="54"/>
      <c r="AT529" s="54"/>
      <c r="AU529" s="54"/>
      <c r="AV529" s="54"/>
      <c r="AW529" s="54"/>
      <c r="AX529" s="54"/>
      <c r="AY529" s="54"/>
      <c r="AZ529" s="54"/>
      <c r="BA529" s="54"/>
      <c r="BB529" s="54"/>
      <c r="BC529" s="171"/>
      <c r="BD529" s="171"/>
    </row>
    <row r="530" spans="1:56" ht="14.1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69"/>
      <c r="Z530" s="569"/>
      <c r="AA530" s="570"/>
      <c r="AB530" s="570"/>
      <c r="AC530" s="570"/>
      <c r="AD530" s="570"/>
      <c r="AE530" s="570"/>
      <c r="AF530" s="570"/>
      <c r="AG530" s="570"/>
      <c r="AH530" s="570"/>
      <c r="AI530" s="570"/>
      <c r="AJ530" s="570"/>
      <c r="AK530" s="54"/>
      <c r="AL530" s="54"/>
      <c r="AM530" s="54"/>
      <c r="AN530" s="54"/>
      <c r="AO530" s="54"/>
      <c r="AP530" s="54"/>
      <c r="AQ530" s="54"/>
      <c r="AR530" s="54"/>
      <c r="AS530" s="54"/>
      <c r="AT530" s="54"/>
      <c r="AU530" s="54"/>
      <c r="AV530" s="54"/>
      <c r="AW530" s="54"/>
      <c r="AX530" s="54"/>
      <c r="AY530" s="54"/>
      <c r="AZ530" s="54"/>
      <c r="BA530" s="54"/>
      <c r="BB530" s="54"/>
      <c r="BC530" s="171"/>
      <c r="BD530" s="171"/>
    </row>
    <row r="531" spans="1:56" ht="14.1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c r="AA531" s="54"/>
      <c r="AB531" s="54"/>
      <c r="AC531" s="54"/>
      <c r="AD531" s="54"/>
      <c r="AE531" s="54"/>
      <c r="AF531" s="54"/>
      <c r="AG531" s="54"/>
      <c r="AH531" s="54"/>
      <c r="AI531" s="54"/>
      <c r="AJ531" s="54"/>
      <c r="AK531" s="54"/>
      <c r="AL531" s="54"/>
      <c r="AM531" s="54"/>
      <c r="AN531" s="54"/>
      <c r="AO531" s="54"/>
      <c r="AP531" s="54"/>
      <c r="AQ531" s="54"/>
      <c r="AR531" s="54"/>
      <c r="AS531" s="54"/>
      <c r="AT531" s="54"/>
      <c r="AU531" s="54"/>
      <c r="AV531" s="54"/>
      <c r="AW531" s="54"/>
      <c r="AX531" s="54"/>
      <c r="AY531" s="54"/>
      <c r="AZ531" s="54"/>
      <c r="BA531" s="54"/>
      <c r="BB531" s="54"/>
      <c r="BC531" s="171"/>
      <c r="BD531" s="171"/>
    </row>
    <row r="532" spans="1:56" ht="14.1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69" t="s">
        <v>2904</v>
      </c>
      <c r="Z532" s="569"/>
      <c r="AA532" s="570" t="s">
        <v>2905</v>
      </c>
      <c r="AB532" s="570"/>
      <c r="AC532" s="570"/>
      <c r="AD532" s="570"/>
      <c r="AE532" s="570"/>
      <c r="AF532" s="570"/>
      <c r="AG532" s="570"/>
      <c r="AH532" s="570"/>
      <c r="AI532" s="570"/>
      <c r="AJ532" s="570"/>
      <c r="AK532" s="54"/>
      <c r="AL532" s="54"/>
      <c r="AM532" s="54"/>
      <c r="AN532" s="54"/>
      <c r="AO532" s="54"/>
      <c r="AP532" s="54"/>
      <c r="AQ532" s="54"/>
      <c r="AR532" s="54"/>
      <c r="AS532" s="54"/>
      <c r="AT532" s="54"/>
      <c r="AU532" s="54"/>
      <c r="AV532" s="54"/>
      <c r="AW532" s="54"/>
      <c r="AX532" s="54"/>
      <c r="AY532" s="54"/>
      <c r="AZ532" s="54"/>
      <c r="BA532" s="54"/>
      <c r="BB532" s="54"/>
      <c r="BC532" s="171"/>
      <c r="BD532" s="171"/>
    </row>
    <row r="533" spans="1:56" ht="14.1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69"/>
      <c r="Z533" s="569"/>
      <c r="AA533" s="570"/>
      <c r="AB533" s="570"/>
      <c r="AC533" s="570"/>
      <c r="AD533" s="570"/>
      <c r="AE533" s="570"/>
      <c r="AF533" s="570"/>
      <c r="AG533" s="570"/>
      <c r="AH533" s="570"/>
      <c r="AI533" s="570"/>
      <c r="AJ533" s="570"/>
      <c r="AK533" s="54"/>
      <c r="AL533" s="54"/>
      <c r="AM533" s="54"/>
      <c r="AN533" s="54"/>
      <c r="AO533" s="54"/>
      <c r="AP533" s="54"/>
      <c r="AQ533" s="54"/>
      <c r="AR533" s="54"/>
      <c r="AS533" s="54"/>
      <c r="AT533" s="54"/>
      <c r="AU533" s="54"/>
      <c r="AV533" s="54"/>
      <c r="AW533" s="54"/>
      <c r="AX533" s="54"/>
      <c r="AY533" s="54"/>
      <c r="AZ533" s="54"/>
      <c r="BA533" s="54"/>
      <c r="BB533" s="54"/>
      <c r="BC533" s="171"/>
      <c r="BD533" s="171"/>
    </row>
    <row r="534" spans="1:56" ht="14.1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c r="AA534" s="54"/>
      <c r="AB534" s="54"/>
      <c r="AC534" s="54"/>
      <c r="AD534" s="54"/>
      <c r="AE534" s="54"/>
      <c r="AF534" s="54"/>
      <c r="AG534" s="54"/>
      <c r="AH534" s="54"/>
      <c r="AI534" s="54"/>
      <c r="AJ534" s="54"/>
      <c r="AK534" s="54"/>
      <c r="AL534" s="54"/>
      <c r="AM534" s="54"/>
      <c r="AN534" s="54"/>
      <c r="AO534" s="54"/>
      <c r="AP534" s="54"/>
      <c r="AQ534" s="54"/>
      <c r="AR534" s="54"/>
      <c r="AS534" s="54"/>
      <c r="AT534" s="54"/>
      <c r="AU534" s="54"/>
      <c r="AV534" s="54"/>
      <c r="AW534" s="54"/>
      <c r="AX534" s="54"/>
      <c r="AY534" s="54"/>
      <c r="AZ534" s="54"/>
      <c r="BA534" s="54"/>
      <c r="BB534" s="54"/>
      <c r="BC534" s="171"/>
      <c r="BD534" s="171"/>
    </row>
    <row r="535" spans="1:56" ht="14.1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c r="AA535" s="54"/>
      <c r="AB535" s="54"/>
      <c r="AC535" s="54"/>
      <c r="AD535" s="54"/>
      <c r="AE535" s="54"/>
      <c r="AF535" s="54"/>
      <c r="AG535" s="54"/>
      <c r="AH535" s="54"/>
      <c r="AI535" s="54"/>
      <c r="AJ535" s="54"/>
      <c r="AK535" s="54"/>
      <c r="AL535" s="54"/>
      <c r="AM535" s="54"/>
      <c r="AN535" s="54"/>
      <c r="AO535" s="54"/>
      <c r="AP535" s="54"/>
      <c r="AQ535" s="54"/>
      <c r="AR535" s="54"/>
      <c r="AS535" s="54"/>
      <c r="AT535" s="54"/>
      <c r="AU535" s="54"/>
      <c r="AV535" s="54"/>
      <c r="AW535" s="54"/>
      <c r="AX535" s="54"/>
      <c r="AY535" s="54"/>
      <c r="AZ535" s="54"/>
      <c r="BA535" s="54"/>
      <c r="BB535" s="54"/>
      <c r="BC535" s="171"/>
      <c r="BD535" s="171"/>
    </row>
    <row r="536" spans="1:56" ht="14.1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c r="AA536" s="54"/>
      <c r="AB536" s="54"/>
      <c r="AC536" s="54"/>
      <c r="AD536" s="54"/>
      <c r="AE536" s="54"/>
      <c r="AF536" s="54"/>
      <c r="AG536" s="54"/>
      <c r="AH536" s="54"/>
      <c r="AI536" s="54"/>
      <c r="AJ536" s="54"/>
      <c r="AK536" s="54"/>
      <c r="AL536" s="54"/>
      <c r="AM536" s="54"/>
      <c r="AN536" s="54"/>
      <c r="AO536" s="54"/>
      <c r="AP536" s="54"/>
      <c r="AQ536" s="54"/>
      <c r="AR536" s="54"/>
      <c r="AS536" s="54"/>
      <c r="AT536" s="54"/>
      <c r="AU536" s="54"/>
      <c r="AV536" s="54"/>
      <c r="AW536" s="54"/>
      <c r="AX536" s="54"/>
      <c r="AY536" s="54"/>
      <c r="AZ536" s="54"/>
      <c r="BA536" s="54"/>
      <c r="BB536" s="54"/>
      <c r="BC536" s="171"/>
      <c r="BD536" s="171"/>
    </row>
    <row r="537" spans="1:56" ht="14.1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c r="AA537" s="54"/>
      <c r="AB537" s="54"/>
      <c r="AC537" s="54"/>
      <c r="AD537" s="54"/>
      <c r="AE537" s="54"/>
      <c r="AF537" s="54"/>
      <c r="AG537" s="54"/>
      <c r="AH537" s="54"/>
      <c r="AI537" s="54"/>
      <c r="AJ537" s="54"/>
      <c r="AK537" s="54"/>
      <c r="AL537" s="54"/>
      <c r="AM537" s="54"/>
      <c r="AN537" s="54"/>
      <c r="AO537" s="54"/>
      <c r="AP537" s="54"/>
      <c r="AQ537" s="54"/>
      <c r="AR537" s="54"/>
      <c r="AS537" s="54"/>
      <c r="AT537" s="54"/>
      <c r="AU537" s="54"/>
      <c r="AV537" s="54"/>
      <c r="AW537" s="54"/>
      <c r="AX537" s="54"/>
      <c r="AY537" s="54"/>
      <c r="AZ537" s="54"/>
      <c r="BA537" s="54"/>
      <c r="BB537" s="54"/>
      <c r="BC537" s="171"/>
      <c r="BD537" s="171"/>
    </row>
    <row r="538" spans="1:56" ht="14.1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c r="AA538" s="54"/>
      <c r="AB538" s="54"/>
      <c r="AC538" s="54"/>
      <c r="AD538" s="54"/>
      <c r="AE538" s="54"/>
      <c r="AF538" s="54"/>
      <c r="AG538" s="54"/>
      <c r="AH538" s="54"/>
      <c r="AI538" s="54"/>
      <c r="AJ538" s="54"/>
      <c r="AK538" s="54"/>
      <c r="AL538" s="54"/>
      <c r="AM538" s="54"/>
      <c r="AN538" s="54"/>
      <c r="AO538" s="54"/>
      <c r="AP538" s="54"/>
      <c r="AQ538" s="54"/>
      <c r="AR538" s="54"/>
      <c r="AS538" s="54"/>
      <c r="AT538" s="54"/>
      <c r="AU538" s="54"/>
      <c r="AV538" s="54"/>
      <c r="AW538" s="54"/>
      <c r="AX538" s="54"/>
      <c r="AY538" s="54"/>
      <c r="AZ538" s="54"/>
      <c r="BA538" s="54"/>
      <c r="BB538" s="54"/>
      <c r="BC538" s="171"/>
      <c r="BD538" s="171"/>
    </row>
    <row r="539" spans="1:56" ht="14.1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c r="AA539" s="54"/>
      <c r="AB539" s="54"/>
      <c r="AC539" s="54"/>
      <c r="AD539" s="54"/>
      <c r="AE539" s="54"/>
      <c r="AF539" s="54"/>
      <c r="AG539" s="54"/>
      <c r="AH539" s="54"/>
      <c r="AI539" s="54"/>
      <c r="AJ539" s="54"/>
      <c r="AK539" s="54"/>
      <c r="AL539" s="54"/>
      <c r="AM539" s="54"/>
      <c r="AN539" s="54"/>
      <c r="AO539" s="54"/>
      <c r="AP539" s="54"/>
      <c r="AQ539" s="54"/>
      <c r="AR539" s="54"/>
      <c r="AS539" s="54"/>
      <c r="AT539" s="54"/>
      <c r="AU539" s="54"/>
      <c r="AV539" s="54"/>
      <c r="AW539" s="54"/>
      <c r="AX539" s="54"/>
      <c r="AY539" s="54"/>
      <c r="AZ539" s="54"/>
      <c r="BA539" s="54"/>
      <c r="BB539" s="54"/>
      <c r="BC539" s="171"/>
      <c r="BD539" s="171"/>
    </row>
    <row r="540" spans="1:56" ht="14.1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c r="AA540" s="54"/>
      <c r="AB540" s="54"/>
      <c r="AC540" s="54"/>
      <c r="AD540" s="54"/>
      <c r="AE540" s="54"/>
      <c r="AF540" s="54"/>
      <c r="AG540" s="54"/>
      <c r="AH540" s="54"/>
      <c r="AI540" s="54"/>
      <c r="AJ540" s="54"/>
      <c r="AK540" s="54"/>
      <c r="AL540" s="54"/>
      <c r="AM540" s="54"/>
      <c r="AN540" s="54"/>
      <c r="AO540" s="54"/>
      <c r="AP540" s="54"/>
      <c r="AQ540" s="54"/>
      <c r="AR540" s="54"/>
      <c r="AS540" s="54"/>
      <c r="AT540" s="54"/>
      <c r="AU540" s="54"/>
      <c r="AV540" s="54"/>
      <c r="AW540" s="54"/>
      <c r="AX540" s="54"/>
      <c r="AY540" s="54"/>
      <c r="AZ540" s="54"/>
      <c r="BA540" s="54"/>
      <c r="BB540" s="54"/>
      <c r="BC540" s="171"/>
      <c r="BD540" s="171"/>
    </row>
    <row r="541" spans="1:56" ht="14.1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c r="AA541" s="54"/>
      <c r="AB541" s="54"/>
      <c r="AC541" s="54"/>
      <c r="AD541" s="54"/>
      <c r="AE541" s="54"/>
      <c r="AF541" s="54"/>
      <c r="AG541" s="54"/>
      <c r="AH541" s="54"/>
      <c r="AI541" s="54"/>
      <c r="AJ541" s="54"/>
      <c r="AK541" s="54"/>
      <c r="AL541" s="54"/>
      <c r="AM541" s="54"/>
      <c r="AN541" s="54"/>
      <c r="AO541" s="54"/>
      <c r="AP541" s="54"/>
      <c r="AQ541" s="54"/>
      <c r="AR541" s="54"/>
      <c r="AS541" s="54"/>
      <c r="AT541" s="54"/>
      <c r="AU541" s="54"/>
      <c r="AV541" s="54"/>
      <c r="AW541" s="54"/>
      <c r="AX541" s="54"/>
      <c r="AY541" s="54"/>
      <c r="AZ541" s="54"/>
      <c r="BA541" s="54"/>
      <c r="BB541" s="54"/>
      <c r="BC541" s="171"/>
      <c r="BD541" s="171"/>
    </row>
    <row r="542" spans="1:56" ht="14.1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c r="AA542" s="54"/>
      <c r="AB542" s="54"/>
      <c r="AC542" s="54"/>
      <c r="AD542" s="54"/>
      <c r="AE542" s="54"/>
      <c r="AF542" s="54"/>
      <c r="AG542" s="54"/>
      <c r="AH542" s="54"/>
      <c r="AI542" s="54"/>
      <c r="AJ542" s="54"/>
      <c r="AK542" s="54"/>
      <c r="AL542" s="54"/>
      <c r="AM542" s="54"/>
      <c r="AN542" s="54"/>
      <c r="AO542" s="54"/>
      <c r="AP542" s="54"/>
      <c r="AQ542" s="54"/>
      <c r="AR542" s="54"/>
      <c r="AS542" s="54"/>
      <c r="AT542" s="54"/>
      <c r="AU542" s="54"/>
      <c r="AV542" s="54"/>
      <c r="AW542" s="54"/>
      <c r="AX542" s="54"/>
      <c r="AY542" s="54"/>
      <c r="AZ542" s="54"/>
      <c r="BA542" s="54"/>
      <c r="BB542" s="54"/>
      <c r="BC542" s="171"/>
      <c r="BD542" s="171"/>
    </row>
    <row r="543" spans="1:56" ht="14.1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c r="AA543" s="54"/>
      <c r="AB543" s="54"/>
      <c r="AC543" s="54"/>
      <c r="AD543" s="54"/>
      <c r="AE543" s="54"/>
      <c r="AF543" s="54"/>
      <c r="AG543" s="54"/>
      <c r="AH543" s="54"/>
      <c r="AI543" s="54"/>
      <c r="AJ543" s="54"/>
      <c r="AK543" s="54"/>
      <c r="AL543" s="54"/>
      <c r="AM543" s="54"/>
      <c r="AN543" s="54"/>
      <c r="AO543" s="54"/>
      <c r="AP543" s="54"/>
      <c r="AQ543" s="54"/>
      <c r="AR543" s="54"/>
      <c r="AS543" s="54"/>
      <c r="AT543" s="54"/>
      <c r="AU543" s="54"/>
      <c r="AV543" s="54"/>
      <c r="AW543" s="54"/>
      <c r="AX543" s="54"/>
      <c r="AY543" s="54"/>
      <c r="AZ543" s="54"/>
      <c r="BA543" s="54"/>
      <c r="BB543" s="54"/>
      <c r="BC543" s="171"/>
      <c r="BD543" s="171"/>
    </row>
    <row r="544" spans="1:56" ht="14.1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c r="AA544" s="54"/>
      <c r="AB544" s="54"/>
      <c r="AC544" s="54"/>
      <c r="AD544" s="54"/>
      <c r="AE544" s="54"/>
      <c r="AF544" s="54"/>
      <c r="AG544" s="54"/>
      <c r="AH544" s="54"/>
      <c r="AI544" s="54"/>
      <c r="AJ544" s="54"/>
      <c r="AK544" s="54"/>
      <c r="AL544" s="54"/>
      <c r="AM544" s="54"/>
      <c r="AN544" s="54"/>
      <c r="AO544" s="54"/>
      <c r="AP544" s="54"/>
      <c r="AQ544" s="54"/>
      <c r="AR544" s="54"/>
      <c r="AS544" s="54"/>
      <c r="AT544" s="54"/>
      <c r="AU544" s="54"/>
      <c r="AV544" s="54"/>
      <c r="AW544" s="54"/>
      <c r="AX544" s="54"/>
      <c r="AY544" s="54"/>
      <c r="AZ544" s="54"/>
      <c r="BA544" s="54"/>
      <c r="BB544" s="54"/>
      <c r="BC544" s="171"/>
      <c r="BD544" s="171"/>
    </row>
    <row r="545" spans="1:56" ht="14.1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c r="AA545" s="54"/>
      <c r="AB545" s="54"/>
      <c r="AC545" s="54"/>
      <c r="AD545" s="54"/>
      <c r="AE545" s="54"/>
      <c r="AF545" s="54"/>
      <c r="AG545" s="54"/>
      <c r="AH545" s="54"/>
      <c r="AI545" s="54"/>
      <c r="AJ545" s="54"/>
      <c r="AK545" s="54"/>
      <c r="AL545" s="54"/>
      <c r="AM545" s="54"/>
      <c r="AN545" s="54"/>
      <c r="AO545" s="54"/>
      <c r="AP545" s="54"/>
      <c r="AQ545" s="54"/>
      <c r="AR545" s="54"/>
      <c r="AS545" s="54"/>
      <c r="AT545" s="54"/>
      <c r="AU545" s="54"/>
      <c r="AV545" s="54"/>
      <c r="AW545" s="54"/>
      <c r="AX545" s="54"/>
      <c r="AY545" s="54"/>
      <c r="AZ545" s="54"/>
      <c r="BA545" s="54"/>
      <c r="BB545" s="54"/>
      <c r="BC545" s="171"/>
      <c r="BD545" s="171"/>
    </row>
    <row r="546" spans="1:56" ht="14.1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c r="AA546" s="54"/>
      <c r="AB546" s="54"/>
      <c r="AC546" s="54"/>
      <c r="AD546" s="54"/>
      <c r="AE546" s="54"/>
      <c r="AF546" s="54"/>
      <c r="AG546" s="54"/>
      <c r="AH546" s="54"/>
      <c r="AI546" s="54"/>
      <c r="AJ546" s="54"/>
      <c r="AK546" s="54"/>
      <c r="AL546" s="54"/>
      <c r="AM546" s="54"/>
      <c r="AN546" s="54"/>
      <c r="AO546" s="54"/>
      <c r="AP546" s="54"/>
      <c r="AQ546" s="54"/>
      <c r="AR546" s="54"/>
      <c r="AS546" s="54"/>
      <c r="AT546" s="54"/>
      <c r="AU546" s="54"/>
      <c r="AV546" s="54"/>
      <c r="AW546" s="54"/>
      <c r="AX546" s="54"/>
      <c r="AY546" s="54"/>
      <c r="AZ546" s="54"/>
      <c r="BA546" s="54"/>
      <c r="BB546" s="54"/>
      <c r="BC546" s="171"/>
      <c r="BD546" s="171"/>
    </row>
    <row r="547" spans="1:56" ht="14.1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c r="AA547" s="54"/>
      <c r="AB547" s="54"/>
      <c r="AC547" s="54"/>
      <c r="AD547" s="54"/>
      <c r="AE547" s="54"/>
      <c r="AF547" s="54"/>
      <c r="AG547" s="54"/>
      <c r="AH547" s="54"/>
      <c r="AI547" s="54"/>
      <c r="AJ547" s="54"/>
      <c r="AK547" s="54"/>
      <c r="AL547" s="54"/>
      <c r="AM547" s="54"/>
      <c r="AN547" s="54"/>
      <c r="AO547" s="54"/>
      <c r="AP547" s="54"/>
      <c r="AQ547" s="54"/>
      <c r="AR547" s="54"/>
      <c r="AS547" s="54"/>
      <c r="AT547" s="54"/>
      <c r="AU547" s="54"/>
      <c r="AV547" s="54"/>
      <c r="AW547" s="54"/>
      <c r="AX547" s="54"/>
      <c r="AY547" s="54"/>
      <c r="AZ547" s="54"/>
      <c r="BA547" s="54"/>
      <c r="BB547" s="54"/>
      <c r="BC547" s="171"/>
      <c r="BD547" s="171"/>
    </row>
    <row r="548" spans="1:56" ht="14.1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c r="AA548" s="54"/>
      <c r="AB548" s="54"/>
      <c r="AC548" s="54"/>
      <c r="AD548" s="54"/>
      <c r="AE548" s="54"/>
      <c r="AF548" s="54"/>
      <c r="AG548" s="54"/>
      <c r="AH548" s="54"/>
      <c r="AI548" s="54"/>
      <c r="AJ548" s="54"/>
      <c r="AK548" s="54"/>
      <c r="AL548" s="54"/>
      <c r="AM548" s="54"/>
      <c r="AN548" s="54"/>
      <c r="AO548" s="54"/>
      <c r="AP548" s="54"/>
      <c r="AQ548" s="54"/>
      <c r="AR548" s="54"/>
      <c r="AS548" s="54"/>
      <c r="AT548" s="54"/>
      <c r="AU548" s="54"/>
      <c r="AV548" s="54"/>
      <c r="AW548" s="54"/>
      <c r="AX548" s="54"/>
      <c r="AY548" s="54"/>
      <c r="AZ548" s="54"/>
      <c r="BA548" s="54"/>
      <c r="BB548" s="54"/>
      <c r="BC548" s="171"/>
      <c r="BD548" s="171"/>
    </row>
    <row r="549" spans="1:56" ht="14.1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c r="AA549" s="54"/>
      <c r="AB549" s="54"/>
      <c r="AC549" s="54"/>
      <c r="AD549" s="54"/>
      <c r="AE549" s="54"/>
      <c r="AF549" s="54"/>
      <c r="AG549" s="54"/>
      <c r="AH549" s="54"/>
      <c r="AI549" s="54"/>
      <c r="AJ549" s="54"/>
      <c r="AK549" s="54"/>
      <c r="AL549" s="54"/>
      <c r="AM549" s="54"/>
      <c r="AN549" s="54"/>
      <c r="AO549" s="54"/>
      <c r="AP549" s="54"/>
      <c r="AQ549" s="54"/>
      <c r="AR549" s="54"/>
      <c r="AS549" s="54"/>
      <c r="AT549" s="54"/>
      <c r="AU549" s="54"/>
      <c r="AV549" s="54"/>
      <c r="AW549" s="54"/>
      <c r="AX549" s="54"/>
      <c r="AY549" s="54"/>
      <c r="AZ549" s="54"/>
      <c r="BA549" s="54"/>
      <c r="BB549" s="54"/>
      <c r="BC549" s="171"/>
      <c r="BD549" s="171"/>
    </row>
  </sheetData>
  <mergeCells count="517">
    <mergeCell ref="Y529:Z530"/>
    <mergeCell ref="AA529:AJ530"/>
    <mergeCell ref="Y532:Z533"/>
    <mergeCell ref="AA532:AJ533"/>
    <mergeCell ref="Y511:Z512"/>
    <mergeCell ref="AA511:AI512"/>
    <mergeCell ref="Y514:Z515"/>
    <mergeCell ref="AA514:AJ515"/>
    <mergeCell ref="Y517:Z518"/>
    <mergeCell ref="AA517:AJ518"/>
    <mergeCell ref="Y521:Z522"/>
    <mergeCell ref="AA521:AJ522"/>
    <mergeCell ref="Y524:Z525"/>
    <mergeCell ref="AA524:AJ528"/>
    <mergeCell ref="AA498:AK499"/>
    <mergeCell ref="AA500:AK501"/>
    <mergeCell ref="Y494:Z495"/>
    <mergeCell ref="AA494:AJ495"/>
    <mergeCell ref="AA496:AK497"/>
    <mergeCell ref="Y454:Z455"/>
    <mergeCell ref="AA454:AI455"/>
    <mergeCell ref="Y457:Z458"/>
    <mergeCell ref="AA457:AJ458"/>
    <mergeCell ref="F433:G434"/>
    <mergeCell ref="H433:P434"/>
    <mergeCell ref="F436:G437"/>
    <mergeCell ref="H436:R437"/>
    <mergeCell ref="F439:G440"/>
    <mergeCell ref="H439:P440"/>
    <mergeCell ref="F451:G452"/>
    <mergeCell ref="H451:P452"/>
    <mergeCell ref="F455:G456"/>
    <mergeCell ref="H455:P456"/>
    <mergeCell ref="F481:G482"/>
    <mergeCell ref="H481:P482"/>
    <mergeCell ref="F487:G488"/>
    <mergeCell ref="H487:P488"/>
    <mergeCell ref="Y479:Z480"/>
    <mergeCell ref="AA479:AJ480"/>
    <mergeCell ref="Y483:Z484"/>
    <mergeCell ref="AA483:AJ484"/>
    <mergeCell ref="Y486:Z487"/>
    <mergeCell ref="F200:G201"/>
    <mergeCell ref="H200:N201"/>
    <mergeCell ref="Y204:Z205"/>
    <mergeCell ref="F268:G269"/>
    <mergeCell ref="AP268:AQ269"/>
    <mergeCell ref="AB51:AC52"/>
    <mergeCell ref="Y48:Z49"/>
    <mergeCell ref="AA48:AK49"/>
    <mergeCell ref="Y78:Z79"/>
    <mergeCell ref="AA78:AK79"/>
    <mergeCell ref="AB56:AC57"/>
    <mergeCell ref="Y60:Z61"/>
    <mergeCell ref="AA60:AK61"/>
    <mergeCell ref="Y63:Z64"/>
    <mergeCell ref="AA63:AK64"/>
    <mergeCell ref="Y75:Z76"/>
    <mergeCell ref="AA75:AK76"/>
    <mergeCell ref="AA262:AG263"/>
    <mergeCell ref="F229:G230"/>
    <mergeCell ref="Y245:Z246"/>
    <mergeCell ref="AA245:AG246"/>
    <mergeCell ref="Y252:Z253"/>
    <mergeCell ref="AA252:AG253"/>
    <mergeCell ref="Y215:Z216"/>
    <mergeCell ref="AA486:AJ487"/>
    <mergeCell ref="Y460:Z461"/>
    <mergeCell ref="AA460:AJ461"/>
    <mergeCell ref="Y463:Z464"/>
    <mergeCell ref="AA463:AJ464"/>
    <mergeCell ref="Y475:Z476"/>
    <mergeCell ref="AA475:AJ477"/>
    <mergeCell ref="Y189:Z190"/>
    <mergeCell ref="AA189:AJ190"/>
    <mergeCell ref="Y201:Z202"/>
    <mergeCell ref="AA201:AJ202"/>
    <mergeCell ref="Y290:Z291"/>
    <mergeCell ref="AA290:AG291"/>
    <mergeCell ref="AA318:AH319"/>
    <mergeCell ref="AC326:AE327"/>
    <mergeCell ref="AP89:AQ90"/>
    <mergeCell ref="F114:G115"/>
    <mergeCell ref="H114:R115"/>
    <mergeCell ref="F117:G118"/>
    <mergeCell ref="F151:G152"/>
    <mergeCell ref="Y111:Z112"/>
    <mergeCell ref="AA111:AK112"/>
    <mergeCell ref="Y114:Z115"/>
    <mergeCell ref="AA114:AK115"/>
    <mergeCell ref="Y128:Z129"/>
    <mergeCell ref="AA128:AK129"/>
    <mergeCell ref="Y131:Z132"/>
    <mergeCell ref="AA131:AK132"/>
    <mergeCell ref="Y134:Z135"/>
    <mergeCell ref="AA134:AK135"/>
    <mergeCell ref="H151:Q152"/>
    <mergeCell ref="F137:G138"/>
    <mergeCell ref="H137:Q138"/>
    <mergeCell ref="L149:P150"/>
    <mergeCell ref="H117:R118"/>
    <mergeCell ref="AP86:AQ87"/>
    <mergeCell ref="F43:G44"/>
    <mergeCell ref="H43:R44"/>
    <mergeCell ref="F46:G47"/>
    <mergeCell ref="H46:R47"/>
    <mergeCell ref="H13:R14"/>
    <mergeCell ref="F28:R30"/>
    <mergeCell ref="F32:G33"/>
    <mergeCell ref="H86:R87"/>
    <mergeCell ref="H74:M76"/>
    <mergeCell ref="F78:G79"/>
    <mergeCell ref="H78:R79"/>
    <mergeCell ref="F120:G121"/>
    <mergeCell ref="H120:R121"/>
    <mergeCell ref="F134:G135"/>
    <mergeCell ref="H134:R135"/>
    <mergeCell ref="F83:G84"/>
    <mergeCell ref="H83:R84"/>
    <mergeCell ref="H89:L92"/>
    <mergeCell ref="F96:G97"/>
    <mergeCell ref="H96:L99"/>
    <mergeCell ref="F102:P103"/>
    <mergeCell ref="F86:G87"/>
    <mergeCell ref="F89:G90"/>
    <mergeCell ref="AA38:AK39"/>
    <mergeCell ref="F38:G39"/>
    <mergeCell ref="H38:R39"/>
    <mergeCell ref="H32:R33"/>
    <mergeCell ref="F35:G36"/>
    <mergeCell ref="H35:R36"/>
    <mergeCell ref="F40:G41"/>
    <mergeCell ref="Y35:Z36"/>
    <mergeCell ref="AA35:AK36"/>
    <mergeCell ref="Y38:Z39"/>
    <mergeCell ref="Z41:AD45"/>
    <mergeCell ref="H40:R41"/>
    <mergeCell ref="F49:G50"/>
    <mergeCell ref="H49:R50"/>
    <mergeCell ref="H52:M54"/>
    <mergeCell ref="F65:G66"/>
    <mergeCell ref="H65:R66"/>
    <mergeCell ref="F68:G69"/>
    <mergeCell ref="H68:R69"/>
    <mergeCell ref="F71:G72"/>
    <mergeCell ref="H71:R72"/>
    <mergeCell ref="AC16:AG17"/>
    <mergeCell ref="Y19:Z20"/>
    <mergeCell ref="AA19:AK20"/>
    <mergeCell ref="AA22:AF23"/>
    <mergeCell ref="AA25:AF26"/>
    <mergeCell ref="AA28:AF29"/>
    <mergeCell ref="Y32:Z33"/>
    <mergeCell ref="A1:C2"/>
    <mergeCell ref="A3:C4"/>
    <mergeCell ref="AA32:AK33"/>
    <mergeCell ref="D1:E2"/>
    <mergeCell ref="AN1:AO2"/>
    <mergeCell ref="F4:G5"/>
    <mergeCell ref="H4:R5"/>
    <mergeCell ref="F7:G8"/>
    <mergeCell ref="H7:R8"/>
    <mergeCell ref="F10:G11"/>
    <mergeCell ref="H10:R11"/>
    <mergeCell ref="W1:X2"/>
    <mergeCell ref="Y4:Z5"/>
    <mergeCell ref="AA4:AK5"/>
    <mergeCell ref="Y7:Z8"/>
    <mergeCell ref="AA7:AK8"/>
    <mergeCell ref="AC9:AG10"/>
    <mergeCell ref="AP73:AQ74"/>
    <mergeCell ref="AR73:AZ74"/>
    <mergeCell ref="F203:G204"/>
    <mergeCell ref="H203:N204"/>
    <mergeCell ref="F226:G227"/>
    <mergeCell ref="AP226:AQ227"/>
    <mergeCell ref="AR89:AZ90"/>
    <mergeCell ref="AR92:AS93"/>
    <mergeCell ref="AV92:AW93"/>
    <mergeCell ref="AP98:AQ99"/>
    <mergeCell ref="AR98:AZ99"/>
    <mergeCell ref="AP103:AQ104"/>
    <mergeCell ref="AR103:AZ104"/>
    <mergeCell ref="AP110:AQ111"/>
    <mergeCell ref="AR110:AZ111"/>
    <mergeCell ref="AR121:AZ123"/>
    <mergeCell ref="AR128:AZ130"/>
    <mergeCell ref="AP139:AQ140"/>
    <mergeCell ref="AP142:AQ143"/>
    <mergeCell ref="AR142:AZ143"/>
    <mergeCell ref="Y212:Z213"/>
    <mergeCell ref="AA212:AK213"/>
    <mergeCell ref="AA186:AJ187"/>
    <mergeCell ref="F74:G75"/>
    <mergeCell ref="F187:G188"/>
    <mergeCell ref="AP187:AQ188"/>
    <mergeCell ref="AR173:AZ174"/>
    <mergeCell ref="AR176:AZ177"/>
    <mergeCell ref="AP179:AQ180"/>
    <mergeCell ref="AR179:AZ180"/>
    <mergeCell ref="AP5:AQ6"/>
    <mergeCell ref="AR13:AZ14"/>
    <mergeCell ref="AP36:AQ37"/>
    <mergeCell ref="AP39:AQ40"/>
    <mergeCell ref="AR39:AZ40"/>
    <mergeCell ref="AP42:AQ43"/>
    <mergeCell ref="AR42:AZ43"/>
    <mergeCell ref="AP53:AQ54"/>
    <mergeCell ref="AR53:AZ54"/>
    <mergeCell ref="F13:G14"/>
    <mergeCell ref="AP13:AQ14"/>
    <mergeCell ref="AR145:AS146"/>
    <mergeCell ref="AV145:AW146"/>
    <mergeCell ref="AP147:AQ148"/>
    <mergeCell ref="AR147:AZ148"/>
    <mergeCell ref="AP121:AQ122"/>
    <mergeCell ref="AR153:AZ154"/>
    <mergeCell ref="AP165:AQ166"/>
    <mergeCell ref="F167:G168"/>
    <mergeCell ref="H167:Q168"/>
    <mergeCell ref="F154:G155"/>
    <mergeCell ref="H154:M155"/>
    <mergeCell ref="F157:G158"/>
    <mergeCell ref="H157:M158"/>
    <mergeCell ref="H170:M171"/>
    <mergeCell ref="Y183:Z184"/>
    <mergeCell ref="AA183:AK184"/>
    <mergeCell ref="F170:G171"/>
    <mergeCell ref="F173:G174"/>
    <mergeCell ref="H177:N179"/>
    <mergeCell ref="H180:N182"/>
    <mergeCell ref="F176:G177"/>
    <mergeCell ref="Y180:Z181"/>
    <mergeCell ref="AA180:AK181"/>
    <mergeCell ref="AA163:AK164"/>
    <mergeCell ref="Y154:Z155"/>
    <mergeCell ref="AA154:AK155"/>
    <mergeCell ref="Y157:Z158"/>
    <mergeCell ref="AA157:AK158"/>
    <mergeCell ref="Y160:Z161"/>
    <mergeCell ref="AA160:AK161"/>
    <mergeCell ref="Y163:Z164"/>
    <mergeCell ref="F292:G293"/>
    <mergeCell ref="H292:O293"/>
    <mergeCell ref="AP211:AQ212"/>
    <mergeCell ref="Y220:Z221"/>
    <mergeCell ref="AA220:AF221"/>
    <mergeCell ref="H187:R188"/>
    <mergeCell ref="F190:G191"/>
    <mergeCell ref="H190:N191"/>
    <mergeCell ref="F193:G194"/>
    <mergeCell ref="H193:N194"/>
    <mergeCell ref="F196:G197"/>
    <mergeCell ref="AA215:AF216"/>
    <mergeCell ref="Y186:Z187"/>
    <mergeCell ref="F280:G281"/>
    <mergeCell ref="H280:P281"/>
    <mergeCell ref="F284:G285"/>
    <mergeCell ref="H284:P288"/>
    <mergeCell ref="H254:N255"/>
    <mergeCell ref="F260:G261"/>
    <mergeCell ref="H260:N262"/>
    <mergeCell ref="AA241:AI242"/>
    <mergeCell ref="Y257:Z258"/>
    <mergeCell ref="Y262:Z263"/>
    <mergeCell ref="H243:P244"/>
    <mergeCell ref="F299:G300"/>
    <mergeCell ref="H299:O300"/>
    <mergeCell ref="H226:P227"/>
    <mergeCell ref="AR226:AZ227"/>
    <mergeCell ref="AP230:AQ231"/>
    <mergeCell ref="F243:G244"/>
    <mergeCell ref="Y241:Z242"/>
    <mergeCell ref="F239:G240"/>
    <mergeCell ref="L239:M240"/>
    <mergeCell ref="F235:G236"/>
    <mergeCell ref="H235:Q236"/>
    <mergeCell ref="F232:G233"/>
    <mergeCell ref="H229:Q230"/>
    <mergeCell ref="H232:Q233"/>
    <mergeCell ref="Y228:Z229"/>
    <mergeCell ref="AA228:AF230"/>
    <mergeCell ref="Y233:Z234"/>
    <mergeCell ref="AA233:AF235"/>
    <mergeCell ref="F247:G248"/>
    <mergeCell ref="H247:N248"/>
    <mergeCell ref="H250:N251"/>
    <mergeCell ref="F254:G255"/>
    <mergeCell ref="H268:N269"/>
    <mergeCell ref="F274:G275"/>
    <mergeCell ref="F394:G395"/>
    <mergeCell ref="H394:O395"/>
    <mergeCell ref="H397:O398"/>
    <mergeCell ref="F406:G407"/>
    <mergeCell ref="H406:R407"/>
    <mergeCell ref="Y303:Z304"/>
    <mergeCell ref="F348:G349"/>
    <mergeCell ref="H305:O306"/>
    <mergeCell ref="F310:G311"/>
    <mergeCell ref="H310:O311"/>
    <mergeCell ref="H313:O315"/>
    <mergeCell ref="H319:O320"/>
    <mergeCell ref="F326:G327"/>
    <mergeCell ref="H326:O327"/>
    <mergeCell ref="Y318:Z319"/>
    <mergeCell ref="Y326:AA327"/>
    <mergeCell ref="F345:G346"/>
    <mergeCell ref="H345:O346"/>
    <mergeCell ref="Y311:Z312"/>
    <mergeCell ref="AA311:AG312"/>
    <mergeCell ref="AA303:AG304"/>
    <mergeCell ref="H302:O303"/>
    <mergeCell ref="H371:O372"/>
    <mergeCell ref="H383:O384"/>
    <mergeCell ref="F419:G420"/>
    <mergeCell ref="H419:O420"/>
    <mergeCell ref="H422:N423"/>
    <mergeCell ref="AP249:AQ250"/>
    <mergeCell ref="Y340:Z341"/>
    <mergeCell ref="Y345:Z346"/>
    <mergeCell ref="AA345:AH346"/>
    <mergeCell ref="Y348:Z349"/>
    <mergeCell ref="AA348:AH349"/>
    <mergeCell ref="AA350:AH351"/>
    <mergeCell ref="Y367:Z368"/>
    <mergeCell ref="AA367:AH368"/>
    <mergeCell ref="Y384:Z385"/>
    <mergeCell ref="AA384:AH385"/>
    <mergeCell ref="Y387:Z388"/>
    <mergeCell ref="AA387:AH388"/>
    <mergeCell ref="Y391:Z392"/>
    <mergeCell ref="AA391:AI392"/>
    <mergeCell ref="Y395:Z396"/>
    <mergeCell ref="AA395:AH396"/>
    <mergeCell ref="H348:O349"/>
    <mergeCell ref="F371:G372"/>
    <mergeCell ref="AA340:AH341"/>
    <mergeCell ref="F383:G384"/>
    <mergeCell ref="AX383:AX384"/>
    <mergeCell ref="Y435:Z436"/>
    <mergeCell ref="AA435:AH436"/>
    <mergeCell ref="Y398:Z399"/>
    <mergeCell ref="AA398:AH399"/>
    <mergeCell ref="Y412:Z413"/>
    <mergeCell ref="AA412:AH414"/>
    <mergeCell ref="Y429:Z430"/>
    <mergeCell ref="AA429:AH430"/>
    <mergeCell ref="Y432:Z433"/>
    <mergeCell ref="AA432:AH433"/>
    <mergeCell ref="AP383:AQ384"/>
    <mergeCell ref="AP423:AS424"/>
    <mergeCell ref="AP441:AQ441"/>
    <mergeCell ref="AP442:AQ442"/>
    <mergeCell ref="AP443:AQ443"/>
    <mergeCell ref="AP444:AQ444"/>
    <mergeCell ref="AP377:AP380"/>
    <mergeCell ref="AP385:AP387"/>
    <mergeCell ref="AR383:AR384"/>
    <mergeCell ref="AR445:AR446"/>
    <mergeCell ref="AS383:AS384"/>
    <mergeCell ref="AS445:AS446"/>
    <mergeCell ref="AP445:AQ446"/>
    <mergeCell ref="AP367:AQ367"/>
    <mergeCell ref="AR367:AS367"/>
    <mergeCell ref="AT367:AU367"/>
    <mergeCell ref="AP368:AQ368"/>
    <mergeCell ref="AR368:AS368"/>
    <mergeCell ref="AT368:AU368"/>
    <mergeCell ref="AT383:AU383"/>
    <mergeCell ref="AV383:AW383"/>
    <mergeCell ref="AP440:AQ440"/>
    <mergeCell ref="AT423:AT424"/>
    <mergeCell ref="AU423:AU424"/>
    <mergeCell ref="AV423:AV424"/>
    <mergeCell ref="AW423:AW424"/>
    <mergeCell ref="AP375:AR376"/>
    <mergeCell ref="AP364:AQ364"/>
    <mergeCell ref="AR364:AS364"/>
    <mergeCell ref="AT364:AU364"/>
    <mergeCell ref="AP365:AQ365"/>
    <mergeCell ref="AR365:AS365"/>
    <mergeCell ref="AT365:AU365"/>
    <mergeCell ref="AP366:AQ366"/>
    <mergeCell ref="AR366:AS366"/>
    <mergeCell ref="AT366:AU366"/>
    <mergeCell ref="AP361:AQ361"/>
    <mergeCell ref="AR361:AS361"/>
    <mergeCell ref="AT361:AU361"/>
    <mergeCell ref="AP362:AQ362"/>
    <mergeCell ref="AR362:AS362"/>
    <mergeCell ref="AT362:AU362"/>
    <mergeCell ref="AP363:AQ363"/>
    <mergeCell ref="AR363:AS363"/>
    <mergeCell ref="AT363:AU363"/>
    <mergeCell ref="AP358:AQ358"/>
    <mergeCell ref="AR358:AS358"/>
    <mergeCell ref="AT358:AU358"/>
    <mergeCell ref="AP359:AQ359"/>
    <mergeCell ref="AR359:AS359"/>
    <mergeCell ref="AT359:AU359"/>
    <mergeCell ref="AP360:AQ360"/>
    <mergeCell ref="AR360:AS360"/>
    <mergeCell ref="AT360:AU360"/>
    <mergeCell ref="AP355:AQ355"/>
    <mergeCell ref="AR355:AS355"/>
    <mergeCell ref="AT355:AU355"/>
    <mergeCell ref="AP356:AQ356"/>
    <mergeCell ref="AR356:AS356"/>
    <mergeCell ref="AT356:AU356"/>
    <mergeCell ref="AP357:AQ357"/>
    <mergeCell ref="AR357:AS357"/>
    <mergeCell ref="AT357:AU357"/>
    <mergeCell ref="AP352:AQ352"/>
    <mergeCell ref="AR352:AS352"/>
    <mergeCell ref="AT352:AU352"/>
    <mergeCell ref="AP353:AQ353"/>
    <mergeCell ref="AR353:AS353"/>
    <mergeCell ref="AT353:AU353"/>
    <mergeCell ref="AP354:AQ354"/>
    <mergeCell ref="AR354:AS354"/>
    <mergeCell ref="AT354:AU354"/>
    <mergeCell ref="AP349:AQ349"/>
    <mergeCell ref="AR349:AS349"/>
    <mergeCell ref="AT349:AU349"/>
    <mergeCell ref="AP350:AQ350"/>
    <mergeCell ref="AR350:AS350"/>
    <mergeCell ref="AT350:AU350"/>
    <mergeCell ref="AP351:AQ351"/>
    <mergeCell ref="AR351:AS351"/>
    <mergeCell ref="AT351:AU351"/>
    <mergeCell ref="AP346:AQ346"/>
    <mergeCell ref="AR346:AS346"/>
    <mergeCell ref="AT346:AU346"/>
    <mergeCell ref="AP347:AQ347"/>
    <mergeCell ref="AR347:AS347"/>
    <mergeCell ref="AT347:AU347"/>
    <mergeCell ref="AP348:AQ348"/>
    <mergeCell ref="AR348:AS348"/>
    <mergeCell ref="AT348:AU348"/>
    <mergeCell ref="AP343:AQ343"/>
    <mergeCell ref="AR343:AS343"/>
    <mergeCell ref="AT343:AU343"/>
    <mergeCell ref="AP344:AQ344"/>
    <mergeCell ref="AR344:AS344"/>
    <mergeCell ref="AT344:AU344"/>
    <mergeCell ref="AP345:AQ345"/>
    <mergeCell ref="AR345:AS345"/>
    <mergeCell ref="AT345:AU345"/>
    <mergeCell ref="AP340:AQ340"/>
    <mergeCell ref="AR340:AS340"/>
    <mergeCell ref="AT340:AU340"/>
    <mergeCell ref="AP341:AQ341"/>
    <mergeCell ref="AR341:AS341"/>
    <mergeCell ref="AT341:AU341"/>
    <mergeCell ref="AP342:AQ342"/>
    <mergeCell ref="AR342:AS342"/>
    <mergeCell ref="AT342:AU342"/>
    <mergeCell ref="AP337:AQ337"/>
    <mergeCell ref="AR337:AS337"/>
    <mergeCell ref="AT337:AU337"/>
    <mergeCell ref="AP338:AQ338"/>
    <mergeCell ref="AR338:AS338"/>
    <mergeCell ref="AT338:AU338"/>
    <mergeCell ref="AP339:AQ339"/>
    <mergeCell ref="AR339:AS339"/>
    <mergeCell ref="AT339:AU339"/>
    <mergeCell ref="AP334:AQ334"/>
    <mergeCell ref="AR334:AS334"/>
    <mergeCell ref="AT334:AU334"/>
    <mergeCell ref="AP335:AQ335"/>
    <mergeCell ref="AR335:AS335"/>
    <mergeCell ref="AT335:AU335"/>
    <mergeCell ref="AP336:AQ336"/>
    <mergeCell ref="AR336:AS336"/>
    <mergeCell ref="AT336:AU336"/>
    <mergeCell ref="AP331:AQ331"/>
    <mergeCell ref="AR331:AS331"/>
    <mergeCell ref="AT331:AU331"/>
    <mergeCell ref="AP332:AQ332"/>
    <mergeCell ref="AR332:AS332"/>
    <mergeCell ref="AT332:AU332"/>
    <mergeCell ref="AP333:AQ333"/>
    <mergeCell ref="AR333:AS333"/>
    <mergeCell ref="AT333:AU333"/>
    <mergeCell ref="AP328:AQ328"/>
    <mergeCell ref="AR328:AS328"/>
    <mergeCell ref="AT328:AU328"/>
    <mergeCell ref="AP329:AQ329"/>
    <mergeCell ref="AR329:AS329"/>
    <mergeCell ref="AT329:AU329"/>
    <mergeCell ref="AP330:AQ330"/>
    <mergeCell ref="AR330:AS330"/>
    <mergeCell ref="AT330:AU330"/>
    <mergeCell ref="AC137:AE137"/>
    <mergeCell ref="AS213:AT213"/>
    <mergeCell ref="AU213:AV213"/>
    <mergeCell ref="H317:O317"/>
    <mergeCell ref="AP326:AQ326"/>
    <mergeCell ref="AR326:AS326"/>
    <mergeCell ref="AT326:AU326"/>
    <mergeCell ref="AP327:AQ327"/>
    <mergeCell ref="AR327:AS327"/>
    <mergeCell ref="AT327:AU327"/>
    <mergeCell ref="H274:N275"/>
    <mergeCell ref="AP184:AQ185"/>
    <mergeCell ref="AP153:AQ154"/>
    <mergeCell ref="AR187:AZ188"/>
    <mergeCell ref="AP192:AQ193"/>
    <mergeCell ref="AR192:AZ193"/>
    <mergeCell ref="AR165:AZ166"/>
    <mergeCell ref="AR170:AZ171"/>
    <mergeCell ref="AP170:AQ171"/>
    <mergeCell ref="AP176:AQ177"/>
    <mergeCell ref="H173:N174"/>
    <mergeCell ref="H196:P197"/>
    <mergeCell ref="AR211:AZ212"/>
    <mergeCell ref="AP321:AQ322"/>
  </mergeCells>
  <conditionalFormatting sqref="A1:BD549">
    <cfRule type="expression" dxfId="4" priority="1">
      <formula>颜色主题="魔法"</formula>
    </cfRule>
  </conditionalFormatting>
  <conditionalFormatting sqref="AT327:AU368">
    <cfRule type="dataBar" priority="3">
      <dataBar>
        <cfvo type="min"/>
        <cfvo type="max"/>
        <color rgb="FF638EC6"/>
      </dataBar>
      <extLst>
        <ext xmlns:x14="http://schemas.microsoft.com/office/spreadsheetml/2009/9/main" uri="{B025F937-C7B1-47D3-B67F-A62EFF666E3E}">
          <x14:id>{D92CF9C5-F7B7-4106-A76C-145D7830BD93}</x14:id>
        </ext>
      </extLst>
    </cfRule>
  </conditionalFormatting>
  <dataValidations count="12">
    <dataValidation allowBlank="1" showInputMessage="1" showErrorMessage="1" promptTitle="====================" prompt="飞行速度：12格/秒_x000a_可否追踪：可以_x000a_弹道轨迹：直线_x000a_参考时间：0.75秒" sqref="J207" xr:uid="{00000000-0002-0000-0900-000000000000}"/>
    <dataValidation allowBlank="1" showInputMessage="1" showErrorMessage="1" promptTitle="======================" prompt="射程的含义是防御建筑所能攻击到的最远距离。_x000a_射程的圆心在占地面积的中心点！_x000a_" sqref="H209" xr:uid="{00000000-0002-0000-0900-000001000000}"/>
    <dataValidation allowBlank="1" showInputMessage="1" showErrorMessage="1" promptTitle="======================" prompt="抵御+军队类型_x000a_代表防御建筑能攻击的对象。_x000a_" sqref="H208" xr:uid="{00000000-0002-0000-0900-000002000000}"/>
    <dataValidation allowBlank="1" showInputMessage="1" showErrorMessage="1" promptTitle="======================" prompt="攻速代表每次攻击所需要的时间。_x000a_防御建筑的实际伤害=秒伤*攻速_x000a_很多时候会写好每次伤害..._x000a_" sqref="H210" xr:uid="{00000000-0002-0000-0900-000003000000}"/>
    <dataValidation allowBlank="1" showInputMessage="1" showErrorMessage="1" promptTitle="======================" prompt="“占地面积”指的是这个建筑的占用面积和可以受到伤害的区域（非陷阱）。_x000a_进攻时无法在可见建筑的“占地面积”以及外面一圈的范围内下兵。_x000a_" sqref="H212" xr:uid="{00000000-0002-0000-0900-000004000000}"/>
    <dataValidation allowBlank="1" showInputMessage="1" showErrorMessage="1" promptTitle="======================" prompt="一次攻击一个单位，绝不击空！_x000a_" sqref="H211" xr:uid="{00000000-0002-0000-0900-000005000000}"/>
    <dataValidation allowBlank="1" showInputMessage="1" showErrorMessage="1" promptTitle="======================" prompt="可视面积指兵种可以看到的面积，而军队只能直接攻击此区域。_x000a_一般情况下：可视面积比占地面积小一圈。_x000a_" sqref="H213" xr:uid="{00000000-0002-0000-0900-000006000000}"/>
    <dataValidation type="list" allowBlank="1" showInputMessage="1" showErrorMessage="1" sqref="H240" xr:uid="{00000000-0002-0000-0900-000007000000}">
      <formula1>"0,1,2,3"</formula1>
    </dataValidation>
    <dataValidation type="custom" allowBlank="1" showInputMessage="1" showErrorMessage="1" errorTitle="不合理的百分比" error="星星可以在一定程度上反应百分比，所以不要试图欺骗我！" sqref="I240" xr:uid="{00000000-0002-0000-0900-000008000000}">
      <formula1>OR(AND(H240=0,I240&gt;=0,I240&lt;50),AND(H240=1,I240&gt;=1,I240&lt;=99),AND(H240=2,I240&gt;=50,I240&lt;=99),AND(H240=3,I240=100))</formula1>
    </dataValidation>
    <dataValidation type="list" allowBlank="1" showInputMessage="1" showErrorMessage="1" sqref="N240" xr:uid="{00000000-0002-0000-0900-000009000000}">
      <formula1>"1,2,3,4,5,6,7,8,9,10,11,12,13,14,15"</formula1>
    </dataValidation>
    <dataValidation type="list" allowBlank="1" showInputMessage="1" showErrorMessage="1" sqref="AR270" xr:uid="{00000000-0002-0000-0900-00000A000000}">
      <formula1>"成功,失败"</formula1>
    </dataValidation>
    <dataValidation type="list" allowBlank="1" showInputMessage="1" showErrorMessage="1" sqref="AU270" xr:uid="{00000000-0002-0000-0900-00000B000000}">
      <formula1>"0,1,2,3,4,5,6,对应本满级"</formula1>
    </dataValidation>
  </dataValidations>
  <hyperlinks>
    <hyperlink ref="D4" location="'5.2研究笔记'!F4:R39" tooltip="看得到才能打得到" display="1.单位视野" xr:uid="{00000000-0004-0000-0900-000000000000}"/>
    <hyperlink ref="D5" location="'5.2研究笔记'!F40:R62" tooltip="单位攻击建筑的重要秘密" display="2.判定面积" xr:uid="{00000000-0004-0000-0900-000001000000}"/>
    <hyperlink ref="D6" location="'5.2研究笔记'!F65:R79" tooltip="简述为何而开墙" display="3.开墙判定" xr:uid="{00000000-0004-0000-0900-000002000000}"/>
    <hyperlink ref="D7" location="'5.2研究笔记'!F83:R111" tooltip="论述防御建筑攻击目标的顺序" display="4.防御锁定" xr:uid="{00000000-0004-0000-0900-000003000000}"/>
    <hyperlink ref="D8" location="'5.2研究笔记'!F114:R132" tooltip="部落援军出来的顺序" display="5.援兵顺序" xr:uid="{00000000-0004-0000-0900-000004000000}"/>
    <hyperlink ref="D9" location="'5.2研究笔记'!F134:R185" tooltip="隐身能力的详细分析" display="6.隐身本质" xr:uid="{00000000-0004-0000-0900-000005000000}"/>
    <hyperlink ref="W4" location="'5.2研究笔记'!Y4:AK30" tooltip="救死扶伤为我之任" display="1.天使" xr:uid="{00000000-0004-0000-0900-000006000000}"/>
    <hyperlink ref="W5" location="'5.2研究笔记'!Y32:AK58" tooltip="一同粉碎！" display="2.武神" xr:uid="{00000000-0004-0000-0900-000007000000}"/>
    <hyperlink ref="W6" location="'5.2研究笔记'!Y60:AJ89" tooltip="怎样才算被冻住了呢？" display="3.冰冻法术" xr:uid="{00000000-0004-0000-0900-000008000000}"/>
    <hyperlink ref="W7" location="'5.2研究笔记'!Y111:AL154" tooltip="攻城载具的运作原理" display="4.攻城载具" xr:uid="{00000000-0004-0000-0900-000009000000}"/>
    <hyperlink ref="W8" location="'5.2研究笔记'!Y154:AK174" tooltip="冰人的冰冻效果" display="5.戈仑冰人" xr:uid="{00000000-0004-0000-0900-00000A000000}"/>
    <hyperlink ref="W9" location="'5.2研究笔记'!Y180:AJ210" tooltip="夜世界西瓜投手的详细介绍和解决方法" display="6.西瓜投手" xr:uid="{00000000-0004-0000-0900-00000B000000}"/>
    <hyperlink ref="D10" location="'5.2研究笔记'!F187:R222" tooltip="子弹飞行因素" display="7.弹丸理论" xr:uid="{00000000-0004-0000-0900-00000C000000}"/>
    <hyperlink ref="W10" location="'5.2研究笔记'!Y212:AJ337" tooltip="除了扔矛，还会投盾" display="7.飞盾战神" xr:uid="{00000000-0004-0000-0900-00000D000000}"/>
    <hyperlink ref="D11" location="'5.2研究笔记'!F226:Q241" tooltip="传奇联赛的特殊机制" display="8.传奇联赛" xr:uid="{00000000-0004-0000-0900-00000E000000}"/>
    <hyperlink ref="AN4" location="'5.2研究笔记'!AP5:BC34" tooltip="法师塔与炸弹人的结缘" display="1.法师塔VS炸弹人" xr:uid="{00000000-0004-0000-0900-00000F000000}"/>
    <hyperlink ref="AN5" location="'5.2研究笔记'!AP36:AZ85" tooltip="女巫可是够烦人的啦" display="2.天女VS女巫" xr:uid="{00000000-0004-0000-0900-000010000000}"/>
    <hyperlink ref="AN6" location="'5.2研究笔记'!AP86:AZ137" tooltip="冰人凭借自己的冰冻力场成为棘手单位" display="3.天女VS冰人" xr:uid="{00000000-0004-0000-0900-000011000000}"/>
    <hyperlink ref="AN7" location="'5.2研究笔记'!AP139:AZ183" tooltip="韩大狗和韩小狗们一起带来的噩梦" display="4.天女VS猎犬" xr:uid="{00000000-0004-0000-0900-000012000000}"/>
    <hyperlink ref="AN8" location="'5.2研究笔记'!AP184:AZ229" tooltip="蝙蝠法术应对12本防御建筑的表现" display="5.蝙蝠法术" xr:uid="{00000000-0004-0000-0900-000013000000}"/>
    <hyperlink ref="AN9" location="'5.2研究笔记'!AP230:AZ248" tooltip="专注于对13本的满级战神的盾踪" display="6.无敌飞盾" xr:uid="{00000000-0004-0000-0900-000014000000}"/>
    <hyperlink ref="D12" location="'5.2研究笔记'!F243:R275" tooltip="用实验揭露增益型法术叠加的秘密" display="9.法术叠加" xr:uid="{00000000-0004-0000-0900-000015000000}"/>
    <hyperlink ref="W11" location="'5.2研究笔记'!Y241:AK337" tooltip="九大实验让你怀疑你从未用过毒药法术" display="8.毒药法术" xr:uid="{00000000-0004-0000-0900-000016000000}"/>
    <hyperlink ref="D13" location="'5.2研究笔记'!F280:S429" tooltip="揭露大守护者的基本性质和跟随机制" display="10.大守护者" xr:uid="{00000000-0004-0000-0900-000017000000}"/>
    <hyperlink ref="W12" location="'5.2研究笔记'!Y340:AJ388" tooltip="敌我不分的两面派" display="9.隐形法术" xr:uid="{00000000-0004-0000-0900-000018000000}"/>
    <hyperlink ref="W13" location="'5.2研究笔记'!Y391:AJ449" tooltip="详细阐释炸弹人开墙判定" display="10.炸弹人" xr:uid="{00000000-0004-0000-0900-000019000000}"/>
    <hyperlink ref="W14" location="'5.2研究笔记'!Y454:AK509" tooltip="跟随我们揭露天鹰的机制" display="11.天鹰火炮" xr:uid="{00000000-0004-0000-0900-00001A000000}"/>
    <hyperlink ref="D14" location="'5.2研究笔记'!F433:R489" tooltip="修理工的传奇" display="11.工人小屋" xr:uid="{00000000-0004-0000-0900-00001B000000}"/>
    <hyperlink ref="W15" location="'5.2研究笔记'!Y511:AJ533" tooltip="你，并不孤单" display="12.镜像法术" xr:uid="{00000000-0004-0000-0900-00001C000000}"/>
    <hyperlink ref="F241" location="'5.1联赛&amp;等级'!D1:M31" tooltip="家乡联赛分为两种机制哦" display="&gt;&gt;返回家乡联赛" xr:uid="{00000000-0004-0000-0900-00001D000000}"/>
    <hyperlink ref="A6" location="'5.2研究笔记'!D1:T488" display="1.规则起源" xr:uid="{00000000-0004-0000-0900-00001E000000}"/>
    <hyperlink ref="A7" location="'5.2研究笔记'!W1:AL534" display="2.单位详解" xr:uid="{00000000-0004-0000-0900-00001F000000}"/>
    <hyperlink ref="A8" location="'5.2研究笔记'!AN1:AZ368" display="3.数据糖果" xr:uid="{00000000-0004-0000-0900-000020000000}"/>
    <hyperlink ref="D1:E2" location="'5.2研究笔记'!A1:C8" tooltip="返回索引" display="规则起源" xr:uid="{00000000-0004-0000-0900-000021000000}"/>
    <hyperlink ref="F4:G5" location="'5.2研究笔记'!D1:E21" tooltip="返回规则起源目录" display="单位视野" xr:uid="{00000000-0004-0000-0900-000022000000}"/>
    <hyperlink ref="F40:G41" location="'5.2研究笔记'!D1:E21" tooltip="返回规则起源目录" display="判定面积" xr:uid="{00000000-0004-0000-0900-000023000000}"/>
    <hyperlink ref="F65:G66" location="'5.2研究笔记'!D1:E21" tooltip="返回规则起源目录" display="开墙判定" xr:uid="{00000000-0004-0000-0900-000024000000}"/>
    <hyperlink ref="F83:G84" location="'5.2研究笔记'!D1:E21" tooltip="返回规则起源目录" display="防御锁定" xr:uid="{00000000-0004-0000-0900-000025000000}"/>
    <hyperlink ref="F114:G115" location="'5.2研究笔记'!D1:E21" tooltip="返回规则起源目录" display="援兵顺序" xr:uid="{00000000-0004-0000-0900-000026000000}"/>
    <hyperlink ref="F134:G135" location="'5.2研究笔记'!D1:E21" tooltip="返回规则起源目录" display="隐身本质" xr:uid="{00000000-0004-0000-0900-000027000000}"/>
    <hyperlink ref="F187:G188" location="'5.2研究笔记'!D1:E21" tooltip="返回规则起源目录" display="弹丸理论" xr:uid="{00000000-0004-0000-0900-000028000000}"/>
    <hyperlink ref="F226:G227" location="'5.2研究笔记'!D1:E21" tooltip="返回规则起源目录" display="传奇联赛" xr:uid="{00000000-0004-0000-0900-000029000000}"/>
    <hyperlink ref="F433:G434" location="'5.2研究笔记'!D1:E21" tooltip="返回规则起源目录" display="工人小屋" xr:uid="{00000000-0004-0000-0900-00002A000000}"/>
    <hyperlink ref="F280:G281" location="'5.2研究笔记'!D1:E21" tooltip="返回规则起源目录" display="大守护者" xr:uid="{00000000-0004-0000-0900-00002B000000}"/>
    <hyperlink ref="F243:G244" location="'5.2研究笔记'!D1:E21" tooltip="返回规则起源目录" display="法术叠加" xr:uid="{00000000-0004-0000-0900-00002C000000}"/>
    <hyperlink ref="W1:X2" location="'5.2研究笔记'!A1:C8" tooltip="返回索引" display="单位详解" xr:uid="{00000000-0004-0000-0900-00002D000000}"/>
    <hyperlink ref="AN1:AO2" location="'5.2研究笔记'!A1:C8" tooltip="返回索引" display="数据糖果" xr:uid="{00000000-0004-0000-0900-00002E000000}"/>
    <hyperlink ref="Y4:Z5" location="'5.2研究笔记'!W1:X15" tooltip="返回单位详解目录" display="天使" xr:uid="{00000000-0004-0000-0900-00002F000000}"/>
    <hyperlink ref="Y32:Z33" location="'5.2研究笔记'!W1:X15" tooltip="返回单位详解目录" display="武神" xr:uid="{00000000-0004-0000-0900-000030000000}"/>
    <hyperlink ref="Y60:Z61" location="'5.2研究笔记'!W1:X15" tooltip="返回单位详解目录" display="冰冻法术" xr:uid="{00000000-0004-0000-0900-000031000000}"/>
    <hyperlink ref="Y111:Z112" location="'5.2研究笔记'!W1:X15" tooltip="返回单位详解目录" display="攻城载具" xr:uid="{00000000-0004-0000-0900-000032000000}"/>
    <hyperlink ref="Y154:Z155" location="'5.2研究笔记'!W1:X15" tooltip="返回单位详解目录" display="戈仑冰人" xr:uid="{00000000-0004-0000-0900-000033000000}"/>
    <hyperlink ref="Y180:Z181" location="'5.2研究笔记'!W1:X15" tooltip="返回单位详解目录" display="西瓜投手" xr:uid="{00000000-0004-0000-0900-000034000000}"/>
    <hyperlink ref="Y212:Z213" location="'5.2研究笔记'!W1:X15" display="飞盾战神" xr:uid="{00000000-0004-0000-0900-000035000000}"/>
    <hyperlink ref="Y241:Z242" location="'5.2研究笔记'!W1:X15" tooltip="返回单位详解目录" display="毒药法术" xr:uid="{00000000-0004-0000-0900-000036000000}"/>
    <hyperlink ref="Y340:Z341" location="'5.2研究笔记'!W1:X15" tooltip="返回单位详解目录" display="隐形法术" xr:uid="{00000000-0004-0000-0900-000037000000}"/>
    <hyperlink ref="Y391:Z392" location="'5.2研究笔记'!W1:X15" tooltip="返回单位详解目录" display="炸弹人" xr:uid="{00000000-0004-0000-0900-000038000000}"/>
    <hyperlink ref="Y454:Z455" location="'5.2研究笔记'!W1:X15" tooltip="返回单位详解目录" display="天鹰火炮" xr:uid="{00000000-0004-0000-0900-000039000000}"/>
    <hyperlink ref="Y511:Z512" location="'5.2研究笔记'!W1:X15" tooltip="返回单位详解目录" display="镜像法术" xr:uid="{00000000-0004-0000-0900-00003A000000}"/>
    <hyperlink ref="AP5:AQ6" location="'5.2研究笔记'!AN1:AO11" tooltip="返回目录" display="法师塔VS炸弹人" xr:uid="{00000000-0004-0000-0900-00003B000000}"/>
    <hyperlink ref="AP36:AQ37" location="'5.2研究笔记'!AN1:AO11" tooltip="返回目录" display="天女VS女巫" xr:uid="{00000000-0004-0000-0900-00003C000000}"/>
    <hyperlink ref="AP86:AQ87" location="'5.2研究笔记'!AN1:AO11" tooltip="返回目录" display="天女VS冰人" xr:uid="{00000000-0004-0000-0900-00003D000000}"/>
    <hyperlink ref="AP139:AQ140" location="'5.2研究笔记'!AN1:AO11" tooltip="返回目录" display="天女VS猎犬" xr:uid="{00000000-0004-0000-0900-00003E000000}"/>
    <hyperlink ref="AP184:AQ185" location="'5.2研究笔记'!AN1:AO11" tooltip="返回目录" display="蝙蝠法术" xr:uid="{00000000-0004-0000-0900-00003F000000}"/>
    <hyperlink ref="AP230:AQ231" location="'5.2研究笔记'!AN1:AO11" tooltip="返回目录" display="无敌飞盾" xr:uid="{00000000-0004-0000-0900-000040000000}"/>
    <hyperlink ref="AP249:AQ250" location="'5.2研究笔记'!AN1:AO11" tooltip="返回目录" display="炸弹人开墙交互" xr:uid="{00000000-0004-0000-0900-000041000000}"/>
    <hyperlink ref="AP321:AQ322" location="'5.2研究笔记'!AN1:AO11" tooltip="返回目录" display="毒药击杀时间" xr:uid="{00000000-0004-0000-0900-000042000000}"/>
    <hyperlink ref="AN10" location="'5.2研究笔记'!AP249:BB298" tooltip="需要几个炸弹人才能开墙？" display="7.炸弹人开墙" xr:uid="{00000000-0004-0000-0900-000043000000}"/>
    <hyperlink ref="AN11" location="'5.2研究笔记'!AP321:AW368" tooltip="兄弟，来一瓶满级毒" display="8.毒药击杀时间" xr:uid="{00000000-0004-0000-0900-000044000000}"/>
    <hyperlink ref="AP375:AQ376" location="'5.2研究笔记'!AN1:AO11" tooltip="返回目录" display="夜世界出六农数据" xr:uid="{00000000-0004-0000-0900-000045000000}"/>
    <hyperlink ref="AN12" location="'5.2研究笔记'!AP375:AZ446" tooltip="六农理论" display="9.夜世界六农" xr:uid="{00000000-0004-0000-0900-000046000000}"/>
  </hyperlinks>
  <pageMargins left="0.75" right="0.75" top="1" bottom="1" header="0.5" footer="0.5"/>
  <drawing r:id="rId1"/>
  <extLst>
    <ext xmlns:x14="http://schemas.microsoft.com/office/spreadsheetml/2009/9/main" uri="{78C0D931-6437-407d-A8EE-F0AAD7539E65}">
      <x14:conditionalFormattings>
        <x14:conditionalFormatting xmlns:xm="http://schemas.microsoft.com/office/excel/2006/main">
          <x14:cfRule type="dataBar" id="{D92CF9C5-F7B7-4106-A76C-145D7830BD93}">
            <x14:dataBar minLength="0" maxLength="100" gradient="0">
              <x14:cfvo type="autoMin"/>
              <x14:cfvo type="autoMax"/>
              <x14:negativeFillColor rgb="FFFF0000"/>
              <x14:axisColor rgb="FF000000"/>
            </x14:dataBar>
          </x14:cfRule>
          <xm:sqref>AT327:AU368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AZ106"/>
  <sheetViews>
    <sheetView workbookViewId="0">
      <selection sqref="A1:C2"/>
    </sheetView>
  </sheetViews>
  <sheetFormatPr defaultColWidth="9" defaultRowHeight="14.15"/>
  <cols>
    <col min="1" max="37" width="9" customWidth="1"/>
  </cols>
  <sheetData>
    <row r="1" spans="1:52" ht="14.25" customHeight="1">
      <c r="A1" s="549" t="s">
        <v>2906</v>
      </c>
      <c r="B1" s="549"/>
      <c r="C1" s="549"/>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row>
    <row r="2" spans="1:52" ht="14.25" customHeight="1">
      <c r="A2" s="549"/>
      <c r="B2" s="549"/>
      <c r="C2" s="549"/>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row>
    <row r="3" spans="1:52">
      <c r="A3" s="49" t="s">
        <v>2907</v>
      </c>
      <c r="B3" s="49"/>
      <c r="C3" s="49"/>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row>
    <row r="4" spans="1:52">
      <c r="A4" s="49" t="s">
        <v>2908</v>
      </c>
      <c r="B4" s="49"/>
      <c r="C4" s="49"/>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row>
    <row r="5" spans="1:52" ht="14.25" customHeight="1">
      <c r="A5" s="49"/>
      <c r="B5" s="49"/>
      <c r="C5" s="49"/>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row>
    <row r="6" spans="1:52" ht="14.25" customHeight="1">
      <c r="B6" s="49"/>
      <c r="C6" s="49"/>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row>
    <row r="7" spans="1:52">
      <c r="A7" s="54" t="s">
        <v>2909</v>
      </c>
      <c r="B7" s="49"/>
      <c r="C7" s="49"/>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row>
    <row r="8" spans="1:52">
      <c r="A8" s="54" t="s">
        <v>2910</v>
      </c>
      <c r="B8" s="49"/>
      <c r="C8" s="49"/>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row>
    <row r="9" spans="1:52">
      <c r="A9" s="49"/>
      <c r="B9" s="49"/>
      <c r="C9" s="49"/>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row>
    <row r="10" spans="1:52">
      <c r="A10" s="49"/>
      <c r="B10" s="49"/>
      <c r="C10" s="49"/>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row>
    <row r="11" spans="1:52">
      <c r="A11" s="49"/>
      <c r="B11" s="49"/>
      <c r="C11" s="49"/>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row>
    <row r="12" spans="1:52">
      <c r="A12" s="49"/>
      <c r="B12" s="49"/>
      <c r="C12" s="49"/>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row>
    <row r="13" spans="1:52">
      <c r="A13" s="49"/>
      <c r="B13" s="49"/>
      <c r="C13" s="49"/>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row>
    <row r="14" spans="1:52">
      <c r="A14" s="49"/>
      <c r="B14" s="49"/>
      <c r="C14" s="49"/>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row>
    <row r="15" spans="1:52">
      <c r="A15" s="49"/>
      <c r="B15" s="49"/>
      <c r="C15" s="49"/>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row>
    <row r="16" spans="1:52">
      <c r="A16" s="49"/>
      <c r="B16" s="49"/>
      <c r="C16" s="49"/>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row>
    <row r="17" spans="1:52">
      <c r="A17" s="49"/>
      <c r="B17" s="49"/>
      <c r="C17" s="49"/>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row>
    <row r="18" spans="1:52">
      <c r="A18" s="49"/>
      <c r="B18" s="49"/>
      <c r="C18" s="49"/>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row>
    <row r="19" spans="1:52">
      <c r="A19" s="49"/>
      <c r="B19" s="49"/>
      <c r="C19" s="49"/>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row>
    <row r="20" spans="1:52">
      <c r="A20" s="49"/>
      <c r="B20" s="49"/>
      <c r="C20" s="49"/>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row>
    <row r="21" spans="1:52">
      <c r="A21" s="49"/>
      <c r="B21" s="49"/>
      <c r="C21" s="49"/>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row>
    <row r="22" spans="1:52">
      <c r="A22" s="49"/>
      <c r="B22" s="49"/>
      <c r="C22" s="49"/>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row>
    <row r="23" spans="1:52">
      <c r="A23" s="49"/>
      <c r="B23" s="49"/>
      <c r="C23" s="49"/>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row>
    <row r="24" spans="1:52">
      <c r="A24" s="49"/>
      <c r="B24" s="49"/>
      <c r="C24" s="49"/>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row>
    <row r="25" spans="1:52">
      <c r="A25" s="49"/>
      <c r="B25" s="49"/>
      <c r="C25" s="49"/>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row>
    <row r="26" spans="1:52">
      <c r="A26" s="49"/>
      <c r="B26" s="49"/>
      <c r="C26" s="49"/>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row>
    <row r="27" spans="1:52">
      <c r="A27" s="49"/>
      <c r="B27" s="49"/>
      <c r="C27" s="49"/>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row>
    <row r="28" spans="1:52">
      <c r="A28" s="49"/>
      <c r="B28" s="49"/>
      <c r="C28" s="49"/>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row>
    <row r="29" spans="1:52">
      <c r="A29" s="49"/>
      <c r="B29" s="49"/>
      <c r="C29" s="49"/>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row>
    <row r="30" spans="1:52">
      <c r="A30" s="49"/>
      <c r="B30" s="49"/>
      <c r="C30" s="49"/>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row>
    <row r="31" spans="1:52">
      <c r="A31" s="49"/>
      <c r="B31" s="49"/>
      <c r="C31" s="49"/>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row>
    <row r="32" spans="1:52">
      <c r="A32" s="49"/>
      <c r="B32" s="49"/>
      <c r="C32" s="49"/>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row>
    <row r="33" spans="1:52">
      <c r="A33" s="49"/>
      <c r="B33" s="49"/>
      <c r="C33" s="49"/>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row>
    <row r="34" spans="1:52">
      <c r="A34" s="49"/>
      <c r="B34" s="49"/>
      <c r="C34" s="49"/>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row>
    <row r="35" spans="1:52">
      <c r="A35" s="49"/>
      <c r="B35" s="49"/>
      <c r="C35" s="49"/>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row>
    <row r="36" spans="1:52">
      <c r="A36" s="49"/>
      <c r="B36" s="49"/>
      <c r="C36" s="49"/>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row>
    <row r="37" spans="1:52">
      <c r="A37" s="49"/>
      <c r="B37" s="49"/>
      <c r="C37" s="49"/>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row>
    <row r="38" spans="1:52" ht="14.25" customHeight="1">
      <c r="A38" s="49"/>
      <c r="B38" s="49"/>
      <c r="C38" s="49"/>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row>
    <row r="39" spans="1:52" ht="14.25" customHeight="1">
      <c r="A39" s="49"/>
      <c r="B39" s="49"/>
      <c r="C39" s="49"/>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row>
    <row r="40" spans="1:52">
      <c r="A40" s="49"/>
      <c r="B40" s="49"/>
      <c r="C40" s="49"/>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row>
    <row r="41" spans="1:52">
      <c r="A41" s="49"/>
      <c r="B41" s="49"/>
      <c r="C41" s="49"/>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row>
    <row r="42" spans="1:52">
      <c r="A42" s="49"/>
      <c r="B42" s="49"/>
      <c r="C42" s="49"/>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row>
    <row r="43" spans="1:52">
      <c r="A43" s="49"/>
      <c r="B43" s="49"/>
      <c r="C43" s="49"/>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row>
    <row r="44" spans="1:52">
      <c r="A44" s="49"/>
      <c r="B44" s="49"/>
      <c r="C44" s="49"/>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row>
    <row r="45" spans="1:52">
      <c r="A45" s="49"/>
      <c r="B45" s="49"/>
      <c r="C45" s="49"/>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row>
    <row r="46" spans="1:52">
      <c r="A46" s="49"/>
      <c r="B46" s="49"/>
      <c r="C46" s="49"/>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row>
    <row r="47" spans="1:52">
      <c r="A47" s="49"/>
      <c r="B47" s="49"/>
      <c r="C47" s="49"/>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row>
    <row r="48" spans="1:52">
      <c r="A48" s="49"/>
      <c r="B48" s="49"/>
      <c r="C48" s="49"/>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row>
    <row r="49" spans="1:52">
      <c r="A49" s="49"/>
      <c r="B49" s="49"/>
      <c r="C49" s="49"/>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row>
    <row r="50" spans="1:52">
      <c r="A50" s="49"/>
      <c r="B50" s="49"/>
      <c r="C50" s="49"/>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row>
    <row r="51" spans="1:52">
      <c r="A51" s="49"/>
      <c r="B51" s="49"/>
      <c r="C51" s="49"/>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row>
    <row r="52" spans="1:52">
      <c r="A52" s="49"/>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54"/>
      <c r="AL52" s="54"/>
      <c r="AM52" s="54"/>
      <c r="AN52" s="54"/>
      <c r="AO52" s="54"/>
      <c r="AP52" s="54"/>
      <c r="AQ52" s="54"/>
      <c r="AR52" s="54"/>
      <c r="AS52" s="54"/>
      <c r="AT52" s="54"/>
      <c r="AU52" s="54"/>
      <c r="AV52" s="54"/>
      <c r="AW52" s="54"/>
      <c r="AX52" s="54"/>
      <c r="AY52" s="54"/>
      <c r="AZ52" s="54"/>
    </row>
    <row r="53" spans="1:52">
      <c r="A53" s="49"/>
      <c r="B53" s="49"/>
      <c r="C53" s="49"/>
      <c r="D53" s="586" t="s">
        <v>2911</v>
      </c>
      <c r="E53" s="586"/>
      <c r="F53" s="49"/>
      <c r="G53" s="49"/>
      <c r="H53" s="49"/>
      <c r="I53" s="586" t="s">
        <v>2912</v>
      </c>
      <c r="J53" s="586"/>
      <c r="K53" s="49"/>
      <c r="L53" s="49"/>
      <c r="M53" s="49"/>
      <c r="N53" s="49"/>
      <c r="O53" s="49"/>
      <c r="P53" s="49"/>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row>
    <row r="54" spans="1:52">
      <c r="A54" s="49"/>
      <c r="B54" s="49"/>
      <c r="C54" s="49"/>
      <c r="D54" s="594"/>
      <c r="E54" s="594"/>
      <c r="F54" s="50"/>
      <c r="G54" s="50"/>
      <c r="H54" s="49"/>
      <c r="I54" s="594"/>
      <c r="J54" s="594"/>
      <c r="K54" s="50"/>
      <c r="L54" s="50"/>
      <c r="M54" s="49"/>
      <c r="N54" s="49"/>
      <c r="O54" s="49"/>
      <c r="P54" s="49"/>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row>
    <row r="55" spans="1:52">
      <c r="A55" s="49"/>
      <c r="B55" s="49"/>
      <c r="C55" s="49"/>
      <c r="D55" s="49"/>
      <c r="E55" s="49"/>
      <c r="F55" s="49"/>
      <c r="G55" s="49"/>
      <c r="H55" s="49"/>
      <c r="I55" s="49"/>
      <c r="J55" s="49"/>
      <c r="K55" s="49"/>
      <c r="L55" s="49"/>
      <c r="M55" s="49"/>
      <c r="N55" s="49"/>
      <c r="O55" s="49"/>
      <c r="P55" s="49"/>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row>
    <row r="56" spans="1:52">
      <c r="A56" s="49"/>
      <c r="B56" s="49"/>
      <c r="C56" s="49"/>
      <c r="D56" s="49" t="s">
        <v>2913</v>
      </c>
      <c r="E56" s="49"/>
      <c r="F56" s="49"/>
      <c r="G56" s="49"/>
      <c r="H56" s="49"/>
      <c r="I56" s="49" t="s">
        <v>2914</v>
      </c>
      <c r="J56" s="49"/>
      <c r="K56" s="49"/>
      <c r="L56" s="49"/>
      <c r="M56" s="49"/>
      <c r="N56" s="49"/>
      <c r="O56" s="49"/>
      <c r="P56" s="49"/>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row>
    <row r="57" spans="1:52">
      <c r="A57" s="49"/>
      <c r="B57" s="49"/>
      <c r="C57" s="49"/>
      <c r="D57" s="590" t="s">
        <v>2915</v>
      </c>
      <c r="E57" s="591"/>
      <c r="F57" s="49"/>
      <c r="G57" s="49"/>
      <c r="H57" s="49"/>
      <c r="I57" s="155" t="s">
        <v>2916</v>
      </c>
      <c r="J57" s="49"/>
      <c r="K57" s="49"/>
      <c r="L57" s="49"/>
      <c r="M57" s="49"/>
      <c r="N57" s="49"/>
      <c r="O57" s="49"/>
      <c r="P57" s="49"/>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row>
    <row r="58" spans="1:52">
      <c r="A58" s="49"/>
      <c r="B58" s="49"/>
      <c r="C58" s="49"/>
      <c r="D58" s="155">
        <v>10001</v>
      </c>
      <c r="E58" s="49"/>
      <c r="F58" s="49"/>
      <c r="G58" s="49"/>
      <c r="H58" s="49"/>
      <c r="I58" s="156">
        <v>125</v>
      </c>
      <c r="J58" s="49"/>
      <c r="K58" s="49"/>
      <c r="L58" s="49"/>
      <c r="M58" s="49"/>
      <c r="N58" s="49"/>
      <c r="O58" s="49"/>
      <c r="P58" s="142"/>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row>
    <row r="59" spans="1:52">
      <c r="A59" s="49"/>
      <c r="B59" s="49"/>
      <c r="C59" s="49"/>
      <c r="D59" s="155" t="s">
        <v>2917</v>
      </c>
      <c r="E59" s="49"/>
      <c r="F59" s="49"/>
      <c r="G59" s="49"/>
      <c r="H59" s="49"/>
      <c r="I59" s="590" t="s">
        <v>2915</v>
      </c>
      <c r="J59" s="591"/>
      <c r="K59" s="49"/>
      <c r="L59" s="49"/>
      <c r="M59" s="49"/>
      <c r="N59" s="49"/>
      <c r="O59" s="49"/>
      <c r="P59" s="142"/>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row>
    <row r="60" spans="1:52">
      <c r="A60" s="49"/>
      <c r="B60" s="49"/>
      <c r="C60" s="49"/>
      <c r="D60" s="156">
        <f ca="1">小羊的家备份!BH12</f>
        <v>25</v>
      </c>
      <c r="E60" s="49"/>
      <c r="F60" s="49"/>
      <c r="G60" s="49"/>
      <c r="H60" s="49"/>
      <c r="I60" s="592">
        <f ca="1">小羊的家备份!BJ45</f>
        <v>99999</v>
      </c>
      <c r="J60" s="593"/>
      <c r="K60" s="49"/>
      <c r="L60" s="49"/>
      <c r="M60" s="49"/>
      <c r="N60" s="49"/>
      <c r="O60" s="49"/>
      <c r="P60" s="142"/>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row>
    <row r="61" spans="1:52">
      <c r="A61" s="49"/>
      <c r="B61" s="49"/>
      <c r="C61" s="49"/>
      <c r="D61" s="49"/>
      <c r="E61" s="49"/>
      <c r="F61" s="49"/>
      <c r="G61" s="49"/>
      <c r="H61" s="49"/>
      <c r="I61" s="49"/>
      <c r="J61" s="49"/>
      <c r="K61" s="49"/>
      <c r="L61" s="49"/>
      <c r="M61" s="49"/>
      <c r="N61" s="49"/>
      <c r="O61" s="49"/>
      <c r="P61" s="49"/>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row>
    <row r="62" spans="1:52">
      <c r="A62" s="49"/>
      <c r="B62" s="49"/>
      <c r="C62" s="49"/>
      <c r="D62" s="49"/>
      <c r="E62" s="49"/>
      <c r="F62" s="49"/>
      <c r="G62" s="49"/>
      <c r="H62" s="49"/>
      <c r="I62" s="49"/>
      <c r="J62" s="49"/>
      <c r="K62" s="49"/>
      <c r="L62" s="49"/>
      <c r="M62" s="49"/>
      <c r="N62" s="49"/>
      <c r="O62" s="49"/>
      <c r="P62" s="49"/>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row>
    <row r="63" spans="1:52">
      <c r="A63" s="49"/>
      <c r="B63" s="49"/>
      <c r="C63" s="49"/>
      <c r="D63" s="590" t="s">
        <v>2918</v>
      </c>
      <c r="E63" s="591"/>
      <c r="F63" s="49"/>
      <c r="G63" s="49"/>
      <c r="H63" s="49"/>
      <c r="I63" s="155" t="s">
        <v>2916</v>
      </c>
      <c r="J63" s="49"/>
      <c r="K63" s="49"/>
      <c r="L63" s="49"/>
      <c r="M63" s="49"/>
      <c r="N63" s="49"/>
      <c r="O63" s="49"/>
      <c r="P63" s="49"/>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row>
    <row r="64" spans="1:52">
      <c r="A64" s="49"/>
      <c r="B64" s="49"/>
      <c r="C64" s="49"/>
      <c r="D64" s="157">
        <v>169</v>
      </c>
      <c r="E64" s="70" t="s">
        <v>2919</v>
      </c>
      <c r="F64" s="49"/>
      <c r="G64" s="49"/>
      <c r="H64" s="49"/>
      <c r="I64" s="156">
        <v>975</v>
      </c>
      <c r="J64" s="49"/>
      <c r="K64" s="49"/>
      <c r="L64" s="49"/>
      <c r="M64" s="49"/>
      <c r="N64" s="49"/>
      <c r="O64" s="49"/>
      <c r="P64" s="49"/>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row>
    <row r="65" spans="1:52">
      <c r="A65" s="49"/>
      <c r="B65" s="49"/>
      <c r="C65" s="49"/>
      <c r="D65" s="155" t="s">
        <v>2917</v>
      </c>
      <c r="E65" s="49"/>
      <c r="F65" s="49"/>
      <c r="G65" s="49"/>
      <c r="H65" s="49"/>
      <c r="I65" s="590" t="s">
        <v>2918</v>
      </c>
      <c r="J65" s="591"/>
      <c r="K65" s="49"/>
      <c r="L65" s="49"/>
      <c r="M65" s="49"/>
      <c r="N65" s="49"/>
      <c r="O65" s="49"/>
      <c r="P65" s="49"/>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row>
    <row r="66" spans="1:52">
      <c r="A66" s="49"/>
      <c r="B66" s="49"/>
      <c r="C66" s="49"/>
      <c r="D66" s="156">
        <f ca="1">小羊的家备份!BH30</f>
        <v>1006</v>
      </c>
      <c r="E66" s="49"/>
      <c r="F66" s="49"/>
      <c r="G66" s="49"/>
      <c r="H66" s="49"/>
      <c r="I66" s="156">
        <f ca="1">小羊的家备份!BJ63</f>
        <v>163.13999999999999</v>
      </c>
      <c r="J66" s="70" t="s">
        <v>2919</v>
      </c>
      <c r="K66" s="49"/>
      <c r="L66" s="49"/>
      <c r="M66" s="49"/>
      <c r="N66" s="49"/>
      <c r="O66" s="49"/>
      <c r="P66" s="49"/>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row>
    <row r="67" spans="1:52">
      <c r="A67" s="49"/>
      <c r="B67" s="49"/>
      <c r="C67" s="49"/>
      <c r="D67" s="49"/>
      <c r="E67" s="49"/>
      <c r="F67" s="49"/>
      <c r="G67" s="49"/>
      <c r="H67" s="49"/>
      <c r="I67" s="49"/>
      <c r="J67" s="49"/>
      <c r="K67" s="49"/>
      <c r="L67" s="49"/>
      <c r="M67" s="49"/>
      <c r="N67" s="49"/>
      <c r="O67" s="49"/>
      <c r="P67" s="49"/>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row>
    <row r="68" spans="1:52">
      <c r="A68" s="49"/>
      <c r="B68" s="49"/>
      <c r="C68" s="49"/>
      <c r="D68" s="49" t="s">
        <v>2920</v>
      </c>
      <c r="E68" s="49"/>
      <c r="F68" s="49"/>
      <c r="G68" s="49"/>
      <c r="H68" s="49"/>
      <c r="I68" s="49"/>
      <c r="J68" s="49"/>
      <c r="K68" s="49"/>
      <c r="L68" s="49"/>
      <c r="M68" s="49"/>
      <c r="N68" s="49"/>
      <c r="O68" s="49"/>
      <c r="P68" s="49"/>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row>
    <row r="69" spans="1:52">
      <c r="A69" s="49"/>
      <c r="B69" s="49"/>
      <c r="C69" s="49"/>
      <c r="D69" s="49"/>
      <c r="E69" s="49"/>
      <c r="F69" s="49"/>
      <c r="G69" s="49"/>
      <c r="H69" s="49"/>
      <c r="I69" s="49"/>
      <c r="J69" s="49"/>
      <c r="K69" s="49"/>
      <c r="L69" s="49"/>
      <c r="M69" s="49"/>
      <c r="N69" s="49"/>
      <c r="O69" s="49"/>
      <c r="P69" s="49"/>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row>
    <row r="70" spans="1:52">
      <c r="A70" s="49"/>
      <c r="B70" s="49"/>
      <c r="C70" s="49"/>
      <c r="D70" s="49"/>
      <c r="E70" s="49"/>
      <c r="F70" s="49"/>
      <c r="G70" s="49"/>
      <c r="H70" s="49"/>
      <c r="I70" s="49"/>
      <c r="J70" s="49"/>
      <c r="K70" s="49"/>
      <c r="L70" s="49"/>
      <c r="M70" s="49"/>
      <c r="N70" s="49"/>
      <c r="O70" s="49"/>
      <c r="P70" s="49"/>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row>
    <row r="71" spans="1:52">
      <c r="A71" s="49"/>
      <c r="B71" s="49"/>
      <c r="C71" s="49"/>
      <c r="D71" s="49"/>
      <c r="E71" s="49"/>
      <c r="F71" s="49"/>
      <c r="G71" s="49"/>
      <c r="H71" s="49"/>
      <c r="I71" s="49"/>
      <c r="J71" s="49"/>
      <c r="K71" s="49"/>
      <c r="L71" s="49"/>
      <c r="M71" s="49"/>
      <c r="N71" s="49"/>
      <c r="O71" s="49"/>
      <c r="P71" s="49"/>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row>
    <row r="72" spans="1:52">
      <c r="A72" s="49"/>
      <c r="B72" s="49"/>
      <c r="C72" s="49"/>
      <c r="D72" s="596" t="s">
        <v>2921</v>
      </c>
      <c r="E72" s="596"/>
      <c r="F72" s="586"/>
      <c r="G72" s="49"/>
      <c r="H72" s="49"/>
      <c r="I72" s="49"/>
      <c r="J72" s="49"/>
      <c r="K72" s="49"/>
      <c r="L72" s="49"/>
      <c r="M72" s="49"/>
      <c r="N72" s="49"/>
      <c r="O72" s="49"/>
      <c r="P72" s="49"/>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row>
    <row r="73" spans="1:52">
      <c r="A73" s="49"/>
      <c r="B73" s="49"/>
      <c r="C73" s="49"/>
      <c r="D73" s="597"/>
      <c r="E73" s="597"/>
      <c r="F73" s="594"/>
      <c r="G73" s="50"/>
      <c r="H73" s="50"/>
      <c r="I73" s="50"/>
      <c r="J73" s="50"/>
      <c r="K73" s="50"/>
      <c r="L73" s="50"/>
      <c r="M73" s="50"/>
      <c r="N73" s="50"/>
      <c r="O73" s="49"/>
      <c r="P73" s="49"/>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row>
    <row r="74" spans="1:52">
      <c r="A74" s="49"/>
      <c r="B74" s="49"/>
      <c r="C74" s="49"/>
      <c r="D74" s="49" t="s">
        <v>2922</v>
      </c>
      <c r="E74" s="49"/>
      <c r="F74" s="49"/>
      <c r="G74" s="49"/>
      <c r="H74" s="49"/>
      <c r="I74" s="49"/>
      <c r="J74" s="49"/>
      <c r="K74" s="49"/>
      <c r="L74" s="49"/>
      <c r="M74" s="49"/>
      <c r="N74" s="49"/>
      <c r="O74" s="49"/>
      <c r="P74" s="49"/>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row>
    <row r="75" spans="1:52">
      <c r="A75" s="49"/>
      <c r="B75" s="49"/>
      <c r="C75" s="49"/>
      <c r="D75" s="49"/>
      <c r="E75" s="49"/>
      <c r="F75" s="49"/>
      <c r="G75" s="49"/>
      <c r="H75" s="49"/>
      <c r="I75" s="49"/>
      <c r="J75" s="49"/>
      <c r="K75" s="49"/>
      <c r="L75" s="49"/>
      <c r="M75" s="49"/>
      <c r="N75" s="49"/>
      <c r="O75" s="49"/>
      <c r="P75" s="49"/>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row>
    <row r="76" spans="1:52">
      <c r="A76" s="49"/>
      <c r="B76" s="49"/>
      <c r="C76" s="49"/>
      <c r="D76" s="49" t="s">
        <v>2923</v>
      </c>
      <c r="E76" s="49">
        <v>9</v>
      </c>
      <c r="F76" s="49"/>
      <c r="G76" s="49"/>
      <c r="H76" s="49" t="s">
        <v>2924</v>
      </c>
      <c r="I76" s="49">
        <f>INDEX('2.2家乡支援军'!I7:I15,E76)</f>
        <v>560</v>
      </c>
      <c r="J76" s="49"/>
      <c r="K76" s="49"/>
      <c r="L76" s="49"/>
      <c r="M76" s="49"/>
      <c r="N76" s="49"/>
      <c r="O76" s="49"/>
      <c r="P76" s="49"/>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row>
    <row r="77" spans="1:52">
      <c r="A77" s="49"/>
      <c r="B77" s="49"/>
      <c r="C77" s="49"/>
      <c r="D77" s="49" t="s">
        <v>2925</v>
      </c>
      <c r="E77" s="49">
        <v>5</v>
      </c>
      <c r="F77" s="49"/>
      <c r="G77" s="49"/>
      <c r="H77" s="49" t="s">
        <v>2926</v>
      </c>
      <c r="I77" s="49">
        <f>INDEX('2.2家乡支援军'!S60:S64,E77)</f>
        <v>0.28999999999999998</v>
      </c>
      <c r="J77" s="49"/>
      <c r="K77" s="49"/>
      <c r="L77" s="49"/>
      <c r="M77" s="49"/>
      <c r="N77" s="49"/>
      <c r="O77" s="49"/>
      <c r="P77" s="49"/>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row>
    <row r="78" spans="1:52">
      <c r="A78" s="49"/>
      <c r="B78" s="49"/>
      <c r="C78" s="49"/>
      <c r="D78" s="49"/>
      <c r="E78" s="49"/>
      <c r="F78" s="49"/>
      <c r="G78" s="49"/>
      <c r="H78" s="49"/>
      <c r="I78" s="49"/>
      <c r="J78" s="49"/>
      <c r="K78" s="49"/>
      <c r="L78" s="49"/>
      <c r="M78" s="49"/>
      <c r="N78" s="49"/>
      <c r="O78" s="49"/>
      <c r="P78" s="49"/>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row>
    <row r="79" spans="1:52">
      <c r="A79" s="49"/>
      <c r="B79" s="49"/>
      <c r="C79" s="49"/>
      <c r="D79" s="49" t="s">
        <v>2927</v>
      </c>
      <c r="E79" s="49"/>
      <c r="F79" s="49" t="s">
        <v>2</v>
      </c>
      <c r="G79" s="49"/>
      <c r="H79" s="49" t="s">
        <v>2928</v>
      </c>
      <c r="I79" s="158">
        <f>VLOOKUP(F79,小羊的家备份!CM4:CN23,2,0)</f>
        <v>2250</v>
      </c>
      <c r="J79" s="49" t="s">
        <v>2929</v>
      </c>
      <c r="K79" s="49"/>
      <c r="L79" s="49"/>
      <c r="M79" s="49"/>
      <c r="N79" s="49"/>
      <c r="O79" s="49"/>
      <c r="P79" s="49"/>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row>
    <row r="80" spans="1:52">
      <c r="A80" s="49"/>
      <c r="B80" s="49"/>
      <c r="C80" s="49"/>
      <c r="D80" s="49"/>
      <c r="E80" s="49"/>
      <c r="F80" s="49"/>
      <c r="G80" s="49"/>
      <c r="H80" s="49" t="s">
        <v>2930</v>
      </c>
      <c r="I80" s="49"/>
      <c r="J80" s="49" t="s">
        <v>2931</v>
      </c>
      <c r="K80" s="49"/>
      <c r="L80" s="49"/>
      <c r="M80" s="49"/>
      <c r="N80" s="49"/>
      <c r="O80" s="49"/>
      <c r="P80" s="49"/>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row>
    <row r="81" spans="1:52">
      <c r="A81" s="49"/>
      <c r="B81" s="49"/>
      <c r="C81" s="49"/>
      <c r="D81" s="49"/>
      <c r="E81" s="49"/>
      <c r="F81" s="49"/>
      <c r="G81" s="49"/>
      <c r="H81" s="49"/>
      <c r="I81" s="49"/>
      <c r="J81" s="49"/>
      <c r="K81" s="49"/>
      <c r="L81" s="49"/>
      <c r="M81" s="49"/>
      <c r="N81" s="49"/>
      <c r="O81" s="49"/>
      <c r="P81" s="49"/>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row>
    <row r="82" spans="1:52">
      <c r="A82" s="49"/>
      <c r="B82" s="49"/>
      <c r="C82" s="49"/>
      <c r="D82" s="67" t="s">
        <v>2932</v>
      </c>
      <c r="E82" s="67"/>
      <c r="F82" s="72">
        <f>小羊的家备份!CC4</f>
        <v>2250</v>
      </c>
      <c r="G82" s="49"/>
      <c r="H82" s="49"/>
      <c r="I82" s="49"/>
      <c r="J82" s="49"/>
      <c r="K82" s="49"/>
      <c r="L82" s="49"/>
      <c r="M82" s="49"/>
      <c r="N82" s="49"/>
      <c r="O82" s="49"/>
      <c r="P82" s="49"/>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row>
    <row r="83" spans="1:52">
      <c r="A83" s="49"/>
      <c r="B83" s="49"/>
      <c r="C83" s="49"/>
      <c r="D83" s="49" t="s">
        <v>2933</v>
      </c>
      <c r="E83" s="49"/>
      <c r="F83" s="49" t="s">
        <v>62</v>
      </c>
      <c r="G83" s="49"/>
      <c r="H83" s="49"/>
      <c r="I83" s="49"/>
      <c r="J83" s="49"/>
      <c r="K83" s="49"/>
      <c r="L83" s="49"/>
      <c r="M83" s="49"/>
      <c r="N83" s="49"/>
      <c r="O83" s="49"/>
      <c r="P83" s="49"/>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row>
    <row r="84" spans="1:52">
      <c r="A84" s="49"/>
      <c r="B84" s="49"/>
      <c r="C84" s="49"/>
      <c r="D84" s="595">
        <f>ROUND(小羊的家备份!CJ4,0)</f>
        <v>3</v>
      </c>
      <c r="E84" s="595"/>
      <c r="F84" s="595">
        <f>ROUND(小羊的家备份!CK4,0)</f>
        <v>1</v>
      </c>
      <c r="G84" s="595"/>
      <c r="H84" s="49"/>
      <c r="I84" s="595">
        <f>D84+F84</f>
        <v>4</v>
      </c>
      <c r="J84" s="595"/>
      <c r="K84" s="49"/>
      <c r="L84" s="49"/>
      <c r="M84" s="49"/>
      <c r="N84" s="49"/>
      <c r="O84" s="49"/>
      <c r="P84" s="49"/>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row>
    <row r="85" spans="1:52">
      <c r="A85" s="49"/>
      <c r="B85" s="49"/>
      <c r="C85" s="49"/>
      <c r="D85" s="595"/>
      <c r="E85" s="595"/>
      <c r="F85" s="595"/>
      <c r="G85" s="595"/>
      <c r="H85" s="49"/>
      <c r="I85" s="595"/>
      <c r="J85" s="595"/>
      <c r="K85" s="49"/>
      <c r="L85" s="49"/>
      <c r="M85" s="49"/>
      <c r="N85" s="49"/>
      <c r="O85" s="49"/>
      <c r="P85" s="49"/>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row>
    <row r="86" spans="1:52">
      <c r="A86" s="49"/>
      <c r="B86" s="49"/>
      <c r="C86" s="49"/>
      <c r="D86" s="49" t="s">
        <v>2934</v>
      </c>
      <c r="E86" s="49"/>
      <c r="F86" s="49" t="s">
        <v>2935</v>
      </c>
      <c r="G86" s="49"/>
      <c r="H86" s="49"/>
      <c r="I86" s="49" t="s">
        <v>2936</v>
      </c>
      <c r="J86" s="49"/>
      <c r="K86" s="49" t="s">
        <v>2937</v>
      </c>
      <c r="L86" s="49"/>
      <c r="M86" s="49"/>
      <c r="N86" s="49"/>
      <c r="O86" s="49"/>
      <c r="P86" s="49"/>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49"/>
    </row>
    <row r="87" spans="1:52">
      <c r="A87" s="49"/>
      <c r="B87" s="49"/>
      <c r="C87" s="49"/>
      <c r="D87" s="595">
        <f>D84*小羊的家备份!CC8</f>
        <v>1680</v>
      </c>
      <c r="E87" s="595"/>
      <c r="F87" s="595">
        <f>VLOOKUP(F84,小羊的家备份!CD3:CE305,2,0)*小羊的家备份!CC6*小羊的家备份!CC4</f>
        <v>652.5</v>
      </c>
      <c r="G87" s="595"/>
      <c r="H87" s="49"/>
      <c r="I87" s="595">
        <f>F87+D87-小羊的家备份!CC4</f>
        <v>82.5</v>
      </c>
      <c r="J87" s="595"/>
      <c r="K87" s="595">
        <f>INT(I87/45)</f>
        <v>1</v>
      </c>
      <c r="L87" s="595"/>
      <c r="M87" s="49"/>
      <c r="N87" s="49"/>
      <c r="O87" s="49"/>
      <c r="P87" s="49"/>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49"/>
    </row>
    <row r="88" spans="1:52">
      <c r="A88" s="49"/>
      <c r="B88" s="49"/>
      <c r="C88" s="49"/>
      <c r="D88" s="595"/>
      <c r="E88" s="595"/>
      <c r="F88" s="595"/>
      <c r="G88" s="595"/>
      <c r="H88" s="49"/>
      <c r="I88" s="595"/>
      <c r="J88" s="595"/>
      <c r="K88" s="595"/>
      <c r="L88" s="595"/>
      <c r="M88" s="49"/>
      <c r="N88" s="49"/>
      <c r="O88" s="49"/>
      <c r="P88" s="49"/>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49"/>
    </row>
    <row r="89" spans="1:52">
      <c r="A89" s="49"/>
      <c r="B89" s="49"/>
      <c r="C89" s="49"/>
      <c r="D89" s="62"/>
      <c r="E89" s="62"/>
      <c r="F89" s="62"/>
      <c r="G89" s="49"/>
      <c r="H89" s="49"/>
      <c r="I89" s="49"/>
      <c r="J89" s="49"/>
      <c r="K89" s="49" t="s">
        <v>2938</v>
      </c>
      <c r="L89" s="49"/>
      <c r="M89" s="49"/>
      <c r="N89" s="49"/>
      <c r="O89" s="49"/>
      <c r="P89" s="49"/>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49"/>
    </row>
    <row r="90" spans="1:52">
      <c r="A90" s="49"/>
      <c r="B90" s="49"/>
      <c r="C90" s="49"/>
      <c r="D90" s="70" t="s">
        <v>2939</v>
      </c>
      <c r="E90" s="62"/>
      <c r="F90" s="62"/>
      <c r="G90" s="49"/>
      <c r="H90" s="49"/>
      <c r="I90" s="49"/>
      <c r="J90" s="49"/>
      <c r="K90" s="49"/>
      <c r="L90" s="49"/>
      <c r="M90" s="49"/>
      <c r="N90" s="49"/>
      <c r="O90" s="49"/>
      <c r="P90" s="49"/>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49"/>
    </row>
    <row r="91" spans="1:52">
      <c r="A91" s="49"/>
      <c r="B91" s="49"/>
      <c r="C91" s="49"/>
      <c r="D91" s="62" t="s">
        <v>5</v>
      </c>
      <c r="E91" s="62" t="s">
        <v>62</v>
      </c>
      <c r="F91" s="62" t="s">
        <v>2940</v>
      </c>
      <c r="G91" s="49" t="s">
        <v>2936</v>
      </c>
      <c r="H91" s="49"/>
      <c r="I91" s="49"/>
      <c r="J91" s="49"/>
      <c r="K91" s="49"/>
      <c r="L91" s="49"/>
      <c r="M91" s="49"/>
      <c r="N91" s="49"/>
      <c r="O91" s="49"/>
      <c r="P91" s="49"/>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49"/>
    </row>
    <row r="92" spans="1:52">
      <c r="A92" s="49"/>
      <c r="B92" s="49"/>
      <c r="C92" s="49"/>
      <c r="D92" s="62" t="str">
        <f>IF(ISNUMBER(小羊的家备份!CJ5),小羊的家备份!CJ5,"")</f>
        <v/>
      </c>
      <c r="E92" s="62" t="str">
        <f>IF(ISNUMBER(小羊的家备份!CK5),小羊的家备份!CK5,"")</f>
        <v/>
      </c>
      <c r="F92" s="62" t="str">
        <f>IFERROR(D92+E92,"")</f>
        <v/>
      </c>
      <c r="G92" s="62" t="str">
        <f>IF(小羊的家备份!CL5&gt;0,小羊的家备份!CL5,"")</f>
        <v/>
      </c>
      <c r="H92" s="49"/>
      <c r="I92" s="49"/>
      <c r="J92" s="49"/>
      <c r="K92" s="49"/>
      <c r="L92" s="49"/>
      <c r="M92" s="49"/>
      <c r="N92" s="49"/>
      <c r="O92" s="49"/>
      <c r="P92" s="49"/>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49"/>
    </row>
    <row r="93" spans="1:52">
      <c r="A93" s="49"/>
      <c r="B93" s="49"/>
      <c r="C93" s="49"/>
      <c r="D93" s="62" t="str">
        <f>IF(ISNUMBER(小羊的家备份!CJ6),小羊的家备份!CJ6,"")</f>
        <v/>
      </c>
      <c r="E93" s="62" t="str">
        <f>IF(ISNUMBER(小羊的家备份!CK6),小羊的家备份!CK6,"")</f>
        <v/>
      </c>
      <c r="F93" s="62" t="str">
        <f t="shared" ref="F93:F100" si="0">IFERROR(D93+E93,"")</f>
        <v/>
      </c>
      <c r="G93" s="62" t="str">
        <f>IF(小羊的家备份!CL6&gt;0,小羊的家备份!CL6,"")</f>
        <v/>
      </c>
      <c r="H93" s="49"/>
      <c r="I93" s="49"/>
      <c r="J93" s="49"/>
      <c r="K93" s="49"/>
      <c r="L93" s="49"/>
      <c r="M93" s="49"/>
      <c r="N93" s="49"/>
      <c r="O93" s="49"/>
      <c r="P93" s="49"/>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49"/>
    </row>
    <row r="94" spans="1:52">
      <c r="A94" s="49"/>
      <c r="B94" s="49"/>
      <c r="C94" s="49"/>
      <c r="D94" s="62" t="str">
        <f>IF(ISNUMBER(小羊的家备份!CJ7),小羊的家备份!CJ7,"")</f>
        <v/>
      </c>
      <c r="E94" s="62" t="str">
        <f>IF(ISNUMBER(小羊的家备份!CK7),小羊的家备份!CK7,"")</f>
        <v/>
      </c>
      <c r="F94" s="62" t="str">
        <f t="shared" si="0"/>
        <v/>
      </c>
      <c r="G94" s="62" t="str">
        <f>IF(小羊的家备份!CL7&gt;0,小羊的家备份!CL7,"")</f>
        <v/>
      </c>
      <c r="H94" s="49"/>
      <c r="I94" s="49"/>
      <c r="J94" s="49"/>
      <c r="K94" s="49"/>
      <c r="L94" s="49"/>
      <c r="M94" s="49"/>
      <c r="N94" s="49"/>
      <c r="O94" s="49"/>
      <c r="P94" s="49"/>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49"/>
    </row>
    <row r="95" spans="1:52">
      <c r="A95" s="49"/>
      <c r="B95" s="49"/>
      <c r="C95" s="49"/>
      <c r="D95" s="62" t="str">
        <f>IF(ISNUMBER(小羊的家备份!CJ8),小羊的家备份!CJ8,"")</f>
        <v/>
      </c>
      <c r="E95" s="62" t="str">
        <f>IF(ISNUMBER(小羊的家备份!CK8),小羊的家备份!CK8,"")</f>
        <v/>
      </c>
      <c r="F95" s="62" t="str">
        <f t="shared" si="0"/>
        <v/>
      </c>
      <c r="G95" s="62" t="str">
        <f>IF(小羊的家备份!CL8&gt;0,小羊的家备份!CL8,"")</f>
        <v/>
      </c>
      <c r="H95" s="49"/>
      <c r="I95" s="49"/>
      <c r="J95" s="49"/>
      <c r="K95" s="49"/>
      <c r="L95" s="49"/>
      <c r="M95" s="49"/>
      <c r="N95" s="49"/>
      <c r="O95" s="49"/>
      <c r="P95" s="49"/>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49"/>
    </row>
    <row r="96" spans="1:52">
      <c r="A96" s="49"/>
      <c r="B96" s="49"/>
      <c r="C96" s="49"/>
      <c r="D96" s="62" t="str">
        <f>IF(ISNUMBER(小羊的家备份!CJ9),小羊的家备份!CJ9,"")</f>
        <v/>
      </c>
      <c r="E96" s="62" t="str">
        <f>IF(ISNUMBER(小羊的家备份!CK9),小羊的家备份!CK9,"")</f>
        <v/>
      </c>
      <c r="F96" s="62" t="str">
        <f t="shared" si="0"/>
        <v/>
      </c>
      <c r="G96" s="62" t="str">
        <f>IF(小羊的家备份!CL9&gt;0,小羊的家备份!CL9,"")</f>
        <v/>
      </c>
      <c r="H96" s="49"/>
      <c r="I96" s="49"/>
      <c r="J96" s="49"/>
      <c r="K96" s="49"/>
      <c r="L96" s="49"/>
      <c r="M96" s="49"/>
      <c r="N96" s="49"/>
      <c r="O96" s="49"/>
      <c r="P96" s="49"/>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49"/>
    </row>
    <row r="97" spans="1:52">
      <c r="A97" s="49"/>
      <c r="B97" s="49"/>
      <c r="C97" s="49"/>
      <c r="D97" s="62" t="str">
        <f>IF(ISNUMBER(小羊的家备份!CJ10),小羊的家备份!CJ10,"")</f>
        <v/>
      </c>
      <c r="E97" s="62" t="str">
        <f>IF(ISNUMBER(小羊的家备份!CK10),小羊的家备份!CK10,"")</f>
        <v/>
      </c>
      <c r="F97" s="62" t="str">
        <f t="shared" si="0"/>
        <v/>
      </c>
      <c r="G97" s="62" t="str">
        <f>IF(小羊的家备份!CL10&gt;0,小羊的家备份!CL10,"")</f>
        <v/>
      </c>
      <c r="H97" s="49"/>
      <c r="I97" s="49"/>
      <c r="J97" s="49"/>
      <c r="K97" s="49"/>
      <c r="L97" s="49"/>
      <c r="M97" s="49"/>
      <c r="N97" s="49"/>
      <c r="O97" s="49"/>
      <c r="P97" s="49"/>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49"/>
    </row>
    <row r="98" spans="1:52">
      <c r="A98" s="49"/>
      <c r="B98" s="49"/>
      <c r="C98" s="49"/>
      <c r="D98" s="62" t="str">
        <f>IF(ISNUMBER(小羊的家备份!CJ11),小羊的家备份!CJ11,"")</f>
        <v/>
      </c>
      <c r="E98" s="62" t="str">
        <f>IF(ISNUMBER(小羊的家备份!CK11),小羊的家备份!CK11,"")</f>
        <v/>
      </c>
      <c r="F98" s="62" t="str">
        <f t="shared" si="0"/>
        <v/>
      </c>
      <c r="G98" s="62" t="str">
        <f>IF(小羊的家备份!CL11&gt;0,小羊的家备份!CL11,"")</f>
        <v/>
      </c>
      <c r="H98" s="49"/>
      <c r="I98" s="49"/>
      <c r="J98" s="49"/>
      <c r="K98" s="49"/>
      <c r="L98" s="49"/>
      <c r="M98" s="49"/>
      <c r="N98" s="49"/>
      <c r="O98" s="49"/>
      <c r="P98" s="49"/>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49"/>
    </row>
    <row r="99" spans="1:52">
      <c r="A99" s="49"/>
      <c r="B99" s="49"/>
      <c r="C99" s="49"/>
      <c r="D99" s="62" t="str">
        <f>IF(ISNUMBER(小羊的家备份!CJ12),小羊的家备份!CJ12,"")</f>
        <v/>
      </c>
      <c r="E99" s="62" t="str">
        <f>IF(ISNUMBER(小羊的家备份!CK12),小羊的家备份!CK12,"")</f>
        <v/>
      </c>
      <c r="F99" s="62" t="str">
        <f t="shared" si="0"/>
        <v/>
      </c>
      <c r="G99" s="62" t="str">
        <f>IF(小羊的家备份!CL12&gt;0,小羊的家备份!CL12,"")</f>
        <v/>
      </c>
      <c r="H99" s="49"/>
      <c r="I99" s="49"/>
      <c r="J99" s="49"/>
      <c r="K99" s="49"/>
      <c r="L99" s="49"/>
      <c r="M99" s="49"/>
      <c r="N99" s="49"/>
      <c r="O99" s="49"/>
      <c r="P99" s="49"/>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49"/>
    </row>
    <row r="100" spans="1:52">
      <c r="A100" s="49"/>
      <c r="B100" s="49"/>
      <c r="C100" s="49"/>
      <c r="D100" s="62" t="str">
        <f>IF(ISNUMBER(小羊的家备份!CJ13),小羊的家备份!CJ13,"")</f>
        <v/>
      </c>
      <c r="E100" s="62" t="str">
        <f>IF(ISNUMBER(小羊的家备份!CK13),小羊的家备份!CK13,"")</f>
        <v/>
      </c>
      <c r="F100" s="62" t="str">
        <f t="shared" si="0"/>
        <v/>
      </c>
      <c r="G100" s="62" t="str">
        <f>IF(小羊的家备份!CL13&gt;0,小羊的家备份!CL13,"")</f>
        <v/>
      </c>
      <c r="H100" s="49"/>
      <c r="I100" s="49"/>
      <c r="J100" s="49"/>
      <c r="K100" s="49"/>
      <c r="L100" s="49"/>
      <c r="M100" s="49"/>
      <c r="N100" s="49"/>
      <c r="O100" s="49"/>
      <c r="P100" s="49"/>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49"/>
    </row>
    <row r="101" spans="1:52">
      <c r="A101" s="49"/>
      <c r="B101" s="49"/>
      <c r="C101" s="49"/>
      <c r="D101" s="49"/>
      <c r="E101" s="49"/>
      <c r="F101" s="49"/>
      <c r="G101" s="49"/>
      <c r="H101" s="49"/>
      <c r="I101" s="49"/>
      <c r="J101" s="49"/>
      <c r="K101" s="49"/>
      <c r="L101" s="49"/>
      <c r="M101" s="49"/>
      <c r="N101" s="49"/>
      <c r="O101" s="49"/>
      <c r="P101" s="49"/>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49"/>
    </row>
    <row r="102" spans="1:52">
      <c r="A102" s="49"/>
      <c r="B102" s="49"/>
      <c r="C102" s="49"/>
      <c r="D102" s="49"/>
      <c r="E102" s="49"/>
      <c r="F102" s="49"/>
      <c r="G102" s="49"/>
      <c r="H102" s="49"/>
      <c r="I102" s="49"/>
      <c r="J102" s="49"/>
      <c r="K102" s="49"/>
      <c r="L102" s="49"/>
      <c r="M102" s="49"/>
      <c r="N102" s="49"/>
      <c r="O102" s="49"/>
      <c r="P102" s="49"/>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49"/>
    </row>
    <row r="103" spans="1:52">
      <c r="A103" s="49"/>
      <c r="B103" s="49"/>
      <c r="C103" s="49"/>
      <c r="D103" s="49"/>
      <c r="E103" s="49"/>
      <c r="F103" s="49"/>
      <c r="G103" s="49"/>
      <c r="H103" s="49"/>
      <c r="I103" s="49"/>
      <c r="J103" s="49"/>
      <c r="K103" s="49"/>
      <c r="L103" s="49"/>
      <c r="M103" s="49"/>
      <c r="N103" s="49"/>
      <c r="O103" s="49"/>
      <c r="P103" s="49"/>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49"/>
    </row>
    <row r="104" spans="1:52">
      <c r="A104" s="49"/>
      <c r="B104" s="49"/>
      <c r="C104" s="49"/>
      <c r="D104" s="49"/>
      <c r="E104" s="49"/>
      <c r="F104" s="49"/>
      <c r="G104" s="49"/>
      <c r="H104" s="49"/>
      <c r="I104" s="49"/>
      <c r="J104" s="49"/>
      <c r="K104" s="49"/>
      <c r="L104" s="49"/>
      <c r="M104" s="49"/>
      <c r="N104" s="49"/>
      <c r="O104" s="49"/>
      <c r="P104" s="49"/>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49"/>
    </row>
    <row r="105" spans="1:52">
      <c r="A105" s="49"/>
      <c r="B105" s="49"/>
      <c r="C105" s="49"/>
      <c r="D105" s="49"/>
      <c r="E105" s="49"/>
      <c r="F105" s="49"/>
      <c r="G105" s="49"/>
      <c r="H105" s="49"/>
      <c r="I105" s="49"/>
      <c r="J105" s="49"/>
      <c r="K105" s="49"/>
      <c r="L105" s="49"/>
      <c r="M105" s="49"/>
      <c r="N105" s="49"/>
      <c r="O105" s="49"/>
      <c r="P105" s="49"/>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49"/>
    </row>
    <row r="106" spans="1:52">
      <c r="A106" s="49"/>
      <c r="B106" s="49"/>
      <c r="C106" s="49"/>
      <c r="D106" s="49"/>
      <c r="E106" s="49"/>
      <c r="F106" s="49"/>
      <c r="G106" s="49"/>
      <c r="H106" s="49"/>
      <c r="I106" s="49"/>
      <c r="J106" s="49"/>
      <c r="K106" s="49"/>
      <c r="L106" s="49"/>
      <c r="M106" s="49"/>
      <c r="N106" s="49"/>
      <c r="O106" s="49"/>
      <c r="P106" s="49"/>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49"/>
    </row>
  </sheetData>
  <mergeCells count="17">
    <mergeCell ref="D53:E54"/>
    <mergeCell ref="I53:J54"/>
    <mergeCell ref="A1:C2"/>
    <mergeCell ref="F72:F73"/>
    <mergeCell ref="I87:J88"/>
    <mergeCell ref="K87:L88"/>
    <mergeCell ref="I84:J85"/>
    <mergeCell ref="D84:E85"/>
    <mergeCell ref="F84:G85"/>
    <mergeCell ref="D72:E73"/>
    <mergeCell ref="D87:E88"/>
    <mergeCell ref="F87:G88"/>
    <mergeCell ref="D57:E57"/>
    <mergeCell ref="I59:J59"/>
    <mergeCell ref="I60:J60"/>
    <mergeCell ref="D63:E63"/>
    <mergeCell ref="I65:J65"/>
  </mergeCells>
  <conditionalFormatting sqref="A1:AZ106">
    <cfRule type="expression" dxfId="3" priority="8">
      <formula>颜色主题="魔法"</formula>
    </cfRule>
  </conditionalFormatting>
  <dataValidations count="35">
    <dataValidation allowBlank="1" showInputMessage="1" showErrorMessage="1" promptTitle="======================" prompt="顾名思义是玩家的名字了_x000a_不同玩家的商人售卖情况是不同的" sqref="F7" xr:uid="{00000000-0002-0000-0A00-000000000000}"/>
    <dataValidation type="list" allowBlank="1" showInputMessage="1" showErrorMessage="1" sqref="AL5" xr:uid="{00000000-0002-0000-0A00-000001000000}">
      <formula1>"1,2,3,4,5,6,7,8,9,10,11,12,13"</formula1>
    </dataValidation>
    <dataValidation allowBlank="1" showInputMessage="1" showErrorMessage="1" promptTitle="========掠夺上限==========" prompt="仓库中金币/圣水最多被掠夺的数量。_x000a_用于保护拥有大量资源的玩家。" sqref="AW14" xr:uid="{00000000-0002-0000-0A00-000002000000}"/>
    <dataValidation allowBlank="1" showInputMessage="1" showErrorMessage="1" promptTitle="======================" prompt="高亮关键词有助于快速找到指定魔法物品" sqref="Q7" xr:uid="{00000000-0002-0000-0A00-000003000000}"/>
    <dataValidation allowBlank="1" showInputMessage="1" showErrorMessage="1" promptTitle="======================" prompt="距离期望商品的最近时间" sqref="O7" xr:uid="{00000000-0002-0000-0A00-000004000000}"/>
    <dataValidation allowBlank="1" showInputMessage="1" showErrorMessage="1" promptTitle="======================" prompt="当时记录信息的时间_x000a_可输入：x月x日" sqref="D7" xr:uid="{00000000-0002-0000-0A00-000005000000}"/>
    <dataValidation type="list" allowBlank="1" showInputMessage="1" showErrorMessage="1" sqref="E77" xr:uid="{00000000-0002-0000-0A00-000006000000}">
      <formula1>"1,2,3,4,5"</formula1>
    </dataValidation>
    <dataValidation type="list" allowBlank="1" showInputMessage="1" showErrorMessage="1" sqref="AL6 AL42" xr:uid="{00000000-0002-0000-0A00-000007000000}">
      <formula1>"数量支持,等级上限"</formula1>
    </dataValidation>
    <dataValidation allowBlank="1" showInputMessage="1" showErrorMessage="1" promptTitle="========黑油上限========" prompt="资源车所能承载的黑油上限" sqref="AW25" xr:uid="{00000000-0002-0000-0A00-000008000000}"/>
    <dataValidation allowBlank="1" showInputMessage="1" showErrorMessage="1" promptTitle="======================" prompt="在当时商人售卖的物品对应的位置_x000a_如果不唯一对应，那么需要再等一天。" sqref="E7" xr:uid="{00000000-0002-0000-0A00-000009000000}"/>
    <dataValidation allowBlank="1" showInputMessage="1" showErrorMessage="1" promptTitle="======================" prompt="这名玩家期望售卖的商品_x000a_期望商品在方案表里修改" sqref="N7" xr:uid="{00000000-0002-0000-0A00-00000A000000}"/>
    <dataValidation type="list" allowBlank="1" showInputMessage="1" showErrorMessage="1" sqref="AC42" xr:uid="{00000000-0002-0000-0A00-00000B000000}">
      <formula1>"战斗之书,工人药水,英雄之书,夜金符石,建筑之书,金币符石,法术之书,夜水符石,黑油符石,圣水符石"</formula1>
    </dataValidation>
    <dataValidation allowBlank="1" showInputMessage="1" showErrorMessage="1" promptTitle="========搜索费用========" prompt="联机模式搜索敌军所需要的金币数量。" sqref="AW10" xr:uid="{00000000-0002-0000-0A00-00000C000000}"/>
    <dataValidation allowBlank="1" showInputMessage="1" showErrorMessage="1" promptTitle="========掠夺比例========" prompt="你被敌人攻击时，仓库中金币/圣水失去的比例。_x000a_如果超过上限，则按照上限计算。" sqref="AW12" xr:uid="{00000000-0002-0000-0A00-00000E000000}"/>
    <dataValidation allowBlank="1" showInputMessage="1" showErrorMessage="1" promptTitle="========黑油上限========" prompt="部落战中可从敌军村庄直接掠夺的黑油数量的最大值。_x000a_此项取决于敌军的大本营等级和发展水平。" sqref="AW19" xr:uid="{00000000-0002-0000-0A00-00000F000000}"/>
    <dataValidation allowBlank="1" showInputMessage="1" showErrorMessage="1" promptTitle="========黑油比例========" prompt="你被敌人攻击时，仓库中黑油失去的比例。_x000a_如果超过上限，则按照上限计算。" sqref="AW13" xr:uid="{00000000-0002-0000-0A00-000010000000}"/>
    <dataValidation type="list" allowBlank="1" showInputMessage="1" showErrorMessage="1" sqref="N15 N16 N8:N11 N12:N14 N17:N47" xr:uid="{00000000-0002-0000-0A00-000011000000}">
      <formula1>OFFSET($Y$9,0,0,$Z$29)</formula1>
    </dataValidation>
    <dataValidation type="list" allowBlank="1" showInputMessage="1" showErrorMessage="1" sqref="Y42" xr:uid="{00000000-0002-0000-0A00-000012000000}">
      <formula1>"训练药水,钟楼药水,壁垒之戒"</formula1>
    </dataValidation>
    <dataValidation allowBlank="1" showInputMessage="1" showErrorMessage="1" promptTitle="========黑油上限==========" prompt="仓库中黑油最多被掠夺的数量。_x000a_用于保护拥有大量资源的玩家。" sqref="AW15" xr:uid="{00000000-0002-0000-0A00-000013000000}"/>
    <dataValidation allowBlank="1" showInputMessage="1" showErrorMessage="1" promptTitle="========对战经验========" prompt="部落对战中战胜对应大本营的玩家能获得的部落经验的最大值。" sqref="AW17" xr:uid="{00000000-0002-0000-0A00-000014000000}"/>
    <dataValidation allowBlank="1" showInputMessage="1" showErrorMessage="1" promptTitle="========资源上限========" prompt="部落战中可从敌军村庄直接掠夺的金币/圣水数量的最大值。_x000a_此项取决于敌军的大本营等级和发展水平。" sqref="AW18" xr:uid="{00000000-0002-0000-0A00-000015000000}"/>
    <dataValidation allowBlank="1" showInputMessage="1" showErrorMessage="1" promptTitle="========宝库资源========" prompt="部落城堡的金币/圣水基础容量" sqref="AW21" xr:uid="{00000000-0002-0000-0A00-000016000000}"/>
    <dataValidation allowBlank="1" showInputMessage="1" showErrorMessage="1" promptTitle="========资源车上限========" prompt="资源车所能装载的金币/圣水上限" sqref="AW24" xr:uid="{00000000-0002-0000-0A00-000017000000}"/>
    <dataValidation allowBlank="1" showInputMessage="1" showErrorMessage="1" promptTitle="========宝库黑油========" prompt="部落城堡的黑油基础容量" sqref="AW22" xr:uid="{00000000-0002-0000-0A00-000018000000}"/>
    <dataValidation type="list" allowBlank="1" showInputMessage="1" showErrorMessage="1" sqref="AL41 E76" xr:uid="{00000000-0002-0000-0A00-000019000000}">
      <formula1>"1,2,3,4,5,6,7,8,9"</formula1>
    </dataValidation>
    <dataValidation type="list" allowBlank="1" showInputMessage="1" showErrorMessage="1" sqref="AA42" xr:uid="{00000000-0002-0000-0A00-00001B000000}">
      <formula1>"力量药水,移位铲子,资源药水,英雄药水,研究药水"</formula1>
    </dataValidation>
    <dataValidation allowBlank="1" showInputMessage="1" showErrorMessage="1" promptTitle="======================" prompt="导入的日期和对应的x是否显示，如果选择“隐藏”，那么这些信息在视觉上使用“已导入”替代。_x000a_" sqref="D48" xr:uid="{00000000-0002-0000-0A00-00001C000000}"/>
    <dataValidation type="list" allowBlank="1" showInputMessage="1" showErrorMessage="1" sqref="E48" xr:uid="{00000000-0002-0000-0A00-00001D000000}">
      <formula1>"隐藏,显示"</formula1>
    </dataValidation>
    <dataValidation allowBlank="1" showInputMessage="1" showErrorMessage="1" promptTitle="======================" prompt="这个表格里已经记录的玩家总数" sqref="D49" xr:uid="{00000000-0002-0000-0A00-00001F000000}"/>
    <dataValidation allowBlank="1" showInputMessage="1" showErrorMessage="1" promptTitle="======================" prompt="倒计时在多少天内才高亮提示。" sqref="D50" xr:uid="{00000000-0002-0000-0A00-000021000000}"/>
    <dataValidation type="whole" allowBlank="1" showInputMessage="1" showErrorMessage="1" promptTitle="======================" prompt="当倒计时低于&quot;高亮阈值&quot;时才高亮提示" sqref="E50" xr:uid="{00000000-0002-0000-0A00-000022000000}">
      <formula1>0</formula1>
      <formula2>38</formula2>
    </dataValidation>
    <dataValidation type="list" allowBlank="1" showInputMessage="1" showErrorMessage="1" sqref="T60" xr:uid="{00000000-0002-0000-0A00-000024000000}">
      <formula1>"1,2,3,4,5,6"</formula1>
    </dataValidation>
    <dataValidation type="list" allowBlank="1" showInputMessage="1" showErrorMessage="1" sqref="T61" xr:uid="{00000000-0002-0000-0A00-000025000000}">
      <formula1>"1,2,3,4,5,6,7"</formula1>
    </dataValidation>
    <dataValidation type="list" allowBlank="1" showInputMessage="1" showErrorMessage="1" sqref="T62 T75" xr:uid="{00000000-0002-0000-0A00-000027000000}">
      <formula1>"0,1,2,3,4,5,6"</formula1>
    </dataValidation>
    <dataValidation type="list" allowBlank="1" showInputMessage="1" showErrorMessage="1" promptTitle="==============================" prompt="时间是有单位的，请输入单位。_x000a_提示：可以通过公式计算时间。_x000a_比如14小时可以输入“=14/24”（天）_x000a_" sqref="E64 J66" xr:uid="{00000000-0002-0000-0A00-000028000000}">
      <formula1>"天,小时,分钟,秒"</formula1>
    </dataValidation>
  </dataValidations>
  <hyperlinks>
    <hyperlink ref="A7" location="'5.3小工具'!D53:L68" tooltip="计算宝石的价值或者所需要的宝石" display="1.宝石消耗/价值" xr:uid="{00000000-0004-0000-0A00-000000000000}"/>
    <hyperlink ref="D53:E54" location="'5.3小工具'!A1:C8" tooltip="返回小工具" display="宝石消耗计算" xr:uid="{00000000-0004-0000-0A00-000001000000}"/>
    <hyperlink ref="I53:J54" location="'5.3小工具'!A1:C8" tooltip="返回小工具" display="宝石价值计算" xr:uid="{00000000-0004-0000-0A00-000002000000}"/>
    <hyperlink ref="D72:E73" location="'4.3小工具'!A1:C9" tooltip="返回小工具" display="闪电鞭" xr:uid="{00000000-0004-0000-0A00-000003000000}"/>
    <hyperlink ref="A8" location="'5.3小工具'!D72:N93" tooltip="年轻人不讲武德" display="2.闪电鞭" xr:uid="{00000000-0004-0000-0A00-000004000000}"/>
    <hyperlink ref="D72:F73" location="'5.3小工具'!A1:C8" tooltip="返回小工具" display="闪电鞭" xr:uid="{00000000-0004-0000-0A00-000005000000}"/>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A00-00000D000000}">
          <x14:formula1>
            <xm:f>小羊的家备份!$BR$3:$BR$24</xm:f>
          </x14:formula1>
          <xm:sqref>S7</xm:sqref>
        </x14:dataValidation>
        <x14:dataValidation type="list" allowBlank="1" showInputMessage="1" showErrorMessage="1" xr:uid="{00000000-0002-0000-0A00-00001A000000}">
          <x14:formula1>
            <xm:f>小羊的家备份!$CM$4:$CM$22</xm:f>
          </x14:formula1>
          <xm:sqref>F79</xm:sqref>
        </x14:dataValidation>
        <x14:dataValidation type="list" allowBlank="1" showInputMessage="1" showErrorMessage="1" xr:uid="{00000000-0002-0000-0A00-00001E000000}">
          <x14:formula1>
            <xm:f>小羊的家备份!$BG$4:$BG$6</xm:f>
          </x14:formula1>
          <xm:sqref>D57:E57</xm:sqref>
        </x14:dataValidation>
        <x14:dataValidation type="list" allowBlank="1" showInputMessage="1" showErrorMessage="1" xr:uid="{00000000-0002-0000-0A00-000020000000}">
          <x14:formula1>
            <xm:f>小羊的家备份!$BG$19:$BG$24</xm:f>
          </x14:formula1>
          <xm:sqref>D63:E63</xm:sqref>
        </x14:dataValidation>
        <x14:dataValidation type="list" allowBlank="1" showInputMessage="1" showErrorMessage="1" xr:uid="{00000000-0002-0000-0A00-000023000000}">
          <x14:formula1>
            <xm:f>小羊的家备份!$BG$37:$BG$39</xm:f>
          </x14:formula1>
          <xm:sqref>I59:J59</xm:sqref>
        </x14:dataValidation>
        <x14:dataValidation type="list" allowBlank="1" showInputMessage="1" showErrorMessage="1" xr:uid="{00000000-0002-0000-0A00-000026000000}">
          <x14:formula1>
            <xm:f>小羊的家备份!$BG$52:$BG$57</xm:f>
          </x14:formula1>
          <xm:sqref>I65:J65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CA476"/>
  <sheetViews>
    <sheetView workbookViewId="0">
      <selection sqref="A1:C2"/>
    </sheetView>
  </sheetViews>
  <sheetFormatPr defaultColWidth="9" defaultRowHeight="14.15"/>
  <cols>
    <col min="32" max="32" width="9.5" customWidth="1"/>
    <col min="67" max="68" width="9.35546875"/>
  </cols>
  <sheetData>
    <row r="1" spans="1:79">
      <c r="A1" s="549" t="s">
        <v>2941</v>
      </c>
      <c r="B1" s="549"/>
      <c r="C1" s="549"/>
      <c r="D1" s="616" t="s">
        <v>2942</v>
      </c>
      <c r="E1" s="616"/>
      <c r="F1" s="49"/>
      <c r="G1" s="49"/>
      <c r="H1" s="49"/>
      <c r="I1" s="49"/>
      <c r="J1" s="49"/>
      <c r="K1" s="49"/>
      <c r="L1" s="49"/>
      <c r="M1" s="49"/>
      <c r="N1" s="49"/>
      <c r="O1" s="49"/>
      <c r="P1" s="49"/>
      <c r="Q1" s="49"/>
      <c r="R1" s="596" t="s">
        <v>2943</v>
      </c>
      <c r="S1" s="596"/>
      <c r="T1" s="49"/>
      <c r="U1" s="49"/>
      <c r="V1" s="49"/>
      <c r="W1" s="49"/>
      <c r="X1" s="49"/>
      <c r="Y1" s="49"/>
      <c r="Z1" s="49"/>
      <c r="AA1" s="49"/>
      <c r="AB1" s="49"/>
      <c r="AC1" s="49"/>
      <c r="AD1" s="49"/>
      <c r="AE1" s="49"/>
      <c r="AF1" s="49"/>
      <c r="AG1" s="49"/>
      <c r="AH1" s="49"/>
      <c r="AI1" s="49"/>
      <c r="AJ1" s="550" t="s">
        <v>2944</v>
      </c>
      <c r="AK1" s="550"/>
      <c r="AL1" s="49"/>
      <c r="AM1" s="49"/>
      <c r="AN1" s="49"/>
      <c r="AO1" s="49"/>
      <c r="AP1" s="49"/>
      <c r="AQ1" s="49"/>
      <c r="AR1" s="49"/>
      <c r="AS1" s="49"/>
      <c r="AT1" s="49"/>
      <c r="AU1" s="49"/>
      <c r="AV1" s="49"/>
      <c r="AW1" s="49"/>
      <c r="AX1" s="49"/>
      <c r="AY1" s="49"/>
      <c r="AZ1" s="49"/>
      <c r="BA1" s="49"/>
      <c r="BB1" s="49"/>
      <c r="BC1" s="49"/>
      <c r="BD1" s="49"/>
      <c r="BE1" s="49"/>
      <c r="BF1" s="49"/>
      <c r="BG1" s="550" t="s">
        <v>2945</v>
      </c>
      <c r="BH1" s="550"/>
      <c r="BI1" s="49"/>
      <c r="BJ1" s="49"/>
      <c r="BK1" s="49"/>
      <c r="BL1" s="49"/>
      <c r="BM1" s="49"/>
      <c r="BN1" s="49"/>
      <c r="BO1" s="49"/>
      <c r="BP1" s="49"/>
      <c r="BQ1" s="49"/>
      <c r="BR1" s="49"/>
      <c r="BS1" s="49"/>
      <c r="BT1" s="49"/>
      <c r="BU1" s="49"/>
      <c r="BV1" s="49"/>
      <c r="BW1" s="49"/>
      <c r="BX1" s="49"/>
      <c r="BY1" s="49"/>
      <c r="BZ1" s="49"/>
      <c r="CA1" s="49"/>
    </row>
    <row r="2" spans="1:79">
      <c r="A2" s="549"/>
      <c r="B2" s="549"/>
      <c r="C2" s="549"/>
      <c r="D2" s="617"/>
      <c r="E2" s="617"/>
      <c r="F2" s="50"/>
      <c r="G2" s="50"/>
      <c r="H2" s="50"/>
      <c r="I2" s="50"/>
      <c r="J2" s="50"/>
      <c r="K2" s="50"/>
      <c r="L2" s="50"/>
      <c r="M2" s="50"/>
      <c r="N2" s="50"/>
      <c r="O2" s="50"/>
      <c r="P2" s="50"/>
      <c r="Q2" s="49"/>
      <c r="R2" s="597"/>
      <c r="S2" s="597"/>
      <c r="T2" s="50"/>
      <c r="U2" s="50"/>
      <c r="V2" s="50"/>
      <c r="W2" s="50"/>
      <c r="X2" s="50"/>
      <c r="Y2" s="50"/>
      <c r="Z2" s="50"/>
      <c r="AA2" s="50"/>
      <c r="AB2" s="50"/>
      <c r="AC2" s="50"/>
      <c r="AD2" s="50"/>
      <c r="AE2" s="50"/>
      <c r="AF2" s="50"/>
      <c r="AG2" s="50"/>
      <c r="AH2" s="49"/>
      <c r="AI2" s="49"/>
      <c r="AJ2" s="551"/>
      <c r="AK2" s="551"/>
      <c r="AL2" s="50"/>
      <c r="AM2" s="50"/>
      <c r="AN2" s="50"/>
      <c r="AO2" s="50"/>
      <c r="AP2" s="50"/>
      <c r="AQ2" s="50"/>
      <c r="AR2" s="50"/>
      <c r="AS2" s="50"/>
      <c r="AT2" s="50"/>
      <c r="AU2" s="50"/>
      <c r="AV2" s="50"/>
      <c r="AW2" s="50"/>
      <c r="AX2" s="50"/>
      <c r="AY2" s="50"/>
      <c r="AZ2" s="50"/>
      <c r="BA2" s="50"/>
      <c r="BB2" s="50"/>
      <c r="BC2" s="50"/>
      <c r="BD2" s="50"/>
      <c r="BE2" s="50"/>
      <c r="BF2" s="49"/>
      <c r="BG2" s="551"/>
      <c r="BH2" s="551"/>
      <c r="BI2" s="50"/>
      <c r="BJ2" s="50"/>
      <c r="BK2" s="50"/>
      <c r="BL2" s="50"/>
      <c r="BM2" s="50"/>
      <c r="BN2" s="50"/>
      <c r="BO2" s="50"/>
      <c r="BP2" s="50"/>
      <c r="BQ2" s="50"/>
      <c r="BR2" s="50"/>
      <c r="BS2" s="50"/>
      <c r="BT2" s="50"/>
      <c r="BU2" s="50"/>
      <c r="BV2" s="50"/>
      <c r="BW2" s="49"/>
      <c r="BX2" s="49"/>
      <c r="BY2" s="49"/>
      <c r="BZ2" s="49"/>
      <c r="CA2" s="49"/>
    </row>
    <row r="3" spans="1:79">
      <c r="A3" s="539" t="s">
        <v>2946</v>
      </c>
      <c r="B3" s="539"/>
      <c r="C3" s="539"/>
      <c r="D3" s="49" t="s">
        <v>2947</v>
      </c>
      <c r="E3" s="49"/>
      <c r="F3" s="49"/>
      <c r="G3" s="49"/>
      <c r="H3" s="49"/>
      <c r="I3" s="49"/>
      <c r="J3" s="49"/>
      <c r="K3" s="49"/>
      <c r="L3" s="49"/>
      <c r="M3" s="49"/>
      <c r="N3" s="49"/>
      <c r="O3" s="49"/>
      <c r="P3" s="49"/>
      <c r="Q3" s="49"/>
      <c r="R3" s="49" t="s">
        <v>2948</v>
      </c>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t="s">
        <v>2949</v>
      </c>
      <c r="BH3" s="49"/>
      <c r="BI3" s="49"/>
      <c r="BJ3" s="49"/>
      <c r="BK3" s="49"/>
      <c r="BL3" s="49"/>
      <c r="BM3" s="49"/>
      <c r="BN3" s="49"/>
      <c r="BO3" s="49"/>
      <c r="BP3" s="49"/>
      <c r="BQ3" s="49"/>
      <c r="BR3" s="49"/>
      <c r="BS3" s="49"/>
      <c r="BT3" s="49"/>
      <c r="BU3" s="49"/>
      <c r="BV3" s="49"/>
      <c r="BW3" s="49"/>
      <c r="BX3" s="49"/>
      <c r="BY3" s="49"/>
      <c r="BZ3" s="49"/>
      <c r="CA3" s="49"/>
    </row>
    <row r="4" spans="1:79">
      <c r="A4" s="539"/>
      <c r="B4" s="539"/>
      <c r="C4" s="53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row>
    <row r="5" spans="1:79">
      <c r="A5" s="49"/>
      <c r="B5" s="49"/>
      <c r="C5" s="49"/>
      <c r="D5" s="49"/>
      <c r="E5" s="51" t="s">
        <v>2950</v>
      </c>
      <c r="F5" s="52"/>
      <c r="G5" s="53" t="s">
        <v>2951</v>
      </c>
      <c r="H5" s="49"/>
      <c r="I5" s="51" t="s">
        <v>2952</v>
      </c>
      <c r="J5" s="52"/>
      <c r="K5" s="53" t="s">
        <v>2953</v>
      </c>
      <c r="L5" s="49"/>
      <c r="M5" s="51" t="s">
        <v>2954</v>
      </c>
      <c r="N5" s="52"/>
      <c r="O5" s="53" t="s">
        <v>2955</v>
      </c>
      <c r="P5" s="49"/>
      <c r="Q5" s="49"/>
      <c r="R5" s="62" t="s">
        <v>2956</v>
      </c>
      <c r="S5" s="598">
        <v>44917</v>
      </c>
      <c r="T5" s="59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t="s">
        <v>2957</v>
      </c>
      <c r="BH5" s="49"/>
      <c r="BI5" s="49"/>
      <c r="BJ5" s="49"/>
      <c r="BK5" s="49"/>
      <c r="BL5" s="49"/>
      <c r="BM5" s="49"/>
      <c r="BN5" s="49"/>
      <c r="BO5" s="49" t="s">
        <v>2958</v>
      </c>
      <c r="BP5" s="49"/>
      <c r="BQ5" s="49"/>
      <c r="BR5" s="49"/>
      <c r="BS5" s="49"/>
      <c r="BT5" s="49"/>
      <c r="BU5" s="49"/>
      <c r="BV5" s="49"/>
      <c r="BW5" s="49"/>
      <c r="BX5" s="49"/>
      <c r="BY5" s="49"/>
      <c r="BZ5" s="49"/>
      <c r="CA5" s="49"/>
    </row>
    <row r="6" spans="1:79">
      <c r="A6" s="54" t="s">
        <v>2959</v>
      </c>
      <c r="B6" s="49"/>
      <c r="C6" s="49"/>
      <c r="D6" s="49"/>
      <c r="E6" s="55"/>
      <c r="F6" s="49"/>
      <c r="G6" s="56"/>
      <c r="H6" s="49"/>
      <c r="I6" s="55"/>
      <c r="J6" s="49"/>
      <c r="K6" s="56"/>
      <c r="L6" s="49"/>
      <c r="M6" s="55"/>
      <c r="N6" s="49"/>
      <c r="O6" s="56"/>
      <c r="P6" s="49"/>
      <c r="Q6" s="49"/>
      <c r="R6" s="52" t="s">
        <v>2034</v>
      </c>
      <c r="S6" s="63">
        <f ca="1">VLOOKUP(S5,INDIRECT(小羊的家备份!AS9),4,0)</f>
        <v>5000</v>
      </c>
      <c r="T6" s="64"/>
      <c r="U6" s="65" t="s">
        <v>2960</v>
      </c>
      <c r="V6" s="600" t="s">
        <v>2961</v>
      </c>
      <c r="W6" s="600"/>
      <c r="X6" s="600" t="s">
        <v>2962</v>
      </c>
      <c r="Y6" s="600"/>
      <c r="Z6" s="600" t="s">
        <v>2963</v>
      </c>
      <c r="AA6" s="600"/>
      <c r="AB6" s="65" t="s">
        <v>2964</v>
      </c>
      <c r="AC6" s="49"/>
      <c r="AD6" s="49"/>
      <c r="AE6" s="49"/>
      <c r="AF6" s="49"/>
      <c r="AG6" s="49"/>
      <c r="AH6" s="49"/>
      <c r="AI6" s="49"/>
      <c r="AJ6" s="49" t="s">
        <v>2965</v>
      </c>
      <c r="AK6" s="49" t="s">
        <v>2966</v>
      </c>
      <c r="AL6" s="49"/>
      <c r="AM6" s="49"/>
      <c r="AN6" s="49"/>
      <c r="AO6" s="49"/>
      <c r="AP6" s="49"/>
      <c r="AQ6" s="49"/>
      <c r="AR6" s="49"/>
      <c r="AS6" s="49"/>
      <c r="AT6" s="49"/>
      <c r="AU6" s="49"/>
      <c r="AV6" s="49"/>
      <c r="AW6" s="49"/>
      <c r="AX6" s="49"/>
      <c r="AY6" s="49"/>
      <c r="AZ6" s="49"/>
      <c r="BA6" s="49"/>
      <c r="BB6" s="49"/>
      <c r="BC6" s="49"/>
      <c r="BD6" s="49"/>
      <c r="BE6" s="49"/>
      <c r="BF6" s="49"/>
      <c r="BG6" s="601" t="s">
        <v>2967</v>
      </c>
      <c r="BH6" s="601"/>
      <c r="BI6" s="77" t="s">
        <v>1976</v>
      </c>
      <c r="BJ6" s="601" t="s">
        <v>2968</v>
      </c>
      <c r="BK6" s="601"/>
      <c r="BL6" s="77" t="s">
        <v>2969</v>
      </c>
      <c r="BM6" s="77" t="s">
        <v>2970</v>
      </c>
      <c r="BN6" s="49"/>
      <c r="BO6" s="601" t="s">
        <v>2971</v>
      </c>
      <c r="BP6" s="601"/>
      <c r="BQ6" s="77" t="s">
        <v>1976</v>
      </c>
      <c r="BR6" s="601" t="s">
        <v>1091</v>
      </c>
      <c r="BS6" s="601"/>
      <c r="BT6" s="77" t="s">
        <v>2972</v>
      </c>
      <c r="BU6" s="77" t="s">
        <v>2973</v>
      </c>
      <c r="BV6" s="49"/>
      <c r="BW6" s="49"/>
      <c r="BX6" s="49"/>
      <c r="BY6" s="49"/>
      <c r="BZ6" s="49"/>
      <c r="CA6" s="49"/>
    </row>
    <row r="7" spans="1:79">
      <c r="A7" s="54" t="s">
        <v>2974</v>
      </c>
      <c r="B7" s="49"/>
      <c r="C7" s="49"/>
      <c r="D7" s="49"/>
      <c r="E7" s="55"/>
      <c r="F7" s="49"/>
      <c r="G7" s="56"/>
      <c r="H7" s="49"/>
      <c r="I7" s="55"/>
      <c r="J7" s="49"/>
      <c r="K7" s="56"/>
      <c r="L7" s="49"/>
      <c r="M7" s="55"/>
      <c r="N7" s="49"/>
      <c r="O7" s="56"/>
      <c r="P7" s="49"/>
      <c r="Q7" s="49"/>
      <c r="R7" s="49" t="s">
        <v>879</v>
      </c>
      <c r="S7" s="62">
        <f ca="1">VLOOKUP(S5,INDIRECT(小羊的家备份!AS9),2,0)</f>
        <v>6</v>
      </c>
      <c r="T7" s="56"/>
      <c r="U7" s="62">
        <f ca="1">IFERROR(小羊的家备份!AQ2,"")</f>
        <v>3000</v>
      </c>
      <c r="V7" s="599" t="str">
        <f ca="1">IFERROR(小羊的家备份!AR2,"")</f>
        <v>30%金币</v>
      </c>
      <c r="W7" s="599"/>
      <c r="X7" s="599" t="str">
        <f ca="1">IFERROR(小羊的家备份!AS2,"")</f>
        <v>训练药水*1</v>
      </c>
      <c r="Y7" s="599"/>
      <c r="Z7" s="599" t="str">
        <f ca="1">IFERROR(小羊的家备份!AT2,"")</f>
        <v>20宝石</v>
      </c>
      <c r="AA7" s="599"/>
      <c r="AB7" s="62">
        <f ca="1">IFERROR(小羊的家备份!AU2,"")</f>
        <v>10</v>
      </c>
      <c r="AC7" s="49"/>
      <c r="AD7" s="49"/>
      <c r="AE7" s="49"/>
      <c r="AF7" s="49"/>
      <c r="AG7" s="49"/>
      <c r="AH7" s="49"/>
      <c r="AI7" s="49"/>
      <c r="AJ7" s="62" t="s">
        <v>2975</v>
      </c>
      <c r="AK7" s="49" t="s">
        <v>2976</v>
      </c>
      <c r="AL7" s="49"/>
      <c r="AM7" s="49"/>
      <c r="AN7" s="49"/>
      <c r="AO7" s="49"/>
      <c r="AP7" s="49"/>
      <c r="AQ7" s="49"/>
      <c r="AR7" s="49"/>
      <c r="AS7" s="49"/>
      <c r="AT7" s="49"/>
      <c r="AU7" s="49"/>
      <c r="AV7" s="49"/>
      <c r="AW7" s="49"/>
      <c r="AX7" s="49"/>
      <c r="AY7" s="49"/>
      <c r="AZ7" s="49"/>
      <c r="BA7" s="49"/>
      <c r="BB7" s="49"/>
      <c r="BC7" s="49"/>
      <c r="BD7" s="49"/>
      <c r="BE7" s="49"/>
      <c r="BF7" s="49"/>
      <c r="BG7" s="599" t="s">
        <v>2977</v>
      </c>
      <c r="BH7" s="599"/>
      <c r="BI7" s="62" t="s">
        <v>2978</v>
      </c>
      <c r="BJ7" s="599" t="s">
        <v>2979</v>
      </c>
      <c r="BK7" s="599"/>
      <c r="BL7" s="62" t="s">
        <v>318</v>
      </c>
      <c r="BM7" s="62" t="s">
        <v>2980</v>
      </c>
      <c r="BN7" s="49"/>
      <c r="BO7" s="599" t="s">
        <v>2981</v>
      </c>
      <c r="BP7" s="599"/>
      <c r="BQ7" s="62" t="s">
        <v>2978</v>
      </c>
      <c r="BR7" s="599" t="s">
        <v>2982</v>
      </c>
      <c r="BS7" s="599"/>
      <c r="BT7" s="62"/>
      <c r="BU7" s="49" t="s">
        <v>2983</v>
      </c>
      <c r="BV7" s="49"/>
      <c r="BW7" s="49"/>
      <c r="BX7" s="49"/>
      <c r="BY7" s="49"/>
      <c r="BZ7" s="49"/>
      <c r="CA7" s="49"/>
    </row>
    <row r="8" spans="1:79">
      <c r="A8" s="54" t="s">
        <v>2984</v>
      </c>
      <c r="B8" s="49"/>
      <c r="C8" s="49"/>
      <c r="D8" s="49"/>
      <c r="E8" s="55"/>
      <c r="F8" s="49"/>
      <c r="G8" s="56"/>
      <c r="H8" s="49"/>
      <c r="I8" s="55"/>
      <c r="J8" s="49"/>
      <c r="K8" s="56"/>
      <c r="L8" s="49"/>
      <c r="M8" s="55"/>
      <c r="N8" s="49"/>
      <c r="O8" s="56"/>
      <c r="P8" s="49"/>
      <c r="Q8" s="49"/>
      <c r="R8" s="49" t="s">
        <v>2985</v>
      </c>
      <c r="S8" s="49" t="str">
        <f ca="1">VLOOKUP(S5,INDIRECT(小羊的家备份!AS9),3,0)</f>
        <v>无</v>
      </c>
      <c r="T8" s="56"/>
      <c r="U8" s="62">
        <f ca="1">IFERROR(小羊的家备份!AQ3,"")</f>
        <v>7500</v>
      </c>
      <c r="V8" s="599" t="str">
        <f ca="1">IFERROR(小羊的家备份!AR3,"")</f>
        <v>30%黑油</v>
      </c>
      <c r="W8" s="599"/>
      <c r="X8" s="599" t="str">
        <f ca="1">IFERROR(小羊的家备份!AS3,"")</f>
        <v>英雄药水*1</v>
      </c>
      <c r="Y8" s="599"/>
      <c r="Z8" s="599" t="str">
        <f ca="1">IFERROR(小羊的家备份!AT3,"")</f>
        <v>钟楼药水*1</v>
      </c>
      <c r="AA8" s="599"/>
      <c r="AB8" s="62">
        <f ca="1">IFERROR(小羊的家备份!AU3,"")</f>
        <v>20</v>
      </c>
      <c r="AC8" s="49"/>
      <c r="AD8" s="49"/>
      <c r="AE8" s="49"/>
      <c r="AF8" s="49"/>
      <c r="AG8" s="49"/>
      <c r="AH8" s="49"/>
      <c r="AI8" s="49"/>
      <c r="AJ8" s="62" t="s">
        <v>2986</v>
      </c>
      <c r="AK8" s="49" t="s">
        <v>2987</v>
      </c>
      <c r="AL8" s="49"/>
      <c r="AM8" s="49"/>
      <c r="AN8" s="49"/>
      <c r="AO8" s="49"/>
      <c r="AP8" s="49"/>
      <c r="AQ8" s="49"/>
      <c r="AR8" s="49"/>
      <c r="AS8" s="49"/>
      <c r="AT8" s="49"/>
      <c r="AU8" s="49"/>
      <c r="AV8" s="49"/>
      <c r="AW8" s="49"/>
      <c r="AX8" s="49"/>
      <c r="AY8" s="49"/>
      <c r="AZ8" s="49"/>
      <c r="BA8" s="49"/>
      <c r="BB8" s="49"/>
      <c r="BC8" s="49"/>
      <c r="BD8" s="49"/>
      <c r="BE8" s="49"/>
      <c r="BF8" s="49"/>
      <c r="BG8" s="599" t="s">
        <v>2988</v>
      </c>
      <c r="BH8" s="599"/>
      <c r="BI8" s="62" t="s">
        <v>2989</v>
      </c>
      <c r="BJ8" s="599" t="s">
        <v>2990</v>
      </c>
      <c r="BK8" s="599"/>
      <c r="BL8" s="62" t="s">
        <v>2991</v>
      </c>
      <c r="BM8" s="62" t="s">
        <v>2980</v>
      </c>
      <c r="BN8" s="49"/>
      <c r="BO8" s="599" t="s">
        <v>2992</v>
      </c>
      <c r="BP8" s="599"/>
      <c r="BQ8" s="62" t="s">
        <v>2978</v>
      </c>
      <c r="BR8" s="599" t="s">
        <v>2993</v>
      </c>
      <c r="BS8" s="599"/>
      <c r="BT8" s="62">
        <v>1</v>
      </c>
      <c r="BU8" s="49" t="s">
        <v>2994</v>
      </c>
      <c r="BV8" s="49"/>
      <c r="BW8" s="49"/>
      <c r="BX8" s="49"/>
      <c r="BY8" s="49"/>
      <c r="BZ8" s="49"/>
      <c r="CA8" s="49"/>
    </row>
    <row r="9" spans="1:79">
      <c r="A9" s="54" t="s">
        <v>2995</v>
      </c>
      <c r="B9" s="49"/>
      <c r="C9" s="49"/>
      <c r="D9" s="49"/>
      <c r="E9" s="55"/>
      <c r="F9" s="49"/>
      <c r="G9" s="56"/>
      <c r="H9" s="49"/>
      <c r="I9" s="55"/>
      <c r="J9" s="49"/>
      <c r="K9" s="56"/>
      <c r="L9" s="49"/>
      <c r="M9" s="55"/>
      <c r="N9" s="49"/>
      <c r="O9" s="56"/>
      <c r="P9" s="49"/>
      <c r="Q9" s="49"/>
      <c r="R9" s="49"/>
      <c r="S9" s="49"/>
      <c r="T9" s="56"/>
      <c r="U9" s="62">
        <f ca="1">IFERROR(小羊的家备份!AQ4,"")</f>
        <v>12000</v>
      </c>
      <c r="V9" s="599" t="str">
        <f ca="1">IFERROR(小羊的家备份!AR4,"")</f>
        <v>移位铲子*1</v>
      </c>
      <c r="W9" s="599"/>
      <c r="X9" s="599" t="str">
        <f ca="1">IFERROR(小羊的家备份!AS4,"")</f>
        <v>研究药水*1</v>
      </c>
      <c r="Y9" s="599"/>
      <c r="Z9" s="599" t="str">
        <f ca="1">IFERROR(小羊的家备份!AT4,"")</f>
        <v>50宝石</v>
      </c>
      <c r="AA9" s="599"/>
      <c r="AB9" s="62">
        <f ca="1">IFERROR(小羊的家备份!AU4,"")</f>
        <v>40</v>
      </c>
      <c r="AC9" s="49"/>
      <c r="AD9" s="49"/>
      <c r="AE9" s="49"/>
      <c r="AF9" s="49"/>
      <c r="AG9" s="49"/>
      <c r="AH9" s="49"/>
      <c r="AI9" s="49"/>
      <c r="AJ9" s="62" t="s">
        <v>2996</v>
      </c>
      <c r="AK9" s="49" t="s">
        <v>2997</v>
      </c>
      <c r="AL9" s="49"/>
      <c r="AM9" s="49"/>
      <c r="AN9" s="49"/>
      <c r="AO9" s="49"/>
      <c r="AP9" s="49"/>
      <c r="AQ9" s="49"/>
      <c r="AR9" s="49"/>
      <c r="AS9" s="49"/>
      <c r="AT9" s="49"/>
      <c r="AU9" s="49"/>
      <c r="AV9" s="49"/>
      <c r="AW9" s="49"/>
      <c r="AX9" s="49"/>
      <c r="AY9" s="49"/>
      <c r="AZ9" s="49"/>
      <c r="BA9" s="49"/>
      <c r="BB9" s="49"/>
      <c r="BC9" s="49"/>
      <c r="BD9" s="49"/>
      <c r="BE9" s="49"/>
      <c r="BF9" s="49"/>
      <c r="BG9" s="599" t="s">
        <v>2988</v>
      </c>
      <c r="BH9" s="599"/>
      <c r="BI9" s="62" t="s">
        <v>2978</v>
      </c>
      <c r="BJ9" s="599" t="s">
        <v>2998</v>
      </c>
      <c r="BK9" s="599"/>
      <c r="BL9" s="62" t="s">
        <v>318</v>
      </c>
      <c r="BM9" s="62" t="s">
        <v>2980</v>
      </c>
      <c r="BN9" s="49"/>
      <c r="BO9" s="599" t="s">
        <v>2999</v>
      </c>
      <c r="BP9" s="599"/>
      <c r="BQ9" s="62" t="s">
        <v>2978</v>
      </c>
      <c r="BR9" s="599" t="s">
        <v>3000</v>
      </c>
      <c r="BS9" s="599"/>
      <c r="BT9" s="62">
        <v>5</v>
      </c>
      <c r="BU9" s="49" t="s">
        <v>2983</v>
      </c>
      <c r="BV9" s="49"/>
      <c r="BW9" s="49"/>
      <c r="BX9" s="49"/>
      <c r="BY9" s="49"/>
      <c r="BZ9" s="49"/>
      <c r="CA9" s="49"/>
    </row>
    <row r="10" spans="1:79">
      <c r="A10" s="54" t="s">
        <v>3001</v>
      </c>
      <c r="B10" s="49"/>
      <c r="C10" s="49"/>
      <c r="D10" s="49"/>
      <c r="E10" s="55"/>
      <c r="F10" s="57"/>
      <c r="G10" s="58"/>
      <c r="H10" s="49"/>
      <c r="I10" s="55"/>
      <c r="J10" s="57"/>
      <c r="K10" s="58"/>
      <c r="L10" s="49"/>
      <c r="M10" s="55"/>
      <c r="N10" s="57"/>
      <c r="O10" s="58"/>
      <c r="P10" s="49"/>
      <c r="Q10" s="49"/>
      <c r="R10" s="49"/>
      <c r="S10" s="49"/>
      <c r="T10" s="56"/>
      <c r="U10" s="62">
        <f ca="1">IFERROR(小羊的家备份!AQ5,"")</f>
        <v>18000</v>
      </c>
      <c r="V10" s="599" t="str">
        <f ca="1">IFERROR(小羊的家备份!AR5,"")</f>
        <v>壁垒之戒*6</v>
      </c>
      <c r="W10" s="599"/>
      <c r="X10" s="599" t="str">
        <f ca="1">IFERROR(小羊的家备份!AS5,"")</f>
        <v>70%金币</v>
      </c>
      <c r="Y10" s="599"/>
      <c r="Z10" s="599" t="str">
        <f ca="1">IFERROR(小羊的家备份!AT5,"")</f>
        <v>70%黑油</v>
      </c>
      <c r="AA10" s="599"/>
      <c r="AB10" s="62">
        <f ca="1">IFERROR(小羊的家备份!AU5,"")</f>
        <v>60</v>
      </c>
      <c r="AC10" s="49"/>
      <c r="AD10" s="49"/>
      <c r="AE10" s="49"/>
      <c r="AF10" s="49"/>
      <c r="AG10" s="49"/>
      <c r="AH10" s="49"/>
      <c r="AI10" s="49"/>
      <c r="AJ10" s="62" t="s">
        <v>3002</v>
      </c>
      <c r="AK10" s="49" t="s">
        <v>3003</v>
      </c>
      <c r="AL10" s="49"/>
      <c r="AM10" s="49"/>
      <c r="AN10" s="49"/>
      <c r="AO10" s="49"/>
      <c r="AP10" s="49"/>
      <c r="AQ10" s="49"/>
      <c r="AR10" s="49"/>
      <c r="AS10" s="49"/>
      <c r="AT10" s="49"/>
      <c r="AU10" s="49"/>
      <c r="AV10" s="49"/>
      <c r="AW10" s="49"/>
      <c r="AX10" s="49"/>
      <c r="AY10" s="49"/>
      <c r="AZ10" s="49"/>
      <c r="BA10" s="49"/>
      <c r="BB10" s="49"/>
      <c r="BC10" s="49"/>
      <c r="BD10" s="49"/>
      <c r="BE10" s="49"/>
      <c r="BF10" s="49"/>
      <c r="BG10" s="599" t="s">
        <v>2988</v>
      </c>
      <c r="BH10" s="599"/>
      <c r="BI10" s="62" t="s">
        <v>2978</v>
      </c>
      <c r="BJ10" s="599" t="s">
        <v>2998</v>
      </c>
      <c r="BK10" s="599"/>
      <c r="BL10" s="62" t="s">
        <v>318</v>
      </c>
      <c r="BM10" s="62" t="s">
        <v>2980</v>
      </c>
      <c r="BN10" s="49"/>
      <c r="BO10" s="599" t="s">
        <v>3004</v>
      </c>
      <c r="BP10" s="599"/>
      <c r="BQ10" s="62" t="s">
        <v>2978</v>
      </c>
      <c r="BR10" s="599" t="s">
        <v>2982</v>
      </c>
      <c r="BS10" s="599"/>
      <c r="BT10" s="62"/>
      <c r="BU10" s="49" t="s">
        <v>2983</v>
      </c>
      <c r="BV10" s="49"/>
      <c r="BW10" s="49"/>
      <c r="BX10" s="49"/>
      <c r="BY10" s="49"/>
      <c r="BZ10" s="49"/>
      <c r="CA10" s="49"/>
    </row>
    <row r="11" spans="1:79">
      <c r="A11" s="54" t="s">
        <v>3005</v>
      </c>
      <c r="B11" s="49"/>
      <c r="C11" s="49"/>
      <c r="D11" s="49"/>
      <c r="E11" s="613" t="s">
        <v>3006</v>
      </c>
      <c r="F11" s="614"/>
      <c r="G11" s="615"/>
      <c r="H11" s="49"/>
      <c r="I11" s="613" t="s">
        <v>3007</v>
      </c>
      <c r="J11" s="614"/>
      <c r="K11" s="615"/>
      <c r="L11" s="49"/>
      <c r="M11" s="613" t="s">
        <v>3008</v>
      </c>
      <c r="N11" s="614"/>
      <c r="O11" s="615"/>
      <c r="P11" s="49"/>
      <c r="Q11" s="49"/>
      <c r="R11" s="49"/>
      <c r="S11" s="49"/>
      <c r="T11" s="56"/>
      <c r="U11" s="62">
        <f ca="1">IFERROR(小羊的家备份!AQ6,"")</f>
        <v>30000</v>
      </c>
      <c r="V11" s="599" t="str">
        <f ca="1">IFERROR(小羊的家备份!AR6,"")</f>
        <v>夜水符石*1</v>
      </c>
      <c r="W11" s="599"/>
      <c r="X11" s="599" t="str">
        <f ca="1">IFERROR(小羊的家备份!AS6,"")</f>
        <v>90%圣水</v>
      </c>
      <c r="Y11" s="599"/>
      <c r="Z11" s="599" t="str">
        <f ca="1">IFERROR(小羊的家备份!AT6,"")</f>
        <v>力量药水*2</v>
      </c>
      <c r="AA11" s="599"/>
      <c r="AB11" s="62">
        <f ca="1">IFERROR(小羊的家备份!AU6,"")</f>
        <v>80</v>
      </c>
      <c r="AC11" s="49"/>
      <c r="AD11" s="49"/>
      <c r="AE11" s="49"/>
      <c r="AF11" s="49"/>
      <c r="AG11" s="49"/>
      <c r="AH11" s="49"/>
      <c r="AI11" s="49"/>
      <c r="AJ11" s="62" t="s">
        <v>3009</v>
      </c>
      <c r="AK11" s="49" t="s">
        <v>3010</v>
      </c>
      <c r="AL11" s="49"/>
      <c r="AM11" s="49"/>
      <c r="AN11" s="49"/>
      <c r="AO11" s="49"/>
      <c r="AP11" s="49"/>
      <c r="AQ11" s="49"/>
      <c r="AR11" s="49"/>
      <c r="AS11" s="49"/>
      <c r="AT11" s="49"/>
      <c r="AU11" s="49"/>
      <c r="AV11" s="49"/>
      <c r="AW11" s="49"/>
      <c r="AX11" s="49"/>
      <c r="AY11" s="49"/>
      <c r="AZ11" s="49"/>
      <c r="BA11" s="49"/>
      <c r="BB11" s="49"/>
      <c r="BC11" s="49"/>
      <c r="BD11" s="49"/>
      <c r="BE11" s="49"/>
      <c r="BF11" s="49"/>
      <c r="BG11" s="599" t="s">
        <v>3011</v>
      </c>
      <c r="BH11" s="599"/>
      <c r="BI11" s="62" t="s">
        <v>2978</v>
      </c>
      <c r="BJ11" s="599" t="s">
        <v>3012</v>
      </c>
      <c r="BK11" s="599"/>
      <c r="BL11" s="62" t="s">
        <v>318</v>
      </c>
      <c r="BM11" s="62" t="s">
        <v>2980</v>
      </c>
      <c r="BN11" s="49"/>
      <c r="BO11" s="599" t="s">
        <v>3013</v>
      </c>
      <c r="BP11" s="599"/>
      <c r="BQ11" s="62" t="s">
        <v>2978</v>
      </c>
      <c r="BR11" s="599" t="s">
        <v>3014</v>
      </c>
      <c r="BS11" s="599"/>
      <c r="BT11" s="62">
        <v>8</v>
      </c>
      <c r="BU11" s="49" t="s">
        <v>2994</v>
      </c>
      <c r="BV11" s="49"/>
      <c r="BW11" s="49"/>
      <c r="BX11" s="49"/>
      <c r="BY11" s="49"/>
      <c r="BZ11" s="49"/>
      <c r="CA11" s="49"/>
    </row>
    <row r="12" spans="1:79">
      <c r="A12" s="54" t="s">
        <v>3015</v>
      </c>
      <c r="B12" s="49"/>
      <c r="C12" s="49"/>
      <c r="D12" s="49"/>
      <c r="E12" s="613"/>
      <c r="F12" s="614"/>
      <c r="G12" s="615"/>
      <c r="H12" s="49"/>
      <c r="I12" s="613"/>
      <c r="J12" s="614"/>
      <c r="K12" s="615"/>
      <c r="L12" s="49"/>
      <c r="M12" s="613"/>
      <c r="N12" s="614"/>
      <c r="O12" s="615"/>
      <c r="P12" s="49"/>
      <c r="Q12" s="49"/>
      <c r="R12" s="49"/>
      <c r="S12" s="49"/>
      <c r="T12" s="56"/>
      <c r="U12" s="62">
        <f ca="1">IFERROR(小羊的家备份!AQ7,"")</f>
        <v>50000</v>
      </c>
      <c r="V12" s="599" t="str">
        <f ca="1">IFERROR(小羊的家备份!AR7,"")</f>
        <v>英雄之书*1</v>
      </c>
      <c r="W12" s="599"/>
      <c r="X12" s="599" t="str">
        <f ca="1">IFERROR(小羊的家备份!AS7,"")</f>
        <v>圣水符石*1</v>
      </c>
      <c r="Y12" s="599"/>
      <c r="Z12" s="599" t="str">
        <f ca="1">IFERROR(小羊的家备份!AT7,"")</f>
        <v>100宝石</v>
      </c>
      <c r="AA12" s="599"/>
      <c r="AB12" s="62">
        <f ca="1">IFERROR(小羊的家备份!AU7,"")</f>
        <v>100</v>
      </c>
      <c r="AC12" s="49"/>
      <c r="AD12" s="49"/>
      <c r="AE12" s="49"/>
      <c r="AF12" s="49"/>
      <c r="AG12" s="49"/>
      <c r="AH12" s="49"/>
      <c r="AI12" s="49"/>
      <c r="AJ12" s="62" t="s">
        <v>3016</v>
      </c>
      <c r="AK12" s="49" t="s">
        <v>3017</v>
      </c>
      <c r="AL12" s="49"/>
      <c r="AM12" s="49"/>
      <c r="AN12" s="49"/>
      <c r="AO12" s="49"/>
      <c r="AP12" s="49"/>
      <c r="AQ12" s="49"/>
      <c r="AR12" s="49"/>
      <c r="AS12" s="49"/>
      <c r="AT12" s="49"/>
      <c r="AU12" s="49"/>
      <c r="AV12" s="49"/>
      <c r="AW12" s="49"/>
      <c r="AX12" s="49"/>
      <c r="AY12" s="49"/>
      <c r="AZ12" s="49"/>
      <c r="BA12" s="49"/>
      <c r="BB12" s="49"/>
      <c r="BC12" s="49"/>
      <c r="BD12" s="49"/>
      <c r="BE12" s="49"/>
      <c r="BF12" s="49"/>
      <c r="BG12" s="599" t="s">
        <v>2977</v>
      </c>
      <c r="BH12" s="599"/>
      <c r="BI12" s="62" t="s">
        <v>2989</v>
      </c>
      <c r="BJ12" s="599" t="s">
        <v>3018</v>
      </c>
      <c r="BK12" s="599"/>
      <c r="BL12" s="62" t="s">
        <v>2991</v>
      </c>
      <c r="BM12" s="62" t="s">
        <v>2980</v>
      </c>
      <c r="BN12" s="49"/>
      <c r="BO12" s="599" t="s">
        <v>3019</v>
      </c>
      <c r="BP12" s="599"/>
      <c r="BQ12" s="62" t="s">
        <v>2978</v>
      </c>
      <c r="BR12" s="599" t="s">
        <v>3014</v>
      </c>
      <c r="BS12" s="599"/>
      <c r="BT12" s="62">
        <v>8</v>
      </c>
      <c r="BU12" s="49" t="s">
        <v>2994</v>
      </c>
      <c r="BV12" s="49"/>
      <c r="BW12" s="49"/>
      <c r="BX12" s="49"/>
      <c r="BY12" s="49"/>
      <c r="BZ12" s="49"/>
      <c r="CA12" s="49"/>
    </row>
    <row r="13" spans="1:79">
      <c r="A13" s="54" t="s">
        <v>3020</v>
      </c>
      <c r="B13" s="49"/>
      <c r="C13" s="49"/>
      <c r="D13" s="49"/>
      <c r="E13" s="59" t="s">
        <v>3021</v>
      </c>
      <c r="F13" s="60"/>
      <c r="G13" s="61" t="s">
        <v>3022</v>
      </c>
      <c r="H13" s="49"/>
      <c r="I13" s="59" t="s">
        <v>3021</v>
      </c>
      <c r="J13" s="60"/>
      <c r="K13" s="61" t="s">
        <v>3022</v>
      </c>
      <c r="L13" s="49"/>
      <c r="M13" s="59" t="s">
        <v>3021</v>
      </c>
      <c r="N13" s="60"/>
      <c r="O13" s="61" t="s">
        <v>3022</v>
      </c>
      <c r="P13" s="49"/>
      <c r="Q13" s="49"/>
      <c r="R13" s="49"/>
      <c r="S13" s="49"/>
      <c r="T13" s="49"/>
      <c r="U13" s="62">
        <f ca="1">IFERROR(小羊的家备份!AQ8,"")</f>
        <v>75000</v>
      </c>
      <c r="V13" s="599" t="str">
        <f ca="1">IFERROR(小羊的家备份!AR8,"")</f>
        <v>万能之书*1</v>
      </c>
      <c r="W13" s="599"/>
      <c r="X13" s="599" t="str">
        <f ca="1">IFERROR(小羊的家备份!AS8,"")</f>
        <v>工人药水*2</v>
      </c>
      <c r="Y13" s="599"/>
      <c r="Z13" s="599" t="str">
        <f ca="1">IFERROR(小羊的家备份!AT8,"")</f>
        <v>超级药水*2</v>
      </c>
      <c r="AA13" s="599"/>
      <c r="AB13" s="62">
        <f ca="1">IFERROR(小羊的家备份!AU8,"")</f>
        <v>120</v>
      </c>
      <c r="AC13" s="49"/>
      <c r="AD13" s="49"/>
      <c r="AE13" s="49"/>
      <c r="AF13" s="49"/>
      <c r="AG13" s="49"/>
      <c r="AH13" s="49"/>
      <c r="AI13" s="49"/>
      <c r="AJ13" s="62" t="s">
        <v>3023</v>
      </c>
      <c r="AK13" s="49" t="s">
        <v>3024</v>
      </c>
      <c r="AL13" s="49"/>
      <c r="AM13" s="49"/>
      <c r="AN13" s="49"/>
      <c r="AO13" s="49"/>
      <c r="AP13" s="49"/>
      <c r="AQ13" s="49"/>
      <c r="AR13" s="49"/>
      <c r="AS13" s="49"/>
      <c r="AT13" s="49"/>
      <c r="AU13" s="49"/>
      <c r="AV13" s="49"/>
      <c r="AW13" s="49"/>
      <c r="AX13" s="49"/>
      <c r="AY13" s="49"/>
      <c r="AZ13" s="49"/>
      <c r="BA13" s="49"/>
      <c r="BB13" s="49"/>
      <c r="BC13" s="49"/>
      <c r="BD13" s="49"/>
      <c r="BE13" s="49"/>
      <c r="BF13" s="49"/>
      <c r="BG13" s="599" t="s">
        <v>3025</v>
      </c>
      <c r="BH13" s="599"/>
      <c r="BI13" s="62" t="s">
        <v>2978</v>
      </c>
      <c r="BJ13" s="599" t="s">
        <v>3026</v>
      </c>
      <c r="BK13" s="599"/>
      <c r="BL13" s="62" t="s">
        <v>318</v>
      </c>
      <c r="BM13" s="62" t="s">
        <v>2980</v>
      </c>
      <c r="BN13" s="49"/>
      <c r="BO13" s="599" t="s">
        <v>3027</v>
      </c>
      <c r="BP13" s="599"/>
      <c r="BQ13" s="62" t="s">
        <v>2978</v>
      </c>
      <c r="BR13" s="599" t="s">
        <v>3028</v>
      </c>
      <c r="BS13" s="599"/>
      <c r="BT13" s="62">
        <v>10</v>
      </c>
      <c r="BU13" s="49" t="s">
        <v>2983</v>
      </c>
      <c r="BV13" s="49"/>
      <c r="BW13" s="49"/>
      <c r="BX13" s="49"/>
      <c r="BY13" s="49"/>
      <c r="BZ13" s="49"/>
      <c r="CA13" s="49"/>
    </row>
    <row r="14" spans="1:79">
      <c r="A14" s="49"/>
      <c r="B14" s="49"/>
      <c r="C14" s="49"/>
      <c r="D14" s="49"/>
      <c r="E14" s="49"/>
      <c r="F14" s="49"/>
      <c r="G14" s="49"/>
      <c r="H14" s="49"/>
      <c r="I14" s="49"/>
      <c r="J14" s="49"/>
      <c r="K14" s="49"/>
      <c r="L14" s="49"/>
      <c r="M14" s="49"/>
      <c r="N14" s="49"/>
      <c r="O14" s="49"/>
      <c r="P14" s="49"/>
      <c r="Q14" s="49"/>
      <c r="R14" s="49"/>
      <c r="S14" s="49"/>
      <c r="T14" s="49"/>
      <c r="U14" s="49" t="s">
        <v>3029</v>
      </c>
      <c r="V14" s="49"/>
      <c r="W14" s="49"/>
      <c r="X14" s="49"/>
      <c r="Y14" s="49"/>
      <c r="Z14" s="49"/>
      <c r="AA14" s="49"/>
      <c r="AB14" s="49"/>
      <c r="AC14" s="49"/>
      <c r="AD14" s="49"/>
      <c r="AE14" s="49"/>
      <c r="AF14" s="49"/>
      <c r="AG14" s="49"/>
      <c r="AH14" s="49"/>
      <c r="AI14" s="49"/>
      <c r="AJ14" s="62" t="s">
        <v>3030</v>
      </c>
      <c r="AK14" s="49" t="s">
        <v>3031</v>
      </c>
      <c r="AL14" s="49"/>
      <c r="AM14" s="49"/>
      <c r="AN14" s="49"/>
      <c r="AO14" s="49"/>
      <c r="AP14" s="49"/>
      <c r="AQ14" s="49"/>
      <c r="AR14" s="49"/>
      <c r="AS14" s="49"/>
      <c r="AT14" s="49"/>
      <c r="AU14" s="49"/>
      <c r="AV14" s="49"/>
      <c r="AW14" s="49"/>
      <c r="AX14" s="49"/>
      <c r="AY14" s="49"/>
      <c r="AZ14" s="49"/>
      <c r="BA14" s="49"/>
      <c r="BB14" s="49"/>
      <c r="BC14" s="49"/>
      <c r="BD14" s="49"/>
      <c r="BE14" s="49"/>
      <c r="BF14" s="49"/>
      <c r="BG14" s="599" t="s">
        <v>3025</v>
      </c>
      <c r="BH14" s="599"/>
      <c r="BI14" s="62" t="s">
        <v>2978</v>
      </c>
      <c r="BJ14" s="599" t="s">
        <v>3026</v>
      </c>
      <c r="BK14" s="599"/>
      <c r="BL14" s="62" t="s">
        <v>318</v>
      </c>
      <c r="BM14" s="62" t="s">
        <v>2980</v>
      </c>
      <c r="BN14" s="49"/>
      <c r="BO14" s="599" t="s">
        <v>3032</v>
      </c>
      <c r="BP14" s="599"/>
      <c r="BQ14" s="62" t="s">
        <v>2978</v>
      </c>
      <c r="BR14" s="599" t="s">
        <v>3033</v>
      </c>
      <c r="BS14" s="599"/>
      <c r="BT14" s="62">
        <v>12</v>
      </c>
      <c r="BU14" s="49" t="s">
        <v>2983</v>
      </c>
      <c r="BV14" s="49"/>
      <c r="BW14" s="49"/>
      <c r="BX14" s="49"/>
      <c r="BY14" s="49"/>
      <c r="BZ14" s="49"/>
      <c r="CA14" s="49"/>
    </row>
    <row r="15" spans="1:79">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62" t="s">
        <v>3034</v>
      </c>
      <c r="AK15" s="49" t="s">
        <v>3035</v>
      </c>
      <c r="AL15" s="49"/>
      <c r="AM15" s="49"/>
      <c r="AN15" s="49"/>
      <c r="AO15" s="49"/>
      <c r="AP15" s="49"/>
      <c r="AQ15" s="49"/>
      <c r="AR15" s="49"/>
      <c r="AS15" s="49"/>
      <c r="AT15" s="49"/>
      <c r="AU15" s="49"/>
      <c r="AV15" s="49"/>
      <c r="AW15" s="49"/>
      <c r="AX15" s="49"/>
      <c r="AY15" s="49"/>
      <c r="AZ15" s="49"/>
      <c r="BA15" s="49"/>
      <c r="BB15" s="49"/>
      <c r="BC15" s="49"/>
      <c r="BD15" s="49"/>
      <c r="BE15" s="49"/>
      <c r="BF15" s="49"/>
      <c r="BG15" s="599" t="s">
        <v>3036</v>
      </c>
      <c r="BH15" s="599"/>
      <c r="BI15" s="62" t="s">
        <v>2978</v>
      </c>
      <c r="BJ15" s="599" t="s">
        <v>3037</v>
      </c>
      <c r="BK15" s="599"/>
      <c r="BL15" s="62" t="s">
        <v>318</v>
      </c>
      <c r="BM15" s="62" t="s">
        <v>2980</v>
      </c>
      <c r="BN15" s="49"/>
      <c r="BO15" s="599" t="s">
        <v>3038</v>
      </c>
      <c r="BP15" s="599"/>
      <c r="BQ15" s="62" t="s">
        <v>2978</v>
      </c>
      <c r="BR15" s="599" t="s">
        <v>3033</v>
      </c>
      <c r="BS15" s="599"/>
      <c r="BT15" s="62">
        <v>12</v>
      </c>
      <c r="BU15" s="49" t="s">
        <v>2983</v>
      </c>
      <c r="BV15" s="49"/>
      <c r="BW15" s="49"/>
      <c r="BX15" s="49"/>
      <c r="BY15" s="49"/>
      <c r="BZ15" s="49"/>
      <c r="CA15" s="49"/>
    </row>
    <row r="16" spans="1:79">
      <c r="A16" s="49"/>
      <c r="B16" s="49"/>
      <c r="C16" s="49"/>
      <c r="D16" s="49"/>
      <c r="E16" s="51" t="s">
        <v>3039</v>
      </c>
      <c r="F16" s="52"/>
      <c r="G16" s="53" t="s">
        <v>3040</v>
      </c>
      <c r="H16" s="49"/>
      <c r="I16" s="51" t="s">
        <v>3041</v>
      </c>
      <c r="J16" s="52"/>
      <c r="K16" s="53" t="s">
        <v>3040</v>
      </c>
      <c r="L16" s="49"/>
      <c r="M16" s="51" t="s">
        <v>3042</v>
      </c>
      <c r="N16" s="52"/>
      <c r="O16" s="53" t="s">
        <v>3043</v>
      </c>
      <c r="P16" s="49"/>
      <c r="Q16" s="49"/>
      <c r="R16" s="49"/>
      <c r="S16" s="49"/>
      <c r="T16" s="49"/>
      <c r="U16" s="49"/>
      <c r="V16" s="49"/>
      <c r="W16" s="49"/>
      <c r="X16" s="49"/>
      <c r="Y16" s="49"/>
      <c r="Z16" s="49"/>
      <c r="AA16" s="49"/>
      <c r="AB16" s="49"/>
      <c r="AC16" s="49"/>
      <c r="AD16" s="49"/>
      <c r="AE16" s="49"/>
      <c r="AF16" s="49"/>
      <c r="AG16" s="49"/>
      <c r="AH16" s="49"/>
      <c r="AI16" s="49"/>
      <c r="AJ16" s="62" t="s">
        <v>3044</v>
      </c>
      <c r="AK16" s="49" t="s">
        <v>3045</v>
      </c>
      <c r="AL16" s="49"/>
      <c r="AM16" s="49"/>
      <c r="AN16" s="49"/>
      <c r="AO16" s="49"/>
      <c r="AP16" s="49"/>
      <c r="AQ16" s="49"/>
      <c r="AR16" s="49"/>
      <c r="AS16" s="49"/>
      <c r="AT16" s="49"/>
      <c r="AU16" s="49"/>
      <c r="AV16" s="49"/>
      <c r="AW16" s="49"/>
      <c r="AX16" s="49"/>
      <c r="AY16" s="49"/>
      <c r="AZ16" s="49"/>
      <c r="BA16" s="49"/>
      <c r="BB16" s="49"/>
      <c r="BC16" s="49"/>
      <c r="BD16" s="49"/>
      <c r="BE16" s="49"/>
      <c r="BF16" s="49"/>
      <c r="BG16" s="599" t="s">
        <v>3025</v>
      </c>
      <c r="BH16" s="599"/>
      <c r="BI16" s="62" t="s">
        <v>2978</v>
      </c>
      <c r="BJ16" s="599" t="s">
        <v>3026</v>
      </c>
      <c r="BK16" s="599"/>
      <c r="BL16" s="62" t="s">
        <v>318</v>
      </c>
      <c r="BM16" s="62" t="s">
        <v>2980</v>
      </c>
      <c r="BN16" s="49"/>
      <c r="BO16" s="599" t="s">
        <v>3046</v>
      </c>
      <c r="BP16" s="599"/>
      <c r="BQ16" s="62" t="s">
        <v>2978</v>
      </c>
      <c r="BR16" s="599" t="s">
        <v>3047</v>
      </c>
      <c r="BS16" s="599"/>
      <c r="BT16" s="62">
        <v>30</v>
      </c>
      <c r="BU16" s="49" t="s">
        <v>2983</v>
      </c>
      <c r="BV16" s="49"/>
      <c r="BW16" s="49"/>
      <c r="BX16" s="49"/>
      <c r="BY16" s="49"/>
      <c r="BZ16" s="49"/>
      <c r="CA16" s="49"/>
    </row>
    <row r="17" spans="1:79">
      <c r="A17" s="49"/>
      <c r="B17" s="49"/>
      <c r="C17" s="49"/>
      <c r="D17" s="49"/>
      <c r="E17" s="55"/>
      <c r="F17" s="49"/>
      <c r="G17" s="56"/>
      <c r="H17" s="49"/>
      <c r="I17" s="55"/>
      <c r="J17" s="49"/>
      <c r="K17" s="56"/>
      <c r="L17" s="49"/>
      <c r="M17" s="55"/>
      <c r="N17" s="49"/>
      <c r="O17" s="56"/>
      <c r="P17" s="49"/>
      <c r="Q17" s="49"/>
      <c r="R17" s="49"/>
      <c r="S17" s="49"/>
      <c r="T17" s="49"/>
      <c r="U17" s="49"/>
      <c r="V17" s="49"/>
      <c r="W17" s="49"/>
      <c r="X17" s="49"/>
      <c r="Y17" s="49"/>
      <c r="Z17" s="49"/>
      <c r="AA17" s="49"/>
      <c r="AB17" s="49"/>
      <c r="AC17" s="49"/>
      <c r="AD17" s="49"/>
      <c r="AE17" s="49"/>
      <c r="AF17" s="49"/>
      <c r="AG17" s="49"/>
      <c r="AH17" s="49"/>
      <c r="AI17" s="49"/>
      <c r="AJ17" s="62" t="s">
        <v>3048</v>
      </c>
      <c r="AK17" s="49" t="s">
        <v>3049</v>
      </c>
      <c r="AL17" s="49"/>
      <c r="AM17" s="49"/>
      <c r="AN17" s="49"/>
      <c r="AO17" s="49"/>
      <c r="AP17" s="49"/>
      <c r="AQ17" s="49"/>
      <c r="AR17" s="49"/>
      <c r="AS17" s="49"/>
      <c r="AT17" s="49"/>
      <c r="AU17" s="49"/>
      <c r="AV17" s="49"/>
      <c r="AW17" s="49"/>
      <c r="AX17" s="49"/>
      <c r="AY17" s="49"/>
      <c r="AZ17" s="49"/>
      <c r="BA17" s="49"/>
      <c r="BB17" s="49"/>
      <c r="BC17" s="49"/>
      <c r="BD17" s="49"/>
      <c r="BE17" s="49"/>
      <c r="BF17" s="49"/>
      <c r="BG17" s="599" t="s">
        <v>2988</v>
      </c>
      <c r="BH17" s="599"/>
      <c r="BI17" s="62" t="s">
        <v>2978</v>
      </c>
      <c r="BJ17" s="599" t="s">
        <v>2998</v>
      </c>
      <c r="BK17" s="599"/>
      <c r="BL17" s="62" t="s">
        <v>318</v>
      </c>
      <c r="BM17" s="62" t="s">
        <v>2980</v>
      </c>
      <c r="BN17" s="49"/>
      <c r="BO17" s="599" t="s">
        <v>3050</v>
      </c>
      <c r="BP17" s="599"/>
      <c r="BQ17" s="62" t="s">
        <v>2978</v>
      </c>
      <c r="BR17" s="599" t="s">
        <v>3051</v>
      </c>
      <c r="BS17" s="599"/>
      <c r="BT17" s="62">
        <v>15</v>
      </c>
      <c r="BU17" s="80" t="s">
        <v>2983</v>
      </c>
      <c r="BV17" s="49"/>
      <c r="BW17" s="49"/>
      <c r="BX17" s="49"/>
      <c r="BY17" s="49"/>
      <c r="BZ17" s="49"/>
      <c r="CA17" s="49"/>
    </row>
    <row r="18" spans="1:79">
      <c r="A18" s="49"/>
      <c r="B18" s="49"/>
      <c r="C18" s="49"/>
      <c r="D18" s="49"/>
      <c r="E18" s="55"/>
      <c r="F18" s="49"/>
      <c r="G18" s="56"/>
      <c r="H18" s="49"/>
      <c r="I18" s="55"/>
      <c r="J18" s="49"/>
      <c r="K18" s="56"/>
      <c r="L18" s="49"/>
      <c r="M18" s="55"/>
      <c r="N18" s="49"/>
      <c r="O18" s="56"/>
      <c r="P18" s="49"/>
      <c r="Q18" s="49"/>
      <c r="R18" s="596" t="s">
        <v>3052</v>
      </c>
      <c r="S18" s="596"/>
      <c r="T18" s="49"/>
      <c r="U18" s="49"/>
      <c r="V18" s="49"/>
      <c r="W18" s="49"/>
      <c r="X18" s="49"/>
      <c r="Y18" s="49"/>
      <c r="Z18" s="49"/>
      <c r="AA18" s="49"/>
      <c r="AB18" s="49"/>
      <c r="AC18" s="49"/>
      <c r="AD18" s="49"/>
      <c r="AE18" s="49"/>
      <c r="AF18" s="49"/>
      <c r="AG18" s="49"/>
      <c r="AH18" s="49"/>
      <c r="AI18" s="49"/>
      <c r="AJ18" s="62" t="s">
        <v>3053</v>
      </c>
      <c r="AK18" s="49" t="s">
        <v>3054</v>
      </c>
      <c r="AL18" s="49"/>
      <c r="AM18" s="49"/>
      <c r="AN18" s="49"/>
      <c r="AO18" s="49"/>
      <c r="AP18" s="49"/>
      <c r="AQ18" s="49"/>
      <c r="AR18" s="49"/>
      <c r="AS18" s="49"/>
      <c r="AT18" s="49"/>
      <c r="AU18" s="49"/>
      <c r="AV18" s="49"/>
      <c r="AW18" s="49"/>
      <c r="AX18" s="49"/>
      <c r="AY18" s="49"/>
      <c r="AZ18" s="49"/>
      <c r="BA18" s="49"/>
      <c r="BB18" s="49"/>
      <c r="BC18" s="49"/>
      <c r="BD18" s="49"/>
      <c r="BE18" s="49"/>
      <c r="BF18" s="49"/>
      <c r="BG18" s="599" t="s">
        <v>2988</v>
      </c>
      <c r="BH18" s="599"/>
      <c r="BI18" s="62" t="s">
        <v>2978</v>
      </c>
      <c r="BJ18" s="599" t="s">
        <v>2998</v>
      </c>
      <c r="BK18" s="599"/>
      <c r="BL18" s="62" t="s">
        <v>318</v>
      </c>
      <c r="BM18" s="62" t="s">
        <v>2980</v>
      </c>
      <c r="BN18" s="49"/>
      <c r="BO18" s="599" t="s">
        <v>3055</v>
      </c>
      <c r="BP18" s="599"/>
      <c r="BQ18" s="62" t="s">
        <v>2978</v>
      </c>
      <c r="BR18" s="599" t="s">
        <v>3056</v>
      </c>
      <c r="BS18" s="599"/>
      <c r="BT18" s="62">
        <v>75</v>
      </c>
      <c r="BU18" s="49" t="s">
        <v>2983</v>
      </c>
      <c r="BV18" s="49"/>
      <c r="BW18" s="49"/>
      <c r="BX18" s="49"/>
      <c r="BY18" s="49"/>
      <c r="BZ18" s="49"/>
      <c r="CA18" s="49"/>
    </row>
    <row r="19" spans="1:79">
      <c r="A19" s="49"/>
      <c r="B19" s="49"/>
      <c r="C19" s="49"/>
      <c r="D19" s="49"/>
      <c r="E19" s="55"/>
      <c r="F19" s="49"/>
      <c r="G19" s="56"/>
      <c r="H19" s="49"/>
      <c r="I19" s="55"/>
      <c r="J19" s="49"/>
      <c r="K19" s="56"/>
      <c r="L19" s="49"/>
      <c r="M19" s="55"/>
      <c r="N19" s="49"/>
      <c r="O19" s="56"/>
      <c r="P19" s="49"/>
      <c r="Q19" s="49"/>
      <c r="R19" s="597"/>
      <c r="S19" s="597"/>
      <c r="T19" s="50"/>
      <c r="U19" s="50"/>
      <c r="V19" s="50"/>
      <c r="W19" s="50"/>
      <c r="X19" s="50"/>
      <c r="Y19" s="50"/>
      <c r="Z19" s="50"/>
      <c r="AA19" s="50"/>
      <c r="AB19" s="50"/>
      <c r="AC19" s="50"/>
      <c r="AD19" s="50"/>
      <c r="AE19" s="50"/>
      <c r="AF19" s="50"/>
      <c r="AG19" s="50"/>
      <c r="AH19" s="49"/>
      <c r="AI19" s="49"/>
      <c r="AJ19" s="62" t="s">
        <v>3057</v>
      </c>
      <c r="AK19" s="49" t="s">
        <v>3058</v>
      </c>
      <c r="AL19" s="49"/>
      <c r="AM19" s="49"/>
      <c r="AN19" s="49"/>
      <c r="AO19" s="49"/>
      <c r="AP19" s="49"/>
      <c r="AQ19" s="49"/>
      <c r="AR19" s="49"/>
      <c r="AS19" s="49"/>
      <c r="AT19" s="49"/>
      <c r="AU19" s="49"/>
      <c r="AV19" s="49"/>
      <c r="AW19" s="49"/>
      <c r="AX19" s="49"/>
      <c r="AY19" s="49"/>
      <c r="AZ19" s="49"/>
      <c r="BA19" s="49"/>
      <c r="BB19" s="49"/>
      <c r="BC19" s="49"/>
      <c r="BD19" s="49"/>
      <c r="BE19" s="49"/>
      <c r="BF19" s="49"/>
      <c r="BG19" s="599" t="s">
        <v>2977</v>
      </c>
      <c r="BH19" s="599"/>
      <c r="BI19" s="62" t="s">
        <v>2989</v>
      </c>
      <c r="BJ19" s="599" t="s">
        <v>3028</v>
      </c>
      <c r="BK19" s="599"/>
      <c r="BL19" s="62" t="s">
        <v>2991</v>
      </c>
      <c r="BM19" s="62" t="s">
        <v>2980</v>
      </c>
      <c r="BN19" s="49"/>
      <c r="BO19" s="599" t="s">
        <v>3059</v>
      </c>
      <c r="BP19" s="599"/>
      <c r="BQ19" s="62" t="s">
        <v>2978</v>
      </c>
      <c r="BR19" s="599" t="s">
        <v>2982</v>
      </c>
      <c r="BS19" s="599"/>
      <c r="BT19" s="62"/>
      <c r="BU19" s="49" t="s">
        <v>2983</v>
      </c>
      <c r="BV19" s="49"/>
      <c r="BW19" s="49"/>
      <c r="BX19" s="49"/>
      <c r="BY19" s="49"/>
      <c r="BZ19" s="49"/>
      <c r="CA19" s="49"/>
    </row>
    <row r="20" spans="1:79">
      <c r="A20" s="49"/>
      <c r="B20" s="49"/>
      <c r="C20" s="49"/>
      <c r="D20" s="49"/>
      <c r="E20" s="55"/>
      <c r="F20" s="49"/>
      <c r="G20" s="56"/>
      <c r="H20" s="49"/>
      <c r="I20" s="55"/>
      <c r="J20" s="49"/>
      <c r="K20" s="56"/>
      <c r="L20" s="49"/>
      <c r="M20" s="55"/>
      <c r="N20" s="49"/>
      <c r="O20" s="56"/>
      <c r="P20" s="49"/>
      <c r="Q20" s="49"/>
      <c r="R20" s="49" t="s">
        <v>3060</v>
      </c>
      <c r="S20" s="49"/>
      <c r="T20" s="49"/>
      <c r="U20" s="49"/>
      <c r="V20" s="49"/>
      <c r="W20" s="49"/>
      <c r="X20" s="49"/>
      <c r="Y20" s="49"/>
      <c r="Z20" s="49"/>
      <c r="AA20" s="49"/>
      <c r="AB20" s="49"/>
      <c r="AC20" s="49"/>
      <c r="AD20" s="49"/>
      <c r="AE20" s="49"/>
      <c r="AF20" s="49"/>
      <c r="AG20" s="49"/>
      <c r="AH20" s="49"/>
      <c r="AI20" s="49"/>
      <c r="AJ20" s="62" t="s">
        <v>3061</v>
      </c>
      <c r="AK20" s="49" t="s">
        <v>3062</v>
      </c>
      <c r="AL20" s="49"/>
      <c r="AM20" s="49"/>
      <c r="AN20" s="49"/>
      <c r="AO20" s="49"/>
      <c r="AP20" s="49"/>
      <c r="AQ20" s="49"/>
      <c r="AR20" s="49"/>
      <c r="AS20" s="49"/>
      <c r="AT20" s="49"/>
      <c r="AU20" s="49"/>
      <c r="AV20" s="49"/>
      <c r="AW20" s="49"/>
      <c r="AX20" s="49"/>
      <c r="AY20" s="49"/>
      <c r="AZ20" s="49"/>
      <c r="BA20" s="49"/>
      <c r="BB20" s="49"/>
      <c r="BC20" s="49"/>
      <c r="BD20" s="49"/>
      <c r="BE20" s="49"/>
      <c r="BF20" s="49"/>
      <c r="BG20" s="599" t="s">
        <v>2988</v>
      </c>
      <c r="BH20" s="599"/>
      <c r="BI20" s="62" t="s">
        <v>2978</v>
      </c>
      <c r="BJ20" s="599" t="s">
        <v>3063</v>
      </c>
      <c r="BK20" s="599"/>
      <c r="BL20" s="62" t="s">
        <v>2991</v>
      </c>
      <c r="BM20" s="62" t="s">
        <v>2980</v>
      </c>
      <c r="BN20" s="49"/>
      <c r="BO20" s="599" t="s">
        <v>2992</v>
      </c>
      <c r="BP20" s="599"/>
      <c r="BQ20" s="62" t="s">
        <v>2978</v>
      </c>
      <c r="BR20" s="599" t="s">
        <v>3064</v>
      </c>
      <c r="BS20" s="599"/>
      <c r="BT20" s="62">
        <v>1</v>
      </c>
      <c r="BU20" s="49" t="s">
        <v>2994</v>
      </c>
      <c r="BV20" s="49"/>
      <c r="BW20" s="49"/>
      <c r="BX20" s="49"/>
      <c r="BY20" s="49"/>
      <c r="BZ20" s="49"/>
      <c r="CA20" s="49"/>
    </row>
    <row r="21" spans="1:79">
      <c r="A21" s="49"/>
      <c r="B21" s="49"/>
      <c r="C21" s="49"/>
      <c r="D21" s="49"/>
      <c r="E21" s="55"/>
      <c r="F21" s="57"/>
      <c r="G21" s="58"/>
      <c r="H21" s="49"/>
      <c r="I21" s="55"/>
      <c r="J21" s="57"/>
      <c r="K21" s="58"/>
      <c r="L21" s="49"/>
      <c r="M21" s="55"/>
      <c r="N21" s="57"/>
      <c r="O21" s="58"/>
      <c r="P21" s="49"/>
      <c r="Q21" s="49"/>
      <c r="R21" s="49"/>
      <c r="S21" s="49"/>
      <c r="T21" s="49"/>
      <c r="U21" s="49"/>
      <c r="V21" s="49"/>
      <c r="W21" s="49"/>
      <c r="X21" s="49"/>
      <c r="Y21" s="49"/>
      <c r="Z21" s="49"/>
      <c r="AA21" s="49"/>
      <c r="AB21" s="49"/>
      <c r="AC21" s="49"/>
      <c r="AD21" s="49"/>
      <c r="AE21" s="49"/>
      <c r="AF21" s="49"/>
      <c r="AG21" s="49"/>
      <c r="AH21" s="49"/>
      <c r="AI21" s="49"/>
      <c r="AJ21" s="62" t="s">
        <v>3065</v>
      </c>
      <c r="AK21" s="49" t="s">
        <v>3066</v>
      </c>
      <c r="AL21" s="49"/>
      <c r="AM21" s="49"/>
      <c r="AN21" s="49"/>
      <c r="AO21" s="49"/>
      <c r="AP21" s="49"/>
      <c r="AQ21" s="49"/>
      <c r="AR21" s="49"/>
      <c r="AS21" s="49"/>
      <c r="AT21" s="49"/>
      <c r="AU21" s="49"/>
      <c r="AV21" s="49"/>
      <c r="AW21" s="49"/>
      <c r="AX21" s="49"/>
      <c r="AY21" s="49"/>
      <c r="AZ21" s="49"/>
      <c r="BA21" s="49"/>
      <c r="BB21" s="49"/>
      <c r="BC21" s="49"/>
      <c r="BD21" s="49"/>
      <c r="BE21" s="49"/>
      <c r="BF21" s="49"/>
      <c r="BG21" s="599" t="s">
        <v>2988</v>
      </c>
      <c r="BH21" s="599"/>
      <c r="BI21" s="62" t="s">
        <v>2989</v>
      </c>
      <c r="BJ21" s="599" t="s">
        <v>2990</v>
      </c>
      <c r="BK21" s="599"/>
      <c r="BL21" s="62" t="s">
        <v>2991</v>
      </c>
      <c r="BM21" s="62" t="s">
        <v>2980</v>
      </c>
      <c r="BN21" s="49"/>
      <c r="BO21" s="599" t="s">
        <v>3067</v>
      </c>
      <c r="BP21" s="599"/>
      <c r="BQ21" s="62" t="s">
        <v>2978</v>
      </c>
      <c r="BR21" s="599" t="s">
        <v>3068</v>
      </c>
      <c r="BS21" s="599"/>
      <c r="BT21" s="62">
        <v>40</v>
      </c>
      <c r="BU21" s="49" t="s">
        <v>2994</v>
      </c>
      <c r="BV21" s="49"/>
      <c r="BW21" s="49"/>
      <c r="BX21" s="49"/>
      <c r="BY21" s="49"/>
      <c r="BZ21" s="49"/>
      <c r="CA21" s="49"/>
    </row>
    <row r="22" spans="1:79">
      <c r="A22" s="49"/>
      <c r="B22" s="49"/>
      <c r="C22" s="49"/>
      <c r="D22" s="49"/>
      <c r="E22" s="613" t="s">
        <v>3069</v>
      </c>
      <c r="F22" s="614"/>
      <c r="G22" s="615"/>
      <c r="H22" s="49"/>
      <c r="I22" s="613" t="s">
        <v>3070</v>
      </c>
      <c r="J22" s="614"/>
      <c r="K22" s="615"/>
      <c r="L22" s="49"/>
      <c r="M22" s="613" t="s">
        <v>3071</v>
      </c>
      <c r="N22" s="614"/>
      <c r="O22" s="615"/>
      <c r="P22" s="49"/>
      <c r="Q22" s="49"/>
      <c r="R22" s="66" t="s">
        <v>3072</v>
      </c>
      <c r="S22" s="67" t="s">
        <v>240</v>
      </c>
      <c r="T22" s="67"/>
      <c r="U22" s="66"/>
      <c r="V22" s="66"/>
      <c r="W22" s="67" t="s">
        <v>3073</v>
      </c>
      <c r="X22" s="66" t="s">
        <v>3074</v>
      </c>
      <c r="Y22" s="67" t="s">
        <v>3075</v>
      </c>
      <c r="Z22" s="67" t="s">
        <v>3076</v>
      </c>
      <c r="AA22" s="62"/>
      <c r="AB22" s="70" t="s">
        <v>3077</v>
      </c>
      <c r="AC22" s="49"/>
      <c r="AD22" s="49"/>
      <c r="AE22" s="49"/>
      <c r="AF22" s="49"/>
      <c r="AG22" s="49"/>
      <c r="AH22" s="62"/>
      <c r="AI22" s="62"/>
      <c r="AJ22" s="62" t="s">
        <v>3078</v>
      </c>
      <c r="AK22" s="49" t="s">
        <v>3079</v>
      </c>
      <c r="AL22" s="49"/>
      <c r="AM22" s="49"/>
      <c r="AN22" s="49"/>
      <c r="AO22" s="49"/>
      <c r="AP22" s="49"/>
      <c r="AQ22" s="49"/>
      <c r="AR22" s="49"/>
      <c r="AS22" s="49"/>
      <c r="AT22" s="49"/>
      <c r="AU22" s="49"/>
      <c r="AV22" s="49"/>
      <c r="AW22" s="49"/>
      <c r="AX22" s="49"/>
      <c r="AY22" s="49"/>
      <c r="AZ22" s="49"/>
      <c r="BA22" s="49"/>
      <c r="BB22" s="49"/>
      <c r="BC22" s="49"/>
      <c r="BD22" s="49"/>
      <c r="BE22" s="49"/>
      <c r="BF22" s="49"/>
      <c r="BG22" s="599" t="s">
        <v>3080</v>
      </c>
      <c r="BH22" s="599"/>
      <c r="BI22" s="62" t="s">
        <v>3081</v>
      </c>
      <c r="BJ22" s="599" t="s">
        <v>3082</v>
      </c>
      <c r="BK22" s="599"/>
      <c r="BL22" s="62" t="s">
        <v>3083</v>
      </c>
      <c r="BM22" s="62" t="s">
        <v>3000</v>
      </c>
      <c r="BN22" s="49"/>
      <c r="BO22" s="599" t="s">
        <v>3084</v>
      </c>
      <c r="BP22" s="599"/>
      <c r="BQ22" s="62" t="s">
        <v>2978</v>
      </c>
      <c r="BR22" s="599" t="s">
        <v>3068</v>
      </c>
      <c r="BS22" s="599"/>
      <c r="BT22" s="62">
        <v>40</v>
      </c>
      <c r="BU22" s="49" t="s">
        <v>2994</v>
      </c>
      <c r="BV22" s="49"/>
      <c r="BW22" s="49"/>
      <c r="BX22" s="49"/>
      <c r="BY22" s="49"/>
      <c r="BZ22" s="49"/>
      <c r="CA22" s="49"/>
    </row>
    <row r="23" spans="1:79">
      <c r="A23" s="49"/>
      <c r="B23" s="49"/>
      <c r="C23" s="49"/>
      <c r="D23" s="49"/>
      <c r="E23" s="613"/>
      <c r="F23" s="614"/>
      <c r="G23" s="615"/>
      <c r="H23" s="49"/>
      <c r="I23" s="613"/>
      <c r="J23" s="614"/>
      <c r="K23" s="615"/>
      <c r="L23" s="49"/>
      <c r="M23" s="613"/>
      <c r="N23" s="614"/>
      <c r="O23" s="615"/>
      <c r="P23" s="49"/>
      <c r="Q23" s="49"/>
      <c r="R23" s="68" t="s">
        <v>3085</v>
      </c>
      <c r="S23" s="69" t="s">
        <v>3086</v>
      </c>
      <c r="T23" s="68"/>
      <c r="U23" s="68"/>
      <c r="V23" s="68"/>
      <c r="W23" s="68">
        <v>119</v>
      </c>
      <c r="X23" s="68" t="s">
        <v>3087</v>
      </c>
      <c r="Y23" s="68">
        <v>392</v>
      </c>
      <c r="Z23" s="68">
        <v>9.5</v>
      </c>
      <c r="AA23" s="62"/>
      <c r="AB23" s="70" t="s">
        <v>3088</v>
      </c>
      <c r="AC23" s="49"/>
      <c r="AD23" s="62"/>
      <c r="AE23" s="62"/>
      <c r="AF23" s="62"/>
      <c r="AG23" s="49"/>
      <c r="AH23" s="62"/>
      <c r="AI23" s="62"/>
      <c r="AJ23" s="62" t="s">
        <v>3089</v>
      </c>
      <c r="AK23" s="49" t="s">
        <v>3090</v>
      </c>
      <c r="AL23" s="49"/>
      <c r="AM23" s="49"/>
      <c r="AN23" s="49"/>
      <c r="AO23" s="49"/>
      <c r="AP23" s="49"/>
      <c r="AQ23" s="49"/>
      <c r="AR23" s="49"/>
      <c r="AS23" s="49"/>
      <c r="AT23" s="49"/>
      <c r="AU23" s="49"/>
      <c r="AV23" s="49"/>
      <c r="AW23" s="49"/>
      <c r="AX23" s="49"/>
      <c r="AY23" s="49"/>
      <c r="AZ23" s="49"/>
      <c r="BA23" s="49"/>
      <c r="BB23" s="49"/>
      <c r="BC23" s="49"/>
      <c r="BD23" s="49"/>
      <c r="BE23" s="49"/>
      <c r="BF23" s="49"/>
      <c r="BG23" s="602" t="s">
        <v>3091</v>
      </c>
      <c r="BH23" s="602"/>
      <c r="BI23" s="78" t="s">
        <v>2978</v>
      </c>
      <c r="BJ23" s="602" t="s">
        <v>3026</v>
      </c>
      <c r="BK23" s="602"/>
      <c r="BL23" s="78" t="s">
        <v>3092</v>
      </c>
      <c r="BM23" s="78" t="s">
        <v>3093</v>
      </c>
      <c r="BN23" s="49"/>
      <c r="BO23" s="599" t="s">
        <v>3094</v>
      </c>
      <c r="BP23" s="599"/>
      <c r="BQ23" s="62" t="s">
        <v>2989</v>
      </c>
      <c r="BR23" s="599" t="s">
        <v>3095</v>
      </c>
      <c r="BS23" s="599"/>
      <c r="BT23" s="62">
        <v>60</v>
      </c>
      <c r="BU23" s="49" t="s">
        <v>2983</v>
      </c>
      <c r="BV23" s="49"/>
      <c r="BW23" s="49"/>
      <c r="BX23" s="49"/>
      <c r="BY23" s="49"/>
      <c r="BZ23" s="49"/>
      <c r="CA23" s="49"/>
    </row>
    <row r="24" spans="1:79">
      <c r="A24" s="49"/>
      <c r="B24" s="49"/>
      <c r="C24" s="49"/>
      <c r="D24" s="49"/>
      <c r="E24" s="59" t="s">
        <v>3021</v>
      </c>
      <c r="F24" s="60"/>
      <c r="G24" s="61" t="s">
        <v>3022</v>
      </c>
      <c r="H24" s="49"/>
      <c r="I24" s="59" t="s">
        <v>3021</v>
      </c>
      <c r="J24" s="60"/>
      <c r="K24" s="61" t="s">
        <v>3022</v>
      </c>
      <c r="L24" s="49"/>
      <c r="M24" s="59" t="s">
        <v>3021</v>
      </c>
      <c r="N24" s="60"/>
      <c r="O24" s="61" t="s">
        <v>3022</v>
      </c>
      <c r="P24" s="49"/>
      <c r="Q24" s="49"/>
      <c r="R24" s="62" t="s">
        <v>3096</v>
      </c>
      <c r="S24" s="70" t="s">
        <v>3097</v>
      </c>
      <c r="T24" s="62"/>
      <c r="U24" s="62"/>
      <c r="V24" s="62"/>
      <c r="W24" s="62">
        <v>82</v>
      </c>
      <c r="X24" s="62" t="s">
        <v>3098</v>
      </c>
      <c r="Y24" s="62">
        <v>144</v>
      </c>
      <c r="Z24" s="62">
        <v>5</v>
      </c>
      <c r="AA24" s="62"/>
      <c r="AB24" s="70" t="s">
        <v>3099</v>
      </c>
      <c r="AC24" s="49"/>
      <c r="AD24" s="62"/>
      <c r="AE24" s="62"/>
      <c r="AF24" s="62"/>
      <c r="AG24" s="49"/>
      <c r="AH24" s="62"/>
      <c r="AI24" s="62"/>
      <c r="AJ24" s="62" t="s">
        <v>3100</v>
      </c>
      <c r="AK24" s="49" t="s">
        <v>3101</v>
      </c>
      <c r="AL24" s="49"/>
      <c r="AM24" s="49"/>
      <c r="AN24" s="49"/>
      <c r="AO24" s="49"/>
      <c r="AP24" s="49"/>
      <c r="AQ24" s="49"/>
      <c r="AR24" s="49"/>
      <c r="AS24" s="49"/>
      <c r="AT24" s="49"/>
      <c r="AU24" s="49"/>
      <c r="AV24" s="49"/>
      <c r="AW24" s="49"/>
      <c r="AX24" s="49"/>
      <c r="AY24" s="49"/>
      <c r="AZ24" s="49"/>
      <c r="BA24" s="49"/>
      <c r="BB24" s="49"/>
      <c r="BC24" s="49"/>
      <c r="BD24" s="49"/>
      <c r="BE24" s="49"/>
      <c r="BF24" s="49"/>
      <c r="BG24" s="602" t="s">
        <v>3080</v>
      </c>
      <c r="BH24" s="602"/>
      <c r="BI24" s="78" t="s">
        <v>3081</v>
      </c>
      <c r="BJ24" s="602" t="s">
        <v>3082</v>
      </c>
      <c r="BK24" s="602"/>
      <c r="BL24" s="78" t="s">
        <v>3083</v>
      </c>
      <c r="BM24" s="78" t="s">
        <v>3000</v>
      </c>
      <c r="BN24" s="49"/>
      <c r="BO24" s="599" t="s">
        <v>3102</v>
      </c>
      <c r="BP24" s="599"/>
      <c r="BQ24" s="62" t="s">
        <v>3081</v>
      </c>
      <c r="BR24" s="599" t="s">
        <v>3064</v>
      </c>
      <c r="BS24" s="599"/>
      <c r="BT24" s="62">
        <v>50</v>
      </c>
      <c r="BU24" s="80" t="s">
        <v>3103</v>
      </c>
      <c r="BV24" s="49"/>
      <c r="BW24" s="49"/>
      <c r="BX24" s="49"/>
      <c r="BY24" s="49"/>
      <c r="BZ24" s="49"/>
      <c r="CA24" s="49"/>
    </row>
    <row r="25" spans="1:79">
      <c r="A25" s="49"/>
      <c r="B25" s="49"/>
      <c r="C25" s="49"/>
      <c r="D25" s="49"/>
      <c r="E25" s="49"/>
      <c r="F25" s="49"/>
      <c r="G25" s="49"/>
      <c r="H25" s="49"/>
      <c r="I25" s="49"/>
      <c r="J25" s="49"/>
      <c r="K25" s="49"/>
      <c r="L25" s="49"/>
      <c r="M25" s="49"/>
      <c r="N25" s="49"/>
      <c r="O25" s="49"/>
      <c r="P25" s="49"/>
      <c r="Q25" s="49"/>
      <c r="R25" s="62" t="s">
        <v>3104</v>
      </c>
      <c r="S25" s="70" t="s">
        <v>3105</v>
      </c>
      <c r="T25" s="62"/>
      <c r="U25" s="62"/>
      <c r="V25" s="62"/>
      <c r="W25" s="62">
        <v>62</v>
      </c>
      <c r="X25" s="62" t="s">
        <v>3106</v>
      </c>
      <c r="Y25" s="62">
        <v>544</v>
      </c>
      <c r="Z25" s="62">
        <v>14.4</v>
      </c>
      <c r="AA25" s="62"/>
      <c r="AB25" s="62"/>
      <c r="AC25" s="62"/>
      <c r="AD25" s="62"/>
      <c r="AE25" s="62"/>
      <c r="AF25" s="62"/>
      <c r="AG25" s="62"/>
      <c r="AH25" s="62"/>
      <c r="AI25" s="62"/>
      <c r="AJ25" s="62" t="s">
        <v>3107</v>
      </c>
      <c r="AK25" s="49" t="s">
        <v>3108</v>
      </c>
      <c r="AL25" s="49"/>
      <c r="AM25" s="49"/>
      <c r="AN25" s="49"/>
      <c r="AO25" s="49"/>
      <c r="AP25" s="49"/>
      <c r="AQ25" s="49"/>
      <c r="AR25" s="49"/>
      <c r="AS25" s="49"/>
      <c r="AT25" s="49"/>
      <c r="AU25" s="49"/>
      <c r="AV25" s="49"/>
      <c r="AW25" s="49"/>
      <c r="AX25" s="49"/>
      <c r="AY25" s="49"/>
      <c r="AZ25" s="49"/>
      <c r="BA25" s="49"/>
      <c r="BB25" s="49"/>
      <c r="BC25" s="49"/>
      <c r="BD25" s="49"/>
      <c r="BE25" s="49"/>
      <c r="BF25" s="49"/>
      <c r="BG25" s="599" t="s">
        <v>3109</v>
      </c>
      <c r="BH25" s="599"/>
      <c r="BI25" s="62" t="s">
        <v>2978</v>
      </c>
      <c r="BJ25" s="599" t="s">
        <v>3082</v>
      </c>
      <c r="BK25" s="599"/>
      <c r="BL25" s="62" t="s">
        <v>3083</v>
      </c>
      <c r="BM25" s="62" t="s">
        <v>3110</v>
      </c>
      <c r="BN25" s="49"/>
      <c r="BO25" s="599" t="s">
        <v>3111</v>
      </c>
      <c r="BP25" s="599"/>
      <c r="BQ25" s="62" t="s">
        <v>2978</v>
      </c>
      <c r="BR25" s="599" t="s">
        <v>2982</v>
      </c>
      <c r="BS25" s="599"/>
      <c r="BT25" s="62">
        <v>50</v>
      </c>
      <c r="BU25" s="49" t="s">
        <v>2983</v>
      </c>
      <c r="BV25" s="49"/>
      <c r="BW25" s="49"/>
      <c r="BX25" s="49"/>
      <c r="BY25" s="49"/>
      <c r="BZ25" s="49"/>
      <c r="CA25" s="49"/>
    </row>
    <row r="26" spans="1:79">
      <c r="A26" s="49"/>
      <c r="B26" s="49"/>
      <c r="C26" s="49"/>
      <c r="D26" s="49"/>
      <c r="E26" s="49"/>
      <c r="F26" s="49"/>
      <c r="G26" s="49"/>
      <c r="H26" s="49"/>
      <c r="I26" s="49"/>
      <c r="J26" s="49"/>
      <c r="K26" s="49"/>
      <c r="L26" s="49"/>
      <c r="M26" s="49"/>
      <c r="N26" s="49"/>
      <c r="O26" s="49"/>
      <c r="P26" s="49"/>
      <c r="Q26" s="49"/>
      <c r="R26" s="62"/>
      <c r="S26" s="70"/>
      <c r="T26" s="62"/>
      <c r="U26" s="62"/>
      <c r="V26" s="62"/>
      <c r="W26" s="62"/>
      <c r="X26" s="62"/>
      <c r="Y26" s="62"/>
      <c r="Z26" s="62"/>
      <c r="AA26" s="62"/>
      <c r="AB26" s="62"/>
      <c r="AC26" s="62"/>
      <c r="AD26" s="62"/>
      <c r="AE26" s="62"/>
      <c r="AF26" s="62"/>
      <c r="AG26" s="62"/>
      <c r="AH26" s="62"/>
      <c r="AI26" s="62"/>
      <c r="AJ26" s="62" t="s">
        <v>3112</v>
      </c>
      <c r="AK26" s="49" t="s">
        <v>3113</v>
      </c>
      <c r="AL26" s="49"/>
      <c r="AM26" s="49"/>
      <c r="AN26" s="49"/>
      <c r="AO26" s="49"/>
      <c r="AP26" s="49"/>
      <c r="AQ26" s="49"/>
      <c r="AR26" s="49"/>
      <c r="AS26" s="49"/>
      <c r="AT26" s="49"/>
      <c r="AU26" s="49"/>
      <c r="AV26" s="49"/>
      <c r="AW26" s="49"/>
      <c r="AX26" s="49"/>
      <c r="AY26" s="49"/>
      <c r="AZ26" s="49"/>
      <c r="BA26" s="49"/>
      <c r="BB26" s="49"/>
      <c r="BC26" s="49"/>
      <c r="BD26" s="49"/>
      <c r="BE26" s="49"/>
      <c r="BF26" s="49"/>
      <c r="BG26" s="599" t="s">
        <v>2977</v>
      </c>
      <c r="BH26" s="599"/>
      <c r="BI26" s="62" t="s">
        <v>2978</v>
      </c>
      <c r="BJ26" s="599" t="s">
        <v>3114</v>
      </c>
      <c r="BK26" s="599"/>
      <c r="BL26" s="62" t="s">
        <v>318</v>
      </c>
      <c r="BM26" s="62" t="s">
        <v>2980</v>
      </c>
      <c r="BN26" s="49"/>
      <c r="BO26" s="599" t="s">
        <v>3115</v>
      </c>
      <c r="BP26" s="599"/>
      <c r="BQ26" s="62" t="s">
        <v>2978</v>
      </c>
      <c r="BR26" s="599" t="s">
        <v>3116</v>
      </c>
      <c r="BS26" s="599"/>
      <c r="BT26" s="62">
        <v>40</v>
      </c>
      <c r="BU26" s="49" t="s">
        <v>3117</v>
      </c>
      <c r="BV26" s="49"/>
      <c r="BW26" s="49"/>
      <c r="BX26" s="49"/>
      <c r="BY26" s="49"/>
      <c r="BZ26" s="49"/>
      <c r="CA26" s="49"/>
    </row>
    <row r="27" spans="1:79">
      <c r="A27" s="49"/>
      <c r="B27" s="49"/>
      <c r="C27" s="49"/>
      <c r="D27" s="49"/>
      <c r="E27" s="51" t="s">
        <v>3118</v>
      </c>
      <c r="F27" s="52"/>
      <c r="G27" s="53" t="s">
        <v>3119</v>
      </c>
      <c r="H27" s="49"/>
      <c r="I27" s="51" t="s">
        <v>3120</v>
      </c>
      <c r="J27" s="52"/>
      <c r="K27" s="53" t="s">
        <v>3121</v>
      </c>
      <c r="L27" s="49"/>
      <c r="M27" s="51" t="s">
        <v>3122</v>
      </c>
      <c r="N27" s="52"/>
      <c r="O27" s="53" t="s">
        <v>3121</v>
      </c>
      <c r="P27" s="49"/>
      <c r="Q27" s="49"/>
      <c r="R27" s="62"/>
      <c r="S27" s="70"/>
      <c r="T27" s="62"/>
      <c r="U27" s="62"/>
      <c r="V27" s="62"/>
      <c r="W27" s="62"/>
      <c r="X27" s="62"/>
      <c r="Y27" s="62"/>
      <c r="Z27" s="62"/>
      <c r="AA27" s="62"/>
      <c r="AB27" s="62"/>
      <c r="AC27" s="62"/>
      <c r="AD27" s="62"/>
      <c r="AE27" s="62"/>
      <c r="AF27" s="62"/>
      <c r="AG27" s="62"/>
      <c r="AH27" s="62"/>
      <c r="AI27" s="62"/>
      <c r="AJ27" s="62" t="s">
        <v>3123</v>
      </c>
      <c r="AK27" s="49" t="s">
        <v>3124</v>
      </c>
      <c r="AL27" s="49"/>
      <c r="AM27" s="49"/>
      <c r="AN27" s="49"/>
      <c r="AO27" s="49"/>
      <c r="AP27" s="49"/>
      <c r="AQ27" s="49"/>
      <c r="AR27" s="49"/>
      <c r="AS27" s="49"/>
      <c r="AT27" s="49"/>
      <c r="AU27" s="49"/>
      <c r="AV27" s="49"/>
      <c r="AW27" s="49"/>
      <c r="AX27" s="49"/>
      <c r="AY27" s="49"/>
      <c r="AZ27" s="49"/>
      <c r="BA27" s="49"/>
      <c r="BB27" s="49"/>
      <c r="BC27" s="49"/>
      <c r="BD27" s="49"/>
      <c r="BE27" s="49"/>
      <c r="BF27" s="49"/>
      <c r="BG27" s="599" t="s">
        <v>2988</v>
      </c>
      <c r="BH27" s="599"/>
      <c r="BI27" s="62" t="s">
        <v>2989</v>
      </c>
      <c r="BJ27" s="599" t="s">
        <v>3116</v>
      </c>
      <c r="BK27" s="599"/>
      <c r="BL27" s="62" t="s">
        <v>2991</v>
      </c>
      <c r="BM27" s="62" t="s">
        <v>2980</v>
      </c>
      <c r="BN27" s="49"/>
      <c r="BO27" s="599" t="s">
        <v>3125</v>
      </c>
      <c r="BP27" s="599"/>
      <c r="BQ27" s="62" t="s">
        <v>2978</v>
      </c>
      <c r="BR27" s="599" t="s">
        <v>3116</v>
      </c>
      <c r="BS27" s="599"/>
      <c r="BT27" s="62">
        <v>40</v>
      </c>
      <c r="BU27" s="49" t="s">
        <v>3126</v>
      </c>
      <c r="BV27" s="49"/>
      <c r="BW27" s="49"/>
      <c r="BX27" s="49"/>
      <c r="BY27" s="49"/>
      <c r="BZ27" s="49"/>
      <c r="CA27" s="49"/>
    </row>
    <row r="28" spans="1:79">
      <c r="A28" s="49"/>
      <c r="B28" s="49"/>
      <c r="C28" s="49"/>
      <c r="D28" s="49"/>
      <c r="E28" s="55"/>
      <c r="F28" s="49"/>
      <c r="G28" s="56"/>
      <c r="H28" s="49"/>
      <c r="I28" s="55"/>
      <c r="J28" s="49"/>
      <c r="K28" s="56"/>
      <c r="L28" s="49"/>
      <c r="M28" s="55"/>
      <c r="N28" s="49"/>
      <c r="O28" s="56"/>
      <c r="P28" s="49"/>
      <c r="Q28" s="49"/>
      <c r="R28" s="62"/>
      <c r="S28" s="70"/>
      <c r="T28" s="62"/>
      <c r="U28" s="62"/>
      <c r="V28" s="62"/>
      <c r="W28" s="62"/>
      <c r="X28" s="62"/>
      <c r="Y28" s="62"/>
      <c r="Z28" s="62"/>
      <c r="AA28" s="49"/>
      <c r="AB28" s="62"/>
      <c r="AC28" s="62"/>
      <c r="AD28" s="62"/>
      <c r="AE28" s="62"/>
      <c r="AF28" s="62"/>
      <c r="AG28" s="62"/>
      <c r="AH28" s="62"/>
      <c r="AI28" s="62"/>
      <c r="AJ28" s="62" t="s">
        <v>3127</v>
      </c>
      <c r="AK28" s="49" t="s">
        <v>3128</v>
      </c>
      <c r="AL28" s="49"/>
      <c r="AM28" s="49"/>
      <c r="AN28" s="49"/>
      <c r="AO28" s="49"/>
      <c r="AP28" s="49"/>
      <c r="AQ28" s="49"/>
      <c r="AR28" s="49"/>
      <c r="AS28" s="49"/>
      <c r="AT28" s="49"/>
      <c r="AU28" s="49"/>
      <c r="AV28" s="49"/>
      <c r="AW28" s="49"/>
      <c r="AX28" s="49"/>
      <c r="AY28" s="49"/>
      <c r="AZ28" s="49"/>
      <c r="BA28" s="49"/>
      <c r="BB28" s="49"/>
      <c r="BC28" s="49"/>
      <c r="BD28" s="49"/>
      <c r="BE28" s="49"/>
      <c r="BF28" s="49"/>
      <c r="BG28" s="599" t="s">
        <v>2988</v>
      </c>
      <c r="BH28" s="599"/>
      <c r="BI28" s="62" t="s">
        <v>2978</v>
      </c>
      <c r="BJ28" s="599" t="s">
        <v>3129</v>
      </c>
      <c r="BK28" s="599"/>
      <c r="BL28" s="62" t="s">
        <v>318</v>
      </c>
      <c r="BM28" s="62" t="s">
        <v>2980</v>
      </c>
      <c r="BN28" s="49"/>
      <c r="BO28" s="599" t="s">
        <v>3130</v>
      </c>
      <c r="BP28" s="599"/>
      <c r="BQ28" s="62" t="s">
        <v>2978</v>
      </c>
      <c r="BR28" s="599" t="s">
        <v>2982</v>
      </c>
      <c r="BS28" s="599"/>
      <c r="BT28" s="62"/>
      <c r="BU28" s="49" t="s">
        <v>2983</v>
      </c>
      <c r="BV28" s="49"/>
      <c r="BW28" s="49"/>
      <c r="BX28" s="49"/>
      <c r="BY28" s="49"/>
      <c r="BZ28" s="49"/>
      <c r="CA28" s="49"/>
    </row>
    <row r="29" spans="1:79">
      <c r="A29" s="49"/>
      <c r="B29" s="49"/>
      <c r="C29" s="49"/>
      <c r="D29" s="49"/>
      <c r="E29" s="55"/>
      <c r="F29" s="49"/>
      <c r="G29" s="56"/>
      <c r="H29" s="49"/>
      <c r="I29" s="55"/>
      <c r="J29" s="49"/>
      <c r="K29" s="56"/>
      <c r="L29" s="49"/>
      <c r="M29" s="55"/>
      <c r="N29" s="49"/>
      <c r="O29" s="56"/>
      <c r="P29" s="49"/>
      <c r="Q29" s="49"/>
      <c r="R29" s="62"/>
      <c r="S29" s="49"/>
      <c r="T29" s="49"/>
      <c r="U29" s="49"/>
      <c r="V29" s="49"/>
      <c r="W29" s="62"/>
      <c r="X29" s="62"/>
      <c r="Y29" s="62"/>
      <c r="Z29" s="62"/>
      <c r="AA29" s="62"/>
      <c r="AB29" s="62"/>
      <c r="AC29" s="62"/>
      <c r="AD29" s="62"/>
      <c r="AE29" s="62"/>
      <c r="AF29" s="62"/>
      <c r="AG29" s="62"/>
      <c r="AH29" s="62"/>
      <c r="AI29" s="62"/>
      <c r="AJ29" s="62" t="s">
        <v>3131</v>
      </c>
      <c r="AK29" s="49" t="s">
        <v>3132</v>
      </c>
      <c r="AL29" s="49"/>
      <c r="AM29" s="49"/>
      <c r="AN29" s="49"/>
      <c r="AO29" s="49"/>
      <c r="AP29" s="49"/>
      <c r="AQ29" s="49"/>
      <c r="AR29" s="49"/>
      <c r="AS29" s="49"/>
      <c r="AT29" s="49"/>
      <c r="AU29" s="49"/>
      <c r="AV29" s="49"/>
      <c r="AW29" s="49"/>
      <c r="AX29" s="49"/>
      <c r="AY29" s="49"/>
      <c r="AZ29" s="49"/>
      <c r="BA29" s="49"/>
      <c r="BB29" s="49"/>
      <c r="BC29" s="49"/>
      <c r="BD29" s="49"/>
      <c r="BE29" s="49"/>
      <c r="BF29" s="49"/>
      <c r="BG29" s="599" t="s">
        <v>2988</v>
      </c>
      <c r="BH29" s="599"/>
      <c r="BI29" s="62" t="s">
        <v>2978</v>
      </c>
      <c r="BJ29" s="599" t="s">
        <v>3129</v>
      </c>
      <c r="BK29" s="599"/>
      <c r="BL29" s="62" t="s">
        <v>318</v>
      </c>
      <c r="BM29" s="62" t="s">
        <v>2980</v>
      </c>
      <c r="BN29" s="49"/>
      <c r="BO29" s="599" t="s">
        <v>3133</v>
      </c>
      <c r="BP29" s="599"/>
      <c r="BQ29" s="62" t="s">
        <v>2978</v>
      </c>
      <c r="BR29" s="599" t="s">
        <v>3134</v>
      </c>
      <c r="BS29" s="599"/>
      <c r="BT29" s="62"/>
      <c r="BU29" s="49" t="s">
        <v>2983</v>
      </c>
      <c r="BV29" s="49"/>
      <c r="BW29" s="49"/>
      <c r="BX29" s="49"/>
      <c r="BY29" s="49"/>
      <c r="BZ29" s="49"/>
      <c r="CA29" s="49"/>
    </row>
    <row r="30" spans="1:79">
      <c r="A30" s="49"/>
      <c r="B30" s="49"/>
      <c r="C30" s="49"/>
      <c r="D30" s="49"/>
      <c r="E30" s="55"/>
      <c r="F30" s="49"/>
      <c r="G30" s="56"/>
      <c r="H30" s="49"/>
      <c r="I30" s="55"/>
      <c r="J30" s="49"/>
      <c r="K30" s="56"/>
      <c r="L30" s="49"/>
      <c r="M30" s="55"/>
      <c r="N30" s="49"/>
      <c r="O30" s="56"/>
      <c r="P30" s="49"/>
      <c r="Q30" s="49"/>
      <c r="R30" s="49"/>
      <c r="S30" s="49"/>
      <c r="T30" s="49"/>
      <c r="U30" s="49"/>
      <c r="V30" s="49"/>
      <c r="W30" s="49"/>
      <c r="X30" s="49"/>
      <c r="Y30" s="49"/>
      <c r="Z30" s="49"/>
      <c r="AA30" s="49"/>
      <c r="AB30" s="62"/>
      <c r="AC30" s="62"/>
      <c r="AD30" s="62"/>
      <c r="AE30" s="62"/>
      <c r="AF30" s="76"/>
      <c r="AG30" s="62"/>
      <c r="AH30" s="62"/>
      <c r="AI30" s="62"/>
      <c r="AJ30" s="62" t="s">
        <v>3135</v>
      </c>
      <c r="AK30" s="49" t="s">
        <v>3136</v>
      </c>
      <c r="AL30" s="49"/>
      <c r="AM30" s="49"/>
      <c r="AN30" s="49"/>
      <c r="AO30" s="49"/>
      <c r="AP30" s="49"/>
      <c r="AQ30" s="49"/>
      <c r="AR30" s="49"/>
      <c r="AS30" s="49"/>
      <c r="AT30" s="49"/>
      <c r="AU30" s="49"/>
      <c r="AV30" s="49"/>
      <c r="AW30" s="49"/>
      <c r="AX30" s="49"/>
      <c r="AY30" s="49"/>
      <c r="AZ30" s="49"/>
      <c r="BA30" s="49"/>
      <c r="BB30" s="49"/>
      <c r="BC30" s="49"/>
      <c r="BD30" s="49"/>
      <c r="BE30" s="49"/>
      <c r="BF30" s="49"/>
      <c r="BG30" s="599" t="s">
        <v>3011</v>
      </c>
      <c r="BH30" s="599"/>
      <c r="BI30" s="62" t="s">
        <v>2978</v>
      </c>
      <c r="BJ30" s="599" t="s">
        <v>3137</v>
      </c>
      <c r="BK30" s="599"/>
      <c r="BL30" s="62" t="s">
        <v>318</v>
      </c>
      <c r="BM30" s="62" t="s">
        <v>2980</v>
      </c>
      <c r="BN30" s="49"/>
      <c r="BO30" s="599" t="s">
        <v>3138</v>
      </c>
      <c r="BP30" s="599"/>
      <c r="BQ30" s="62" t="s">
        <v>2978</v>
      </c>
      <c r="BR30" s="599" t="s">
        <v>3139</v>
      </c>
      <c r="BS30" s="599"/>
      <c r="BT30" s="62"/>
      <c r="BU30" s="49" t="s">
        <v>2983</v>
      </c>
      <c r="BV30" s="49"/>
      <c r="BW30" s="49"/>
      <c r="BX30" s="49"/>
      <c r="BY30" s="49"/>
      <c r="BZ30" s="49"/>
      <c r="CA30" s="49"/>
    </row>
    <row r="31" spans="1:79">
      <c r="A31" s="49"/>
      <c r="B31" s="49"/>
      <c r="C31" s="49"/>
      <c r="D31" s="49"/>
      <c r="E31" s="55"/>
      <c r="F31" s="49"/>
      <c r="G31" s="56"/>
      <c r="H31" s="49"/>
      <c r="I31" s="55"/>
      <c r="J31" s="49"/>
      <c r="K31" s="56"/>
      <c r="L31" s="49"/>
      <c r="M31" s="55"/>
      <c r="N31" s="49"/>
      <c r="O31" s="56"/>
      <c r="P31" s="49"/>
      <c r="Q31" s="49"/>
      <c r="R31" s="611" t="s">
        <v>3140</v>
      </c>
      <c r="S31" s="611"/>
      <c r="T31" s="611"/>
      <c r="U31" s="62"/>
      <c r="V31" s="62"/>
      <c r="W31" s="71"/>
      <c r="X31" s="49"/>
      <c r="Y31" s="49"/>
      <c r="Z31" s="49"/>
      <c r="AA31" s="49"/>
      <c r="AB31" s="62"/>
      <c r="AC31" s="62"/>
      <c r="AD31" s="62"/>
      <c r="AE31" s="62"/>
      <c r="AF31" s="76"/>
      <c r="AG31" s="62"/>
      <c r="AH31" s="62"/>
      <c r="AI31" s="62"/>
      <c r="AJ31" s="62" t="s">
        <v>3141</v>
      </c>
      <c r="AK31" s="49" t="s">
        <v>3142</v>
      </c>
      <c r="AL31" s="49"/>
      <c r="AM31" s="49"/>
      <c r="AN31" s="49"/>
      <c r="AO31" s="49"/>
      <c r="AP31" s="49"/>
      <c r="AQ31" s="49"/>
      <c r="AR31" s="49"/>
      <c r="AS31" s="49"/>
      <c r="AT31" s="49"/>
      <c r="AU31" s="49"/>
      <c r="AV31" s="49"/>
      <c r="AW31" s="49"/>
      <c r="AX31" s="49"/>
      <c r="AY31" s="49"/>
      <c r="AZ31" s="49"/>
      <c r="BA31" s="49"/>
      <c r="BB31" s="49"/>
      <c r="BC31" s="49"/>
      <c r="BD31" s="49"/>
      <c r="BE31" s="49"/>
      <c r="BF31" s="49"/>
      <c r="BG31" s="599" t="s">
        <v>2977</v>
      </c>
      <c r="BH31" s="599"/>
      <c r="BI31" s="62" t="s">
        <v>2989</v>
      </c>
      <c r="BJ31" s="599" t="s">
        <v>3143</v>
      </c>
      <c r="BK31" s="599"/>
      <c r="BL31" s="62" t="s">
        <v>2991</v>
      </c>
      <c r="BM31" s="62" t="s">
        <v>2980</v>
      </c>
      <c r="BN31" s="49"/>
      <c r="BO31" s="599" t="s">
        <v>3144</v>
      </c>
      <c r="BP31" s="599"/>
      <c r="BQ31" s="62" t="s">
        <v>2978</v>
      </c>
      <c r="BR31" s="599" t="s">
        <v>3145</v>
      </c>
      <c r="BS31" s="599"/>
      <c r="BT31" s="62"/>
      <c r="BU31" s="49" t="s">
        <v>2983</v>
      </c>
      <c r="BV31" s="49"/>
      <c r="BW31" s="49"/>
      <c r="BX31" s="49"/>
      <c r="BY31" s="49"/>
      <c r="BZ31" s="49"/>
      <c r="CA31" s="49"/>
    </row>
    <row r="32" spans="1:79">
      <c r="A32" s="49"/>
      <c r="B32" s="49"/>
      <c r="C32" s="49"/>
      <c r="D32" s="49"/>
      <c r="E32" s="55"/>
      <c r="F32" s="57"/>
      <c r="G32" s="58"/>
      <c r="H32" s="49"/>
      <c r="I32" s="55"/>
      <c r="J32" s="57"/>
      <c r="K32" s="58"/>
      <c r="L32" s="49"/>
      <c r="M32" s="55"/>
      <c r="N32" s="57"/>
      <c r="O32" s="58"/>
      <c r="P32" s="49"/>
      <c r="Q32" s="49"/>
      <c r="R32" s="612"/>
      <c r="S32" s="612"/>
      <c r="T32" s="612"/>
      <c r="U32" s="72" t="s">
        <v>3146</v>
      </c>
      <c r="V32" s="66"/>
      <c r="W32" s="73"/>
      <c r="X32" s="67"/>
      <c r="Y32" s="67"/>
      <c r="Z32" s="67"/>
      <c r="AA32" s="67"/>
      <c r="AB32" s="67"/>
      <c r="AC32" s="67"/>
      <c r="AD32" s="67"/>
      <c r="AE32" s="67"/>
      <c r="AF32" s="67"/>
      <c r="AG32" s="67"/>
      <c r="AH32" s="67"/>
      <c r="AI32" s="49"/>
      <c r="AJ32" s="62" t="s">
        <v>3147</v>
      </c>
      <c r="AK32" s="49" t="s">
        <v>3148</v>
      </c>
      <c r="AL32" s="49"/>
      <c r="AM32" s="49"/>
      <c r="AN32" s="49"/>
      <c r="AO32" s="49"/>
      <c r="AP32" s="49"/>
      <c r="AQ32" s="49"/>
      <c r="AR32" s="49"/>
      <c r="AS32" s="49"/>
      <c r="AT32" s="49"/>
      <c r="AU32" s="49"/>
      <c r="AV32" s="49"/>
      <c r="AW32" s="49"/>
      <c r="AX32" s="49"/>
      <c r="AY32" s="49"/>
      <c r="AZ32" s="49"/>
      <c r="BA32" s="49"/>
      <c r="BB32" s="49"/>
      <c r="BC32" s="49"/>
      <c r="BD32" s="49"/>
      <c r="BE32" s="49"/>
      <c r="BF32" s="49"/>
      <c r="BG32" s="599" t="s">
        <v>3036</v>
      </c>
      <c r="BH32" s="599"/>
      <c r="BI32" s="62" t="s">
        <v>2978</v>
      </c>
      <c r="BJ32" s="599" t="s">
        <v>3149</v>
      </c>
      <c r="BK32" s="599"/>
      <c r="BL32" s="62" t="s">
        <v>318</v>
      </c>
      <c r="BM32" s="62" t="s">
        <v>2980</v>
      </c>
      <c r="BN32" s="49"/>
      <c r="BO32" s="599" t="s">
        <v>3150</v>
      </c>
      <c r="BP32" s="599"/>
      <c r="BQ32" s="62" t="s">
        <v>2978</v>
      </c>
      <c r="BR32" s="599" t="s">
        <v>3151</v>
      </c>
      <c r="BS32" s="599"/>
      <c r="BT32" s="62"/>
      <c r="BU32" s="49" t="s">
        <v>2983</v>
      </c>
      <c r="BV32" s="49"/>
      <c r="BW32" s="49"/>
      <c r="BX32" s="49"/>
      <c r="BY32" s="49"/>
      <c r="BZ32" s="49"/>
      <c r="CA32" s="49"/>
    </row>
    <row r="33" spans="1:79">
      <c r="A33" s="49"/>
      <c r="B33" s="49"/>
      <c r="C33" s="49"/>
      <c r="D33" s="49"/>
      <c r="E33" s="613" t="s">
        <v>3152</v>
      </c>
      <c r="F33" s="614"/>
      <c r="G33" s="615"/>
      <c r="H33" s="49"/>
      <c r="I33" s="613" t="s">
        <v>3153</v>
      </c>
      <c r="J33" s="614"/>
      <c r="K33" s="615"/>
      <c r="L33" s="49"/>
      <c r="M33" s="613" t="s">
        <v>3154</v>
      </c>
      <c r="N33" s="614"/>
      <c r="O33" s="615"/>
      <c r="P33" s="49"/>
      <c r="Q33" s="49"/>
      <c r="R33" s="68"/>
      <c r="S33" s="68"/>
      <c r="T33" s="68"/>
      <c r="U33" s="68"/>
      <c r="V33" s="68"/>
      <c r="W33" s="74"/>
      <c r="X33" s="75"/>
      <c r="Y33" s="75"/>
      <c r="Z33" s="75"/>
      <c r="AA33" s="75"/>
      <c r="AB33" s="75"/>
      <c r="AC33" s="75"/>
      <c r="AD33" s="75"/>
      <c r="AE33" s="75"/>
      <c r="AF33" s="75"/>
      <c r="AG33" s="75"/>
      <c r="AH33" s="75"/>
      <c r="AI33" s="49"/>
      <c r="AJ33" s="62" t="s">
        <v>3155</v>
      </c>
      <c r="AK33" s="49" t="s">
        <v>3156</v>
      </c>
      <c r="AL33" s="49"/>
      <c r="AM33" s="49"/>
      <c r="AN33" s="49"/>
      <c r="AO33" s="49"/>
      <c r="AP33" s="49"/>
      <c r="AQ33" s="49"/>
      <c r="AR33" s="49"/>
      <c r="AS33" s="49"/>
      <c r="AT33" s="49"/>
      <c r="AU33" s="49"/>
      <c r="AV33" s="49"/>
      <c r="AW33" s="49"/>
      <c r="AX33" s="49"/>
      <c r="AY33" s="49"/>
      <c r="AZ33" s="49"/>
      <c r="BA33" s="49"/>
      <c r="BB33" s="49"/>
      <c r="BC33" s="49"/>
      <c r="BD33" s="49"/>
      <c r="BE33" s="49"/>
      <c r="BF33" s="49"/>
      <c r="BG33" s="599" t="s">
        <v>3025</v>
      </c>
      <c r="BH33" s="599"/>
      <c r="BI33" s="62" t="s">
        <v>2978</v>
      </c>
      <c r="BJ33" s="599" t="s">
        <v>3157</v>
      </c>
      <c r="BK33" s="599"/>
      <c r="BL33" s="62" t="s">
        <v>318</v>
      </c>
      <c r="BM33" s="62" t="s">
        <v>2980</v>
      </c>
      <c r="BN33" s="49"/>
      <c r="BO33" s="599" t="s">
        <v>3158</v>
      </c>
      <c r="BP33" s="599"/>
      <c r="BQ33" s="62" t="s">
        <v>2978</v>
      </c>
      <c r="BR33" s="599" t="s">
        <v>3159</v>
      </c>
      <c r="BS33" s="599"/>
      <c r="BT33" s="62"/>
      <c r="BU33" s="49" t="s">
        <v>2983</v>
      </c>
      <c r="BV33" s="49"/>
      <c r="BW33" s="49"/>
      <c r="BX33" s="49"/>
      <c r="BY33" s="49"/>
      <c r="BZ33" s="49"/>
      <c r="CA33" s="49"/>
    </row>
    <row r="34" spans="1:79">
      <c r="A34" s="49"/>
      <c r="B34" s="49"/>
      <c r="C34" s="49"/>
      <c r="D34" s="49"/>
      <c r="E34" s="613"/>
      <c r="F34" s="614"/>
      <c r="G34" s="615"/>
      <c r="H34" s="49"/>
      <c r="I34" s="613"/>
      <c r="J34" s="614"/>
      <c r="K34" s="615"/>
      <c r="L34" s="49"/>
      <c r="M34" s="613"/>
      <c r="N34" s="614"/>
      <c r="O34" s="615"/>
      <c r="P34" s="49"/>
      <c r="Q34" s="49"/>
      <c r="R34" s="62"/>
      <c r="S34" s="62"/>
      <c r="T34" s="62"/>
      <c r="U34" s="62"/>
      <c r="V34" s="62"/>
      <c r="W34" s="71"/>
      <c r="X34" s="49"/>
      <c r="Y34" s="49"/>
      <c r="Z34" s="49"/>
      <c r="AA34" s="49"/>
      <c r="AB34" s="599" t="s">
        <v>2776</v>
      </c>
      <c r="AC34" s="599"/>
      <c r="AD34" s="599"/>
      <c r="AE34" s="49"/>
      <c r="AF34" s="599" t="s">
        <v>3160</v>
      </c>
      <c r="AG34" s="599"/>
      <c r="AH34" s="599"/>
      <c r="AI34" s="49"/>
      <c r="AJ34" s="62" t="s">
        <v>3161</v>
      </c>
      <c r="AK34" s="49" t="s">
        <v>3162</v>
      </c>
      <c r="AL34" s="49"/>
      <c r="AM34" s="49"/>
      <c r="AN34" s="49"/>
      <c r="AO34" s="49"/>
      <c r="AP34" s="49"/>
      <c r="AQ34" s="49"/>
      <c r="AR34" s="49"/>
      <c r="AS34" s="49"/>
      <c r="AT34" s="49"/>
      <c r="AU34" s="49"/>
      <c r="AV34" s="49"/>
      <c r="AW34" s="49"/>
      <c r="AX34" s="49"/>
      <c r="AY34" s="49"/>
      <c r="AZ34" s="49"/>
      <c r="BA34" s="49"/>
      <c r="BB34" s="49"/>
      <c r="BC34" s="49"/>
      <c r="BD34" s="49"/>
      <c r="BE34" s="49"/>
      <c r="BF34" s="49"/>
      <c r="BG34" s="599" t="s">
        <v>2988</v>
      </c>
      <c r="BH34" s="599"/>
      <c r="BI34" s="62" t="s">
        <v>2978</v>
      </c>
      <c r="BJ34" s="599" t="s">
        <v>3129</v>
      </c>
      <c r="BK34" s="599"/>
      <c r="BL34" s="62" t="s">
        <v>318</v>
      </c>
      <c r="BM34" s="62" t="s">
        <v>2980</v>
      </c>
      <c r="BN34" s="49"/>
      <c r="BO34" s="599" t="s">
        <v>3163</v>
      </c>
      <c r="BP34" s="599"/>
      <c r="BQ34" s="62" t="s">
        <v>2978</v>
      </c>
      <c r="BR34" s="599" t="s">
        <v>3164</v>
      </c>
      <c r="BS34" s="599"/>
      <c r="BT34" s="62"/>
      <c r="BU34" s="49" t="s">
        <v>3117</v>
      </c>
      <c r="BV34" s="49"/>
      <c r="BW34" s="49"/>
      <c r="BX34" s="49"/>
      <c r="BY34" s="49"/>
      <c r="BZ34" s="49"/>
      <c r="CA34" s="49"/>
    </row>
    <row r="35" spans="1:79">
      <c r="A35" s="49"/>
      <c r="B35" s="49"/>
      <c r="C35" s="49"/>
      <c r="D35" s="49"/>
      <c r="E35" s="59" t="s">
        <v>3021</v>
      </c>
      <c r="F35" s="60"/>
      <c r="G35" s="61" t="s">
        <v>3022</v>
      </c>
      <c r="H35" s="49"/>
      <c r="I35" s="59" t="s">
        <v>3165</v>
      </c>
      <c r="J35" s="60"/>
      <c r="K35" s="61" t="s">
        <v>3166</v>
      </c>
      <c r="L35" s="49"/>
      <c r="M35" s="59" t="s">
        <v>3165</v>
      </c>
      <c r="N35" s="60"/>
      <c r="O35" s="61" t="s">
        <v>3166</v>
      </c>
      <c r="P35" s="49"/>
      <c r="Q35" s="49"/>
      <c r="R35" s="603" t="s">
        <v>3167</v>
      </c>
      <c r="S35" s="603"/>
      <c r="T35" s="603"/>
      <c r="U35" s="67"/>
      <c r="V35" s="67"/>
      <c r="W35" s="67"/>
      <c r="X35" s="67"/>
      <c r="Y35" s="67"/>
      <c r="Z35" s="67"/>
      <c r="AA35" s="49"/>
      <c r="AB35" s="66" t="s">
        <v>3096</v>
      </c>
      <c r="AC35" s="66" t="s">
        <v>3085</v>
      </c>
      <c r="AD35" s="66" t="s">
        <v>3104</v>
      </c>
      <c r="AE35" s="49"/>
      <c r="AF35" s="66" t="s">
        <v>3096</v>
      </c>
      <c r="AG35" s="66" t="s">
        <v>3085</v>
      </c>
      <c r="AH35" s="66" t="s">
        <v>3104</v>
      </c>
      <c r="AI35" s="62"/>
      <c r="AJ35" s="62" t="s">
        <v>3168</v>
      </c>
      <c r="AK35" s="49" t="s">
        <v>3169</v>
      </c>
      <c r="AL35" s="49"/>
      <c r="AM35" s="49"/>
      <c r="AN35" s="49"/>
      <c r="AO35" s="49"/>
      <c r="AP35" s="49"/>
      <c r="AQ35" s="49"/>
      <c r="AR35" s="49"/>
      <c r="AS35" s="49"/>
      <c r="AT35" s="49"/>
      <c r="AU35" s="49"/>
      <c r="AV35" s="49"/>
      <c r="AW35" s="49"/>
      <c r="AX35" s="49"/>
      <c r="AY35" s="49"/>
      <c r="AZ35" s="49"/>
      <c r="BA35" s="49"/>
      <c r="BB35" s="49"/>
      <c r="BC35" s="49"/>
      <c r="BD35" s="49"/>
      <c r="BE35" s="49"/>
      <c r="BF35" s="49"/>
      <c r="BG35" s="599" t="s">
        <v>2988</v>
      </c>
      <c r="BH35" s="599"/>
      <c r="BI35" s="62" t="s">
        <v>2978</v>
      </c>
      <c r="BJ35" s="599" t="s">
        <v>3129</v>
      </c>
      <c r="BK35" s="599"/>
      <c r="BL35" s="62" t="s">
        <v>318</v>
      </c>
      <c r="BM35" s="62" t="s">
        <v>2980</v>
      </c>
      <c r="BN35" s="49"/>
      <c r="BO35" s="599" t="s">
        <v>3170</v>
      </c>
      <c r="BP35" s="599"/>
      <c r="BQ35" s="62" t="s">
        <v>2978</v>
      </c>
      <c r="BR35" s="599" t="s">
        <v>3164</v>
      </c>
      <c r="BS35" s="599"/>
      <c r="BT35" s="62"/>
      <c r="BU35" s="49" t="s">
        <v>3117</v>
      </c>
      <c r="BV35" s="49"/>
      <c r="BW35" s="49"/>
      <c r="BX35" s="49"/>
      <c r="BY35" s="49"/>
      <c r="BZ35" s="49"/>
      <c r="CA35" s="49"/>
    </row>
    <row r="36" spans="1:79">
      <c r="A36" s="49"/>
      <c r="B36" s="49"/>
      <c r="C36" s="49"/>
      <c r="D36" s="49"/>
      <c r="E36" s="49"/>
      <c r="F36" s="49"/>
      <c r="G36" s="49"/>
      <c r="H36" s="49"/>
      <c r="I36" s="49"/>
      <c r="J36" s="49"/>
      <c r="K36" s="49"/>
      <c r="L36" s="49"/>
      <c r="M36" s="49"/>
      <c r="N36" s="49"/>
      <c r="O36" s="49"/>
      <c r="P36" s="49"/>
      <c r="Q36" s="49"/>
      <c r="R36" s="71" t="s">
        <v>3171</v>
      </c>
      <c r="S36" s="71"/>
      <c r="T36" s="71" t="s">
        <v>3172</v>
      </c>
      <c r="U36" s="49"/>
      <c r="V36" s="49"/>
      <c r="W36" s="49"/>
      <c r="X36" s="49"/>
      <c r="Y36" s="49"/>
      <c r="Z36" s="49"/>
      <c r="AA36" s="49"/>
      <c r="AB36" s="62" t="s">
        <v>3173</v>
      </c>
      <c r="AC36" s="62">
        <v>5</v>
      </c>
      <c r="AD36" s="62" t="s">
        <v>3173</v>
      </c>
      <c r="AE36" s="62"/>
      <c r="AF36" s="62" t="s">
        <v>3173</v>
      </c>
      <c r="AG36" s="62">
        <v>50</v>
      </c>
      <c r="AH36" s="62" t="s">
        <v>3173</v>
      </c>
      <c r="AI36" s="62"/>
      <c r="AJ36" s="62" t="s">
        <v>3174</v>
      </c>
      <c r="AK36" s="49" t="s">
        <v>3175</v>
      </c>
      <c r="AL36" s="49"/>
      <c r="AM36" s="49"/>
      <c r="AN36" s="49"/>
      <c r="AO36" s="49"/>
      <c r="AP36" s="49"/>
      <c r="AQ36" s="49"/>
      <c r="AR36" s="49"/>
      <c r="AS36" s="49"/>
      <c r="AT36" s="49"/>
      <c r="AU36" s="49"/>
      <c r="AV36" s="49"/>
      <c r="AW36" s="49"/>
      <c r="AX36" s="49"/>
      <c r="AY36" s="49"/>
      <c r="AZ36" s="49"/>
      <c r="BA36" s="49"/>
      <c r="BB36" s="49"/>
      <c r="BC36" s="49"/>
      <c r="BD36" s="49"/>
      <c r="BE36" s="49"/>
      <c r="BF36" s="49"/>
      <c r="BG36" s="599" t="s">
        <v>2977</v>
      </c>
      <c r="BH36" s="599"/>
      <c r="BI36" s="62" t="s">
        <v>2989</v>
      </c>
      <c r="BJ36" s="599" t="s">
        <v>3176</v>
      </c>
      <c r="BK36" s="599"/>
      <c r="BL36" s="62" t="s">
        <v>2991</v>
      </c>
      <c r="BM36" s="62" t="s">
        <v>2980</v>
      </c>
      <c r="BN36" s="49"/>
      <c r="BO36" s="599" t="s">
        <v>3177</v>
      </c>
      <c r="BP36" s="599"/>
      <c r="BQ36" s="62" t="s">
        <v>2978</v>
      </c>
      <c r="BR36" s="599" t="s">
        <v>3164</v>
      </c>
      <c r="BS36" s="599"/>
      <c r="BT36" s="62"/>
      <c r="BU36" s="49" t="s">
        <v>2983</v>
      </c>
      <c r="BV36" s="49"/>
      <c r="BW36" s="49"/>
      <c r="BX36" s="49"/>
      <c r="BY36" s="49"/>
      <c r="BZ36" s="49"/>
      <c r="CA36" s="49"/>
    </row>
    <row r="37" spans="1:79">
      <c r="A37" s="49"/>
      <c r="B37" s="49"/>
      <c r="C37" s="49"/>
      <c r="D37" s="49"/>
      <c r="E37" s="49"/>
      <c r="F37" s="49"/>
      <c r="G37" s="49"/>
      <c r="H37" s="49"/>
      <c r="I37" s="49"/>
      <c r="J37" s="49" t="s">
        <v>3178</v>
      </c>
      <c r="K37" s="49"/>
      <c r="L37" s="49"/>
      <c r="M37" s="49"/>
      <c r="N37" s="49"/>
      <c r="O37" s="49"/>
      <c r="P37" s="49"/>
      <c r="Q37" s="49"/>
      <c r="R37" s="71" t="s">
        <v>3179</v>
      </c>
      <c r="S37" s="71"/>
      <c r="T37" s="71" t="s">
        <v>3180</v>
      </c>
      <c r="U37" s="49"/>
      <c r="V37" s="49"/>
      <c r="W37" s="49"/>
      <c r="X37" s="49"/>
      <c r="Y37" s="49"/>
      <c r="Z37" s="49"/>
      <c r="AA37" s="49"/>
      <c r="AB37" s="62" t="s">
        <v>3173</v>
      </c>
      <c r="AC37" s="62">
        <v>3</v>
      </c>
      <c r="AD37" s="62" t="s">
        <v>3173</v>
      </c>
      <c r="AE37" s="62"/>
      <c r="AF37" s="62" t="s">
        <v>3173</v>
      </c>
      <c r="AG37" s="62">
        <v>150</v>
      </c>
      <c r="AH37" s="62" t="s">
        <v>3173</v>
      </c>
      <c r="AI37" s="62"/>
      <c r="AJ37" s="62" t="s">
        <v>3181</v>
      </c>
      <c r="AK37" s="49" t="s">
        <v>3182</v>
      </c>
      <c r="AL37" s="49"/>
      <c r="AM37" s="49"/>
      <c r="AN37" s="49"/>
      <c r="AO37" s="49"/>
      <c r="AP37" s="49"/>
      <c r="AQ37" s="49"/>
      <c r="AR37" s="49"/>
      <c r="AS37" s="49"/>
      <c r="AT37" s="49"/>
      <c r="AU37" s="49"/>
      <c r="AV37" s="49"/>
      <c r="AW37" s="49"/>
      <c r="AX37" s="49"/>
      <c r="AY37" s="49"/>
      <c r="AZ37" s="49"/>
      <c r="BA37" s="49"/>
      <c r="BB37" s="49"/>
      <c r="BC37" s="49"/>
      <c r="BD37" s="49"/>
      <c r="BE37" s="49"/>
      <c r="BF37" s="49"/>
      <c r="BG37" s="599" t="s">
        <v>2988</v>
      </c>
      <c r="BH37" s="599"/>
      <c r="BI37" s="62" t="s">
        <v>2978</v>
      </c>
      <c r="BJ37" s="599" t="s">
        <v>3068</v>
      </c>
      <c r="BK37" s="599"/>
      <c r="BL37" s="62" t="s">
        <v>2991</v>
      </c>
      <c r="BM37" s="62" t="s">
        <v>2980</v>
      </c>
      <c r="BN37" s="49"/>
      <c r="BO37" s="599" t="s">
        <v>3183</v>
      </c>
      <c r="BP37" s="599"/>
      <c r="BQ37" s="62" t="s">
        <v>2978</v>
      </c>
      <c r="BR37" s="599" t="s">
        <v>3164</v>
      </c>
      <c r="BS37" s="599"/>
      <c r="BT37" s="49"/>
      <c r="BU37" s="49" t="s">
        <v>2983</v>
      </c>
      <c r="BV37" s="49"/>
      <c r="BW37" s="49"/>
      <c r="BX37" s="49"/>
      <c r="BY37" s="49"/>
      <c r="BZ37" s="49"/>
      <c r="CA37" s="49"/>
    </row>
    <row r="38" spans="1:79">
      <c r="A38" s="49"/>
      <c r="B38" s="49"/>
      <c r="C38" s="49"/>
      <c r="D38" s="49"/>
      <c r="E38" s="51" t="s">
        <v>3184</v>
      </c>
      <c r="F38" s="52"/>
      <c r="G38" s="53" t="s">
        <v>3121</v>
      </c>
      <c r="H38" s="49"/>
      <c r="I38" s="51" t="s">
        <v>3185</v>
      </c>
      <c r="J38" s="52"/>
      <c r="K38" s="53" t="s">
        <v>2982</v>
      </c>
      <c r="L38" s="49"/>
      <c r="M38" s="51" t="s">
        <v>3186</v>
      </c>
      <c r="N38" s="52"/>
      <c r="O38" s="53" t="s">
        <v>3187</v>
      </c>
      <c r="P38" s="49"/>
      <c r="Q38" s="49"/>
      <c r="R38" s="71" t="s">
        <v>3188</v>
      </c>
      <c r="S38" s="71"/>
      <c r="T38" s="71" t="s">
        <v>3189</v>
      </c>
      <c r="U38" s="49"/>
      <c r="V38" s="49"/>
      <c r="W38" s="49"/>
      <c r="X38" s="49"/>
      <c r="Y38" s="49"/>
      <c r="Z38" s="49"/>
      <c r="AA38" s="49"/>
      <c r="AB38" s="62" t="s">
        <v>3173</v>
      </c>
      <c r="AC38" s="62">
        <v>45</v>
      </c>
      <c r="AD38" s="62" t="s">
        <v>3173</v>
      </c>
      <c r="AE38" s="62"/>
      <c r="AF38" s="62" t="s">
        <v>3173</v>
      </c>
      <c r="AG38" s="62">
        <v>150</v>
      </c>
      <c r="AH38" s="62" t="s">
        <v>3173</v>
      </c>
      <c r="AI38" s="62"/>
      <c r="AJ38" s="62" t="s">
        <v>3190</v>
      </c>
      <c r="AK38" s="49" t="s">
        <v>3191</v>
      </c>
      <c r="AL38" s="49"/>
      <c r="AM38" s="49"/>
      <c r="AN38" s="49"/>
      <c r="AO38" s="49"/>
      <c r="AP38" s="49"/>
      <c r="AQ38" s="49"/>
      <c r="AR38" s="49"/>
      <c r="AS38" s="49"/>
      <c r="AT38" s="49"/>
      <c r="AU38" s="49"/>
      <c r="AV38" s="49"/>
      <c r="AW38" s="49"/>
      <c r="AX38" s="49"/>
      <c r="AY38" s="49"/>
      <c r="AZ38" s="49"/>
      <c r="BA38" s="49"/>
      <c r="BB38" s="49"/>
      <c r="BC38" s="49"/>
      <c r="BD38" s="49"/>
      <c r="BE38" s="49"/>
      <c r="BF38" s="49"/>
      <c r="BG38" s="599" t="s">
        <v>2988</v>
      </c>
      <c r="BH38" s="599"/>
      <c r="BI38" s="62" t="s">
        <v>2989</v>
      </c>
      <c r="BJ38" s="599" t="s">
        <v>3116</v>
      </c>
      <c r="BK38" s="599"/>
      <c r="BL38" s="62" t="s">
        <v>2991</v>
      </c>
      <c r="BM38" s="62" t="s">
        <v>2980</v>
      </c>
      <c r="BN38" s="49"/>
      <c r="BO38" s="599" t="s">
        <v>3192</v>
      </c>
      <c r="BP38" s="599"/>
      <c r="BQ38" s="62" t="s">
        <v>2989</v>
      </c>
      <c r="BR38" s="599" t="s">
        <v>3164</v>
      </c>
      <c r="BS38" s="599"/>
      <c r="BT38" s="49"/>
      <c r="BU38" s="49" t="s">
        <v>2983</v>
      </c>
      <c r="BV38" s="49"/>
      <c r="BW38" s="49"/>
      <c r="BX38" s="49"/>
      <c r="BY38" s="49"/>
      <c r="BZ38" s="49"/>
      <c r="CA38" s="49"/>
    </row>
    <row r="39" spans="1:79">
      <c r="A39" s="49"/>
      <c r="B39" s="49"/>
      <c r="C39" s="49"/>
      <c r="D39" s="49"/>
      <c r="E39" s="55"/>
      <c r="F39" s="49"/>
      <c r="G39" s="56"/>
      <c r="H39" s="49"/>
      <c r="I39" s="55"/>
      <c r="J39" s="49"/>
      <c r="K39" s="56"/>
      <c r="L39" s="49"/>
      <c r="M39" s="55"/>
      <c r="N39" s="49"/>
      <c r="O39" s="56"/>
      <c r="P39" s="49"/>
      <c r="Q39" s="49"/>
      <c r="R39" s="71" t="s">
        <v>3193</v>
      </c>
      <c r="S39" s="71"/>
      <c r="T39" s="71" t="s">
        <v>3194</v>
      </c>
      <c r="U39" s="49"/>
      <c r="V39" s="49"/>
      <c r="W39" s="49"/>
      <c r="X39" s="49"/>
      <c r="Y39" s="49"/>
      <c r="Z39" s="49"/>
      <c r="AA39" s="49"/>
      <c r="AB39" s="62">
        <v>30</v>
      </c>
      <c r="AC39" s="62">
        <v>60</v>
      </c>
      <c r="AD39" s="62">
        <v>120</v>
      </c>
      <c r="AE39" s="62"/>
      <c r="AF39" s="62">
        <v>100</v>
      </c>
      <c r="AG39" s="62">
        <v>200</v>
      </c>
      <c r="AH39" s="62">
        <v>400</v>
      </c>
      <c r="AI39" s="62"/>
      <c r="AJ39" s="62" t="s">
        <v>3195</v>
      </c>
      <c r="AK39" s="49" t="s">
        <v>3196</v>
      </c>
      <c r="AL39" s="49"/>
      <c r="AM39" s="49"/>
      <c r="AN39" s="49"/>
      <c r="AO39" s="49"/>
      <c r="AP39" s="49"/>
      <c r="AQ39" s="49"/>
      <c r="AR39" s="49"/>
      <c r="AS39" s="49"/>
      <c r="AT39" s="49"/>
      <c r="AU39" s="49"/>
      <c r="AV39" s="49"/>
      <c r="AW39" s="49"/>
      <c r="AX39" s="49"/>
      <c r="AY39" s="49"/>
      <c r="AZ39" s="49"/>
      <c r="BA39" s="49"/>
      <c r="BB39" s="49"/>
      <c r="BC39" s="49"/>
      <c r="BD39" s="49"/>
      <c r="BE39" s="49"/>
      <c r="BF39" s="49"/>
      <c r="BG39" s="599" t="s">
        <v>3197</v>
      </c>
      <c r="BH39" s="599"/>
      <c r="BI39" s="62" t="s">
        <v>2989</v>
      </c>
      <c r="BJ39" s="599" t="s">
        <v>3198</v>
      </c>
      <c r="BK39" s="599"/>
      <c r="BL39" s="62" t="s">
        <v>3199</v>
      </c>
      <c r="BM39" s="62" t="s">
        <v>2980</v>
      </c>
      <c r="BN39" s="49"/>
      <c r="BO39" s="599" t="s">
        <v>3200</v>
      </c>
      <c r="BP39" s="599"/>
      <c r="BQ39" s="62" t="s">
        <v>2978</v>
      </c>
      <c r="BR39" s="599" t="s">
        <v>3164</v>
      </c>
      <c r="BS39" s="599"/>
      <c r="BT39" s="49"/>
      <c r="BU39" s="49" t="s">
        <v>3117</v>
      </c>
      <c r="BV39" s="49"/>
      <c r="BW39" s="49"/>
      <c r="BX39" s="49"/>
      <c r="BY39" s="49"/>
      <c r="BZ39" s="49"/>
      <c r="CA39" s="49"/>
    </row>
    <row r="40" spans="1:79">
      <c r="A40" s="49"/>
      <c r="B40" s="49"/>
      <c r="C40" s="49"/>
      <c r="D40" s="49"/>
      <c r="E40" s="55"/>
      <c r="F40" s="49"/>
      <c r="G40" s="56"/>
      <c r="H40" s="49"/>
      <c r="I40" s="55"/>
      <c r="J40" s="49"/>
      <c r="K40" s="56"/>
      <c r="L40" s="49"/>
      <c r="M40" s="55"/>
      <c r="N40" s="49"/>
      <c r="O40" s="56"/>
      <c r="P40" s="49"/>
      <c r="Q40" s="49"/>
      <c r="R40" s="71" t="s">
        <v>3201</v>
      </c>
      <c r="S40" s="71"/>
      <c r="T40" s="71" t="s">
        <v>3202</v>
      </c>
      <c r="U40" s="49"/>
      <c r="V40" s="49"/>
      <c r="W40" s="49"/>
      <c r="X40" s="49"/>
      <c r="Y40" s="49"/>
      <c r="Z40" s="49"/>
      <c r="AA40" s="49"/>
      <c r="AB40" s="62">
        <v>50</v>
      </c>
      <c r="AC40" s="62">
        <v>100</v>
      </c>
      <c r="AD40" s="62">
        <v>200</v>
      </c>
      <c r="AE40" s="62"/>
      <c r="AF40" s="62">
        <v>100</v>
      </c>
      <c r="AG40" s="62">
        <v>200</v>
      </c>
      <c r="AH40" s="62">
        <v>400</v>
      </c>
      <c r="AI40" s="62"/>
      <c r="AJ40" s="62" t="s">
        <v>3203</v>
      </c>
      <c r="AK40" s="49" t="s">
        <v>3204</v>
      </c>
      <c r="AL40" s="49"/>
      <c r="AM40" s="49"/>
      <c r="AN40" s="49"/>
      <c r="AO40" s="49"/>
      <c r="AP40" s="49"/>
      <c r="AQ40" s="49"/>
      <c r="AR40" s="49"/>
      <c r="AS40" s="49"/>
      <c r="AT40" s="49"/>
      <c r="AU40" s="49"/>
      <c r="AV40" s="49"/>
      <c r="AW40" s="49"/>
      <c r="AX40" s="49"/>
      <c r="AY40" s="49"/>
      <c r="AZ40" s="49"/>
      <c r="BA40" s="49"/>
      <c r="BB40" s="49"/>
      <c r="BC40" s="49"/>
      <c r="BD40" s="49"/>
      <c r="BE40" s="49"/>
      <c r="BF40" s="49"/>
      <c r="BG40" s="599" t="s">
        <v>3205</v>
      </c>
      <c r="BH40" s="599"/>
      <c r="BI40" s="62" t="s">
        <v>2978</v>
      </c>
      <c r="BJ40" s="599" t="s">
        <v>3206</v>
      </c>
      <c r="BK40" s="599"/>
      <c r="BL40" s="62" t="s">
        <v>318</v>
      </c>
      <c r="BM40" s="62" t="s">
        <v>2980</v>
      </c>
      <c r="BN40" s="49"/>
      <c r="BO40" s="599" t="s">
        <v>3207</v>
      </c>
      <c r="BP40" s="599"/>
      <c r="BQ40" s="62" t="s">
        <v>2978</v>
      </c>
      <c r="BR40" s="599" t="s">
        <v>2982</v>
      </c>
      <c r="BS40" s="599"/>
      <c r="BT40" s="49"/>
      <c r="BU40" s="49" t="s">
        <v>3117</v>
      </c>
      <c r="BV40" s="49"/>
      <c r="BW40" s="49"/>
      <c r="BX40" s="49"/>
      <c r="BY40" s="49"/>
      <c r="BZ40" s="49"/>
      <c r="CA40" s="49"/>
    </row>
    <row r="41" spans="1:79">
      <c r="A41" s="49"/>
      <c r="B41" s="49"/>
      <c r="C41" s="49"/>
      <c r="D41" s="49"/>
      <c r="E41" s="55"/>
      <c r="F41" s="49"/>
      <c r="G41" s="56"/>
      <c r="H41" s="49"/>
      <c r="I41" s="55"/>
      <c r="J41" s="49"/>
      <c r="K41" s="56"/>
      <c r="L41" s="49"/>
      <c r="M41" s="55"/>
      <c r="N41" s="49"/>
      <c r="O41" s="56"/>
      <c r="P41" s="49"/>
      <c r="Q41" s="49"/>
      <c r="R41" s="71" t="s">
        <v>3208</v>
      </c>
      <c r="S41" s="71"/>
      <c r="T41" s="71" t="s">
        <v>3209</v>
      </c>
      <c r="U41" s="49"/>
      <c r="V41" s="49"/>
      <c r="W41" s="49"/>
      <c r="X41" s="49"/>
      <c r="Y41" s="49"/>
      <c r="Z41" s="49"/>
      <c r="AA41" s="49"/>
      <c r="AB41" s="62">
        <v>80</v>
      </c>
      <c r="AC41" s="62">
        <v>150</v>
      </c>
      <c r="AD41" s="62">
        <v>300</v>
      </c>
      <c r="AE41" s="62"/>
      <c r="AF41" s="62">
        <v>100</v>
      </c>
      <c r="AG41" s="62">
        <v>200</v>
      </c>
      <c r="AH41" s="62">
        <v>400</v>
      </c>
      <c r="AI41" s="62"/>
      <c r="AJ41" s="62" t="s">
        <v>3210</v>
      </c>
      <c r="AK41" s="49" t="s">
        <v>3211</v>
      </c>
      <c r="AL41" s="49"/>
      <c r="AM41" s="49"/>
      <c r="AN41" s="49"/>
      <c r="AO41" s="49"/>
      <c r="AP41" s="49"/>
      <c r="AQ41" s="49"/>
      <c r="AR41" s="49"/>
      <c r="AS41" s="49"/>
      <c r="AT41" s="49"/>
      <c r="AU41" s="49"/>
      <c r="AV41" s="49"/>
      <c r="AW41" s="49"/>
      <c r="AX41" s="49"/>
      <c r="AY41" s="49"/>
      <c r="AZ41" s="49"/>
      <c r="BA41" s="49"/>
      <c r="BB41" s="49"/>
      <c r="BC41" s="49"/>
      <c r="BD41" s="49"/>
      <c r="BE41" s="49"/>
      <c r="BF41" s="49"/>
      <c r="BG41" s="599" t="s">
        <v>3212</v>
      </c>
      <c r="BH41" s="599"/>
      <c r="BI41" s="62" t="s">
        <v>2989</v>
      </c>
      <c r="BJ41" s="599" t="s">
        <v>3213</v>
      </c>
      <c r="BK41" s="599"/>
      <c r="BL41" s="62" t="s">
        <v>3199</v>
      </c>
      <c r="BM41" s="62" t="s">
        <v>2980</v>
      </c>
      <c r="BN41" s="49"/>
      <c r="BO41" s="599" t="s">
        <v>3214</v>
      </c>
      <c r="BP41" s="599"/>
      <c r="BQ41" s="62" t="s">
        <v>2978</v>
      </c>
      <c r="BR41" s="599" t="s">
        <v>2982</v>
      </c>
      <c r="BS41" s="599"/>
      <c r="BT41" s="49"/>
      <c r="BU41" s="49" t="s">
        <v>3117</v>
      </c>
      <c r="BV41" s="49"/>
      <c r="BW41" s="49"/>
      <c r="BX41" s="49"/>
      <c r="BY41" s="49"/>
      <c r="BZ41" s="49"/>
      <c r="CA41" s="49"/>
    </row>
    <row r="42" spans="1:79">
      <c r="A42" s="49"/>
      <c r="B42" s="49"/>
      <c r="C42" s="49"/>
      <c r="D42" s="49"/>
      <c r="E42" s="55"/>
      <c r="F42" s="49"/>
      <c r="G42" s="56"/>
      <c r="H42" s="49"/>
      <c r="I42" s="55"/>
      <c r="J42" s="49"/>
      <c r="K42" s="56"/>
      <c r="L42" s="49"/>
      <c r="M42" s="55"/>
      <c r="N42" s="49"/>
      <c r="O42" s="56"/>
      <c r="P42" s="49"/>
      <c r="Q42" s="49"/>
      <c r="R42" s="71" t="s">
        <v>3215</v>
      </c>
      <c r="S42" s="71"/>
      <c r="T42" s="71" t="s">
        <v>3216</v>
      </c>
      <c r="U42" s="49"/>
      <c r="V42" s="49"/>
      <c r="W42" s="49"/>
      <c r="X42" s="49"/>
      <c r="Y42" s="49"/>
      <c r="Z42" s="49"/>
      <c r="AA42" s="49"/>
      <c r="AB42" s="62" t="s">
        <v>3173</v>
      </c>
      <c r="AC42" s="62">
        <v>6</v>
      </c>
      <c r="AD42" s="62">
        <v>8</v>
      </c>
      <c r="AE42" s="62"/>
      <c r="AF42" s="62" t="s">
        <v>3173</v>
      </c>
      <c r="AG42" s="62">
        <v>300</v>
      </c>
      <c r="AH42" s="62">
        <v>400</v>
      </c>
      <c r="AI42" s="62"/>
      <c r="AJ42" s="62" t="s">
        <v>3217</v>
      </c>
      <c r="AK42" s="49" t="s">
        <v>3218</v>
      </c>
      <c r="AL42" s="49"/>
      <c r="AM42" s="49"/>
      <c r="AN42" s="49"/>
      <c r="AO42" s="49"/>
      <c r="AP42" s="49"/>
      <c r="AQ42" s="49"/>
      <c r="AR42" s="49"/>
      <c r="AS42" s="49"/>
      <c r="AT42" s="49"/>
      <c r="AU42" s="49"/>
      <c r="AV42" s="49"/>
      <c r="AW42" s="49"/>
      <c r="AX42" s="49"/>
      <c r="AY42" s="49"/>
      <c r="AZ42" s="49"/>
      <c r="BA42" s="49"/>
      <c r="BB42" s="49"/>
      <c r="BC42" s="49"/>
      <c r="BD42" s="49"/>
      <c r="BE42" s="49"/>
      <c r="BF42" s="49"/>
      <c r="BG42" s="599" t="s">
        <v>3219</v>
      </c>
      <c r="BH42" s="599"/>
      <c r="BI42" s="62" t="s">
        <v>2978</v>
      </c>
      <c r="BJ42" s="599" t="s">
        <v>3114</v>
      </c>
      <c r="BK42" s="599"/>
      <c r="BL42" s="62" t="s">
        <v>318</v>
      </c>
      <c r="BM42" s="62" t="s">
        <v>2980</v>
      </c>
      <c r="BN42" s="49"/>
      <c r="BO42" s="599" t="s">
        <v>3220</v>
      </c>
      <c r="BP42" s="599"/>
      <c r="BQ42" s="62" t="s">
        <v>2978</v>
      </c>
      <c r="BR42" s="604" t="s">
        <v>3221</v>
      </c>
      <c r="BS42" s="604"/>
      <c r="BT42" s="49"/>
      <c r="BU42" s="49" t="s">
        <v>3117</v>
      </c>
      <c r="BV42" s="49"/>
      <c r="BW42" s="49"/>
      <c r="BX42" s="49"/>
      <c r="BY42" s="49"/>
      <c r="BZ42" s="49"/>
      <c r="CA42" s="49"/>
    </row>
    <row r="43" spans="1:79">
      <c r="A43" s="49"/>
      <c r="B43" s="49"/>
      <c r="C43" s="49"/>
      <c r="D43" s="49"/>
      <c r="E43" s="55"/>
      <c r="F43" s="57"/>
      <c r="G43" s="58"/>
      <c r="H43" s="49"/>
      <c r="I43" s="55"/>
      <c r="J43" s="57"/>
      <c r="K43" s="58"/>
      <c r="L43" s="49"/>
      <c r="M43" s="55"/>
      <c r="N43" s="57"/>
      <c r="O43" s="58"/>
      <c r="P43" s="49"/>
      <c r="Q43" s="49"/>
      <c r="R43" s="71" t="s">
        <v>3222</v>
      </c>
      <c r="S43" s="71"/>
      <c r="T43" s="71" t="s">
        <v>3223</v>
      </c>
      <c r="U43" s="49"/>
      <c r="V43" s="49"/>
      <c r="W43" s="49"/>
      <c r="X43" s="49"/>
      <c r="Y43" s="49"/>
      <c r="Z43" s="49"/>
      <c r="AA43" s="49"/>
      <c r="AB43" s="62">
        <v>75</v>
      </c>
      <c r="AC43" s="62">
        <v>150</v>
      </c>
      <c r="AD43" s="62">
        <v>300</v>
      </c>
      <c r="AE43" s="62"/>
      <c r="AF43" s="62">
        <v>150</v>
      </c>
      <c r="AG43" s="62">
        <v>300</v>
      </c>
      <c r="AH43" s="62">
        <v>600</v>
      </c>
      <c r="AI43" s="62"/>
      <c r="AJ43" s="62" t="s">
        <v>3224</v>
      </c>
      <c r="AK43" s="49" t="s">
        <v>3225</v>
      </c>
      <c r="AL43" s="49"/>
      <c r="AM43" s="49"/>
      <c r="AN43" s="49"/>
      <c r="AO43" s="49"/>
      <c r="AP43" s="49"/>
      <c r="AQ43" s="49"/>
      <c r="AR43" s="49"/>
      <c r="AS43" s="49"/>
      <c r="AT43" s="49"/>
      <c r="AU43" s="49"/>
      <c r="AV43" s="49"/>
      <c r="AW43" s="49"/>
      <c r="AX43" s="49"/>
      <c r="AY43" s="49"/>
      <c r="AZ43" s="49"/>
      <c r="BA43" s="49"/>
      <c r="BB43" s="49"/>
      <c r="BC43" s="49"/>
      <c r="BD43" s="49"/>
      <c r="BE43" s="49"/>
      <c r="BF43" s="49"/>
      <c r="BG43" s="599" t="s">
        <v>3226</v>
      </c>
      <c r="BH43" s="599"/>
      <c r="BI43" s="62" t="s">
        <v>2978</v>
      </c>
      <c r="BJ43" s="599" t="s">
        <v>3176</v>
      </c>
      <c r="BK43" s="599"/>
      <c r="BL43" s="62" t="s">
        <v>318</v>
      </c>
      <c r="BM43" s="62" t="s">
        <v>2980</v>
      </c>
      <c r="BN43" s="49"/>
      <c r="BO43" s="599" t="s">
        <v>3227</v>
      </c>
      <c r="BP43" s="599"/>
      <c r="BQ43" s="62" t="s">
        <v>2978</v>
      </c>
      <c r="BR43" s="599" t="s">
        <v>2982</v>
      </c>
      <c r="BS43" s="599"/>
      <c r="BT43" s="49"/>
      <c r="BU43" s="49" t="s">
        <v>2983</v>
      </c>
      <c r="BV43" s="49"/>
      <c r="BW43" s="49"/>
      <c r="BX43" s="49"/>
      <c r="BY43" s="49"/>
      <c r="BZ43" s="49"/>
      <c r="CA43" s="49"/>
    </row>
    <row r="44" spans="1:79">
      <c r="A44" s="49"/>
      <c r="B44" s="49"/>
      <c r="C44" s="49"/>
      <c r="D44" s="49"/>
      <c r="E44" s="613" t="s">
        <v>3228</v>
      </c>
      <c r="F44" s="614"/>
      <c r="G44" s="615"/>
      <c r="H44" s="49"/>
      <c r="I44" s="613" t="s">
        <v>3229</v>
      </c>
      <c r="J44" s="614"/>
      <c r="K44" s="615"/>
      <c r="L44" s="49"/>
      <c r="M44" s="613" t="s">
        <v>3230</v>
      </c>
      <c r="N44" s="614"/>
      <c r="O44" s="615"/>
      <c r="P44" s="49"/>
      <c r="Q44" s="49"/>
      <c r="R44" s="71" t="s">
        <v>3231</v>
      </c>
      <c r="S44" s="71"/>
      <c r="T44" s="71" t="s">
        <v>3232</v>
      </c>
      <c r="U44" s="49"/>
      <c r="V44" s="49"/>
      <c r="W44" s="49"/>
      <c r="X44" s="49"/>
      <c r="Y44" s="49"/>
      <c r="Z44" s="49"/>
      <c r="AA44" s="49"/>
      <c r="AB44" s="62">
        <v>25</v>
      </c>
      <c r="AC44" s="62">
        <v>50</v>
      </c>
      <c r="AD44" s="62">
        <v>100</v>
      </c>
      <c r="AE44" s="62"/>
      <c r="AF44" s="62">
        <v>150</v>
      </c>
      <c r="AG44" s="62">
        <v>300</v>
      </c>
      <c r="AH44" s="62">
        <v>600</v>
      </c>
      <c r="AI44" s="62"/>
      <c r="AJ44" s="62" t="s">
        <v>3233</v>
      </c>
      <c r="AK44" s="49" t="s">
        <v>3234</v>
      </c>
      <c r="AL44" s="49"/>
      <c r="AM44" s="49"/>
      <c r="AN44" s="49"/>
      <c r="AO44" s="49"/>
      <c r="AP44" s="49"/>
      <c r="AQ44" s="49"/>
      <c r="AR44" s="49"/>
      <c r="AS44" s="49"/>
      <c r="AT44" s="49"/>
      <c r="AU44" s="49"/>
      <c r="AV44" s="49"/>
      <c r="AW44" s="49"/>
      <c r="AX44" s="49"/>
      <c r="AY44" s="49"/>
      <c r="AZ44" s="49"/>
      <c r="BA44" s="49"/>
      <c r="BB44" s="49"/>
      <c r="BC44" s="49"/>
      <c r="BD44" s="49"/>
      <c r="BE44" s="49"/>
      <c r="BF44" s="49"/>
      <c r="BG44" s="599" t="s">
        <v>2988</v>
      </c>
      <c r="BH44" s="599"/>
      <c r="BI44" s="62" t="s">
        <v>2978</v>
      </c>
      <c r="BJ44" s="599" t="s">
        <v>3129</v>
      </c>
      <c r="BK44" s="599"/>
      <c r="BL44" s="62" t="s">
        <v>318</v>
      </c>
      <c r="BM44" s="62" t="s">
        <v>2980</v>
      </c>
      <c r="BN44" s="49"/>
      <c r="BO44" s="599" t="s">
        <v>3235</v>
      </c>
      <c r="BP44" s="599"/>
      <c r="BQ44" s="62" t="s">
        <v>2978</v>
      </c>
      <c r="BR44" s="599" t="s">
        <v>2982</v>
      </c>
      <c r="BS44" s="599"/>
      <c r="BT44" s="49"/>
      <c r="BU44" s="49" t="s">
        <v>2983</v>
      </c>
      <c r="BV44" s="49"/>
      <c r="BW44" s="49"/>
      <c r="BX44" s="49"/>
      <c r="BY44" s="49"/>
      <c r="BZ44" s="49"/>
      <c r="CA44" s="49"/>
    </row>
    <row r="45" spans="1:79">
      <c r="A45" s="49"/>
      <c r="B45" s="49"/>
      <c r="C45" s="49"/>
      <c r="D45" s="49"/>
      <c r="E45" s="613"/>
      <c r="F45" s="614"/>
      <c r="G45" s="615"/>
      <c r="H45" s="49"/>
      <c r="I45" s="613"/>
      <c r="J45" s="614"/>
      <c r="K45" s="615"/>
      <c r="L45" s="49"/>
      <c r="M45" s="613"/>
      <c r="N45" s="614"/>
      <c r="O45" s="615"/>
      <c r="P45" s="49"/>
      <c r="Q45" s="49"/>
      <c r="R45" s="71" t="s">
        <v>3236</v>
      </c>
      <c r="S45" s="71"/>
      <c r="T45" s="71" t="s">
        <v>3237</v>
      </c>
      <c r="U45" s="49"/>
      <c r="V45" s="49"/>
      <c r="W45" s="49"/>
      <c r="X45" s="49"/>
      <c r="Y45" s="49"/>
      <c r="Z45" s="49"/>
      <c r="AA45" s="49"/>
      <c r="AB45" s="62">
        <v>80</v>
      </c>
      <c r="AC45" s="62">
        <v>150</v>
      </c>
      <c r="AD45" s="62">
        <v>300</v>
      </c>
      <c r="AE45" s="62"/>
      <c r="AF45" s="62">
        <v>150</v>
      </c>
      <c r="AG45" s="62">
        <v>300</v>
      </c>
      <c r="AH45" s="62">
        <v>600</v>
      </c>
      <c r="AI45" s="62"/>
      <c r="AJ45" s="62" t="s">
        <v>3238</v>
      </c>
      <c r="AK45" s="49" t="s">
        <v>3239</v>
      </c>
      <c r="AL45" s="49"/>
      <c r="AM45" s="49"/>
      <c r="AN45" s="49"/>
      <c r="AO45" s="49"/>
      <c r="AP45" s="49"/>
      <c r="AQ45" s="49"/>
      <c r="AR45" s="49"/>
      <c r="AS45" s="49"/>
      <c r="AT45" s="49"/>
      <c r="AU45" s="49"/>
      <c r="AV45" s="49"/>
      <c r="AW45" s="49"/>
      <c r="AX45" s="49"/>
      <c r="AY45" s="49"/>
      <c r="AZ45" s="49"/>
      <c r="BA45" s="49"/>
      <c r="BB45" s="49"/>
      <c r="BC45" s="49"/>
      <c r="BD45" s="49"/>
      <c r="BE45" s="49"/>
      <c r="BF45" s="49"/>
      <c r="BG45" s="599" t="s">
        <v>2988</v>
      </c>
      <c r="BH45" s="599"/>
      <c r="BI45" s="62" t="s">
        <v>2978</v>
      </c>
      <c r="BJ45" s="599" t="s">
        <v>3129</v>
      </c>
      <c r="BK45" s="599"/>
      <c r="BL45" s="62" t="s">
        <v>318</v>
      </c>
      <c r="BM45" s="62" t="s">
        <v>2980</v>
      </c>
      <c r="BN45" s="49"/>
      <c r="BO45" s="599" t="s">
        <v>3240</v>
      </c>
      <c r="BP45" s="599"/>
      <c r="BQ45" s="62" t="s">
        <v>2978</v>
      </c>
      <c r="BR45" s="599" t="s">
        <v>2982</v>
      </c>
      <c r="BS45" s="599"/>
      <c r="BT45" s="49"/>
      <c r="BU45" s="49" t="s">
        <v>2983</v>
      </c>
      <c r="BV45" s="49"/>
      <c r="BW45" s="49"/>
      <c r="BX45" s="49"/>
      <c r="BY45" s="49"/>
      <c r="BZ45" s="49"/>
      <c r="CA45" s="49"/>
    </row>
    <row r="46" spans="1:79">
      <c r="A46" s="49"/>
      <c r="B46" s="49"/>
      <c r="C46" s="49"/>
      <c r="D46" s="49"/>
      <c r="E46" s="59" t="s">
        <v>3165</v>
      </c>
      <c r="F46" s="60"/>
      <c r="G46" s="61" t="s">
        <v>3166</v>
      </c>
      <c r="H46" s="49"/>
      <c r="I46" s="59" t="s">
        <v>3165</v>
      </c>
      <c r="J46" s="60"/>
      <c r="K46" s="61" t="s">
        <v>3166</v>
      </c>
      <c r="L46" s="49"/>
      <c r="M46" s="59" t="s">
        <v>3165</v>
      </c>
      <c r="N46" s="60"/>
      <c r="O46" s="61" t="s">
        <v>3166</v>
      </c>
      <c r="P46" s="49"/>
      <c r="Q46" s="49"/>
      <c r="R46" s="71" t="s">
        <v>3241</v>
      </c>
      <c r="S46" s="71"/>
      <c r="T46" s="71" t="s">
        <v>3242</v>
      </c>
      <c r="U46" s="49"/>
      <c r="V46" s="49"/>
      <c r="W46" s="49"/>
      <c r="X46" s="49"/>
      <c r="Y46" s="49"/>
      <c r="Z46" s="49"/>
      <c r="AA46" s="49"/>
      <c r="AB46" s="62" t="s">
        <v>3173</v>
      </c>
      <c r="AC46" s="62">
        <v>9</v>
      </c>
      <c r="AD46" s="62">
        <v>10</v>
      </c>
      <c r="AE46" s="62"/>
      <c r="AF46" s="62" t="s">
        <v>3173</v>
      </c>
      <c r="AG46" s="62">
        <v>600</v>
      </c>
      <c r="AH46" s="62">
        <v>800</v>
      </c>
      <c r="AI46" s="62"/>
      <c r="AJ46" s="62" t="s">
        <v>3243</v>
      </c>
      <c r="AK46" s="49" t="s">
        <v>3244</v>
      </c>
      <c r="AL46" s="49"/>
      <c r="AM46" s="49"/>
      <c r="AN46" s="49"/>
      <c r="AO46" s="49"/>
      <c r="AP46" s="49"/>
      <c r="AQ46" s="49"/>
      <c r="AR46" s="49"/>
      <c r="AS46" s="49"/>
      <c r="AT46" s="49"/>
      <c r="AU46" s="49"/>
      <c r="AV46" s="49"/>
      <c r="AW46" s="49"/>
      <c r="AX46" s="49"/>
      <c r="AY46" s="49"/>
      <c r="AZ46" s="49"/>
      <c r="BA46" s="49"/>
      <c r="BB46" s="49"/>
      <c r="BC46" s="49"/>
      <c r="BD46" s="49"/>
      <c r="BE46" s="49"/>
      <c r="BF46" s="49"/>
      <c r="BG46" s="599" t="s">
        <v>2988</v>
      </c>
      <c r="BH46" s="599"/>
      <c r="BI46" s="62" t="s">
        <v>2978</v>
      </c>
      <c r="BJ46" s="599" t="s">
        <v>3129</v>
      </c>
      <c r="BK46" s="599"/>
      <c r="BL46" s="62" t="s">
        <v>318</v>
      </c>
      <c r="BM46" s="62" t="s">
        <v>2980</v>
      </c>
      <c r="BN46" s="49"/>
      <c r="BO46" s="599" t="s">
        <v>3245</v>
      </c>
      <c r="BP46" s="599"/>
      <c r="BQ46" s="62" t="s">
        <v>2978</v>
      </c>
      <c r="BR46" s="599" t="s">
        <v>2982</v>
      </c>
      <c r="BS46" s="599"/>
      <c r="BT46" s="49"/>
      <c r="BU46" s="49" t="s">
        <v>2983</v>
      </c>
      <c r="BV46" s="49"/>
      <c r="BW46" s="49"/>
      <c r="BX46" s="49"/>
      <c r="BY46" s="49"/>
      <c r="BZ46" s="49"/>
      <c r="CA46" s="49"/>
    </row>
    <row r="47" spans="1:79">
      <c r="A47" s="49"/>
      <c r="B47" s="49"/>
      <c r="C47" s="49"/>
      <c r="D47" s="49"/>
      <c r="E47" s="49"/>
      <c r="F47" s="49"/>
      <c r="G47" s="49"/>
      <c r="H47" s="49"/>
      <c r="I47" s="49"/>
      <c r="J47" s="49"/>
      <c r="K47" s="49"/>
      <c r="L47" s="49"/>
      <c r="M47" s="49"/>
      <c r="N47" s="49"/>
      <c r="O47" s="49"/>
      <c r="P47" s="49"/>
      <c r="Q47" s="49"/>
      <c r="R47" s="71" t="s">
        <v>3246</v>
      </c>
      <c r="S47" s="71"/>
      <c r="T47" s="71" t="s">
        <v>3247</v>
      </c>
      <c r="U47" s="49"/>
      <c r="V47" s="49"/>
      <c r="W47" s="49"/>
      <c r="X47" s="49"/>
      <c r="Y47" s="49"/>
      <c r="Z47" s="49"/>
      <c r="AA47" s="49"/>
      <c r="AB47" s="62" t="s">
        <v>3173</v>
      </c>
      <c r="AC47" s="62">
        <v>3</v>
      </c>
      <c r="AD47" s="62" t="s">
        <v>3173</v>
      </c>
      <c r="AE47" s="62"/>
      <c r="AF47" s="62" t="s">
        <v>3173</v>
      </c>
      <c r="AG47" s="62">
        <v>300</v>
      </c>
      <c r="AH47" s="62" t="s">
        <v>3173</v>
      </c>
      <c r="AI47" s="62"/>
      <c r="AJ47" s="62" t="s">
        <v>3248</v>
      </c>
      <c r="AK47" s="49" t="s">
        <v>3249</v>
      </c>
      <c r="AL47" s="49"/>
      <c r="AM47" s="49"/>
      <c r="AN47" s="49"/>
      <c r="AO47" s="49"/>
      <c r="AP47" s="49"/>
      <c r="AQ47" s="49"/>
      <c r="AR47" s="49"/>
      <c r="AS47" s="49"/>
      <c r="AT47" s="49"/>
      <c r="AU47" s="49"/>
      <c r="AV47" s="49"/>
      <c r="AW47" s="49"/>
      <c r="AX47" s="49"/>
      <c r="AY47" s="49"/>
      <c r="AZ47" s="49"/>
      <c r="BA47" s="49"/>
      <c r="BB47" s="49"/>
      <c r="BC47" s="49"/>
      <c r="BD47" s="49"/>
      <c r="BE47" s="49"/>
      <c r="BF47" s="49"/>
      <c r="BG47" s="599" t="s">
        <v>3250</v>
      </c>
      <c r="BH47" s="599"/>
      <c r="BI47" s="62" t="s">
        <v>3081</v>
      </c>
      <c r="BJ47" s="599" t="s">
        <v>3251</v>
      </c>
      <c r="BK47" s="599"/>
      <c r="BL47" s="62" t="s">
        <v>3083</v>
      </c>
      <c r="BM47" s="62" t="s">
        <v>3252</v>
      </c>
      <c r="BN47" s="49"/>
      <c r="BO47" s="599" t="s">
        <v>3253</v>
      </c>
      <c r="BP47" s="599"/>
      <c r="BQ47" s="62" t="s">
        <v>2978</v>
      </c>
      <c r="BR47" s="599" t="s">
        <v>2982</v>
      </c>
      <c r="BS47" s="599"/>
      <c r="BT47" s="49"/>
      <c r="BU47" s="49" t="s">
        <v>2983</v>
      </c>
      <c r="BV47" s="49"/>
      <c r="BW47" s="49"/>
      <c r="BX47" s="49"/>
      <c r="BY47" s="49"/>
      <c r="BZ47" s="49"/>
      <c r="CA47" s="49"/>
    </row>
    <row r="48" spans="1:79">
      <c r="A48" s="49"/>
      <c r="B48" s="49"/>
      <c r="C48" s="49"/>
      <c r="D48" s="49"/>
      <c r="E48" s="49"/>
      <c r="F48" s="49"/>
      <c r="G48" s="49"/>
      <c r="H48" s="49"/>
      <c r="I48" s="49"/>
      <c r="J48" s="49"/>
      <c r="K48" s="49"/>
      <c r="L48" s="49"/>
      <c r="M48" s="49"/>
      <c r="N48" s="49"/>
      <c r="O48" s="49"/>
      <c r="P48" s="49"/>
      <c r="Q48" s="49"/>
      <c r="R48" s="71" t="s">
        <v>3254</v>
      </c>
      <c r="S48" s="71"/>
      <c r="T48" s="71" t="s">
        <v>3255</v>
      </c>
      <c r="U48" s="49"/>
      <c r="V48" s="49"/>
      <c r="W48" s="49"/>
      <c r="X48" s="49"/>
      <c r="Y48" s="49"/>
      <c r="Z48" s="49"/>
      <c r="AA48" s="49"/>
      <c r="AB48" s="62" t="s">
        <v>3173</v>
      </c>
      <c r="AC48" s="62">
        <v>3</v>
      </c>
      <c r="AD48" s="62" t="s">
        <v>3173</v>
      </c>
      <c r="AE48" s="62"/>
      <c r="AF48" s="62" t="s">
        <v>3173</v>
      </c>
      <c r="AG48" s="62">
        <v>350</v>
      </c>
      <c r="AH48" s="62" t="s">
        <v>3173</v>
      </c>
      <c r="AI48" s="62"/>
      <c r="AJ48" s="62" t="s">
        <v>3256</v>
      </c>
      <c r="AK48" s="49" t="s">
        <v>3257</v>
      </c>
      <c r="AL48" s="49"/>
      <c r="AM48" s="49"/>
      <c r="AN48" s="49"/>
      <c r="AO48" s="49"/>
      <c r="AP48" s="49"/>
      <c r="AQ48" s="49"/>
      <c r="AR48" s="49"/>
      <c r="AS48" s="49"/>
      <c r="AT48" s="49"/>
      <c r="AU48" s="49"/>
      <c r="AV48" s="49"/>
      <c r="AW48" s="49"/>
      <c r="AX48" s="49"/>
      <c r="AY48" s="49"/>
      <c r="AZ48" s="49"/>
      <c r="BA48" s="49"/>
      <c r="BB48" s="49"/>
      <c r="BC48" s="49"/>
      <c r="BD48" s="49"/>
      <c r="BE48" s="49"/>
      <c r="BF48" s="49"/>
      <c r="BG48" s="599" t="s">
        <v>3250</v>
      </c>
      <c r="BH48" s="599"/>
      <c r="BI48" s="62" t="s">
        <v>3081</v>
      </c>
      <c r="BJ48" s="599" t="s">
        <v>3251</v>
      </c>
      <c r="BK48" s="599"/>
      <c r="BL48" s="62" t="s">
        <v>3083</v>
      </c>
      <c r="BM48" s="62" t="s">
        <v>3252</v>
      </c>
      <c r="BN48" s="49"/>
      <c r="BO48" s="599" t="s">
        <v>3258</v>
      </c>
      <c r="BP48" s="599"/>
      <c r="BQ48" s="62" t="s">
        <v>2978</v>
      </c>
      <c r="BR48" s="599" t="s">
        <v>2982</v>
      </c>
      <c r="BS48" s="599"/>
      <c r="BT48" s="49"/>
      <c r="BU48" s="49" t="s">
        <v>2983</v>
      </c>
      <c r="BV48" s="49"/>
      <c r="BW48" s="49"/>
      <c r="BX48" s="49"/>
      <c r="BY48" s="49"/>
      <c r="BZ48" s="49"/>
      <c r="CA48" s="49"/>
    </row>
    <row r="49" spans="1:79">
      <c r="A49" s="49"/>
      <c r="B49" s="49"/>
      <c r="C49" s="49"/>
      <c r="D49" s="49"/>
      <c r="E49" s="51" t="s">
        <v>3259</v>
      </c>
      <c r="F49" s="52"/>
      <c r="G49" s="53" t="s">
        <v>3260</v>
      </c>
      <c r="H49" s="49"/>
      <c r="I49" s="51" t="s">
        <v>3261</v>
      </c>
      <c r="J49" s="52"/>
      <c r="K49" s="53" t="s">
        <v>3260</v>
      </c>
      <c r="L49" s="49"/>
      <c r="M49" s="51" t="s">
        <v>3262</v>
      </c>
      <c r="N49" s="52"/>
      <c r="O49" s="53" t="s">
        <v>3263</v>
      </c>
      <c r="P49" s="49"/>
      <c r="Q49" s="49"/>
      <c r="R49" s="71" t="s">
        <v>3264</v>
      </c>
      <c r="S49" s="71"/>
      <c r="T49" s="71" t="s">
        <v>3265</v>
      </c>
      <c r="U49" s="49"/>
      <c r="V49" s="49"/>
      <c r="W49" s="49"/>
      <c r="X49" s="49"/>
      <c r="Y49" s="49"/>
      <c r="Z49" s="49"/>
      <c r="AA49" s="49"/>
      <c r="AB49" s="62" t="s">
        <v>3173</v>
      </c>
      <c r="AC49" s="62">
        <v>3</v>
      </c>
      <c r="AD49" s="62" t="s">
        <v>3173</v>
      </c>
      <c r="AE49" s="62"/>
      <c r="AF49" s="62" t="s">
        <v>3173</v>
      </c>
      <c r="AG49" s="62">
        <v>500</v>
      </c>
      <c r="AH49" s="62" t="s">
        <v>3173</v>
      </c>
      <c r="AI49" s="62"/>
      <c r="AJ49" s="62" t="s">
        <v>3266</v>
      </c>
      <c r="AK49" s="49" t="s">
        <v>3267</v>
      </c>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599" t="s">
        <v>3268</v>
      </c>
      <c r="BP49" s="599"/>
      <c r="BQ49" s="62" t="s">
        <v>2978</v>
      </c>
      <c r="BR49" s="599" t="s">
        <v>3164</v>
      </c>
      <c r="BS49" s="599"/>
      <c r="BT49" s="49"/>
      <c r="BU49" s="49" t="s">
        <v>2983</v>
      </c>
      <c r="BV49" s="49"/>
      <c r="BW49" s="49"/>
      <c r="BX49" s="49"/>
      <c r="BY49" s="49"/>
      <c r="BZ49" s="49"/>
      <c r="CA49" s="49"/>
    </row>
    <row r="50" spans="1:79">
      <c r="A50" s="49"/>
      <c r="B50" s="49"/>
      <c r="C50" s="49"/>
      <c r="D50" s="49"/>
      <c r="E50" s="55"/>
      <c r="F50" s="49"/>
      <c r="G50" s="56"/>
      <c r="H50" s="49"/>
      <c r="I50" s="55"/>
      <c r="J50" s="49"/>
      <c r="K50" s="56"/>
      <c r="L50" s="49"/>
      <c r="M50" s="55"/>
      <c r="N50" s="49"/>
      <c r="O50" s="56"/>
      <c r="P50" s="49"/>
      <c r="Q50" s="49"/>
      <c r="R50" s="71" t="s">
        <v>3269</v>
      </c>
      <c r="S50" s="71"/>
      <c r="T50" s="71" t="s">
        <v>3270</v>
      </c>
      <c r="U50" s="49"/>
      <c r="V50" s="49"/>
      <c r="W50" s="49"/>
      <c r="X50" s="49"/>
      <c r="Y50" s="49"/>
      <c r="Z50" s="49"/>
      <c r="AA50" s="49"/>
      <c r="AB50" s="62" t="s">
        <v>3173</v>
      </c>
      <c r="AC50" s="62">
        <v>3</v>
      </c>
      <c r="AD50" s="62" t="s">
        <v>3173</v>
      </c>
      <c r="AE50" s="62"/>
      <c r="AF50" s="62" t="s">
        <v>3173</v>
      </c>
      <c r="AG50" s="62">
        <v>500</v>
      </c>
      <c r="AH50" s="62" t="s">
        <v>3173</v>
      </c>
      <c r="AI50" s="62"/>
      <c r="AJ50" s="62" t="s">
        <v>3271</v>
      </c>
      <c r="AK50" s="49" t="s">
        <v>3272</v>
      </c>
      <c r="AL50" s="49"/>
      <c r="AM50" s="49"/>
      <c r="AN50" s="49"/>
      <c r="AO50" s="49"/>
      <c r="AP50" s="49"/>
      <c r="AQ50" s="49"/>
      <c r="AR50" s="49"/>
      <c r="AS50" s="49"/>
      <c r="AT50" s="49"/>
      <c r="AU50" s="49"/>
      <c r="AV50" s="49"/>
      <c r="AW50" s="49"/>
      <c r="AX50" s="49"/>
      <c r="AY50" s="49"/>
      <c r="AZ50" s="49"/>
      <c r="BA50" s="49"/>
      <c r="BB50" s="49"/>
      <c r="BC50" s="49"/>
      <c r="BD50" s="49"/>
      <c r="BE50" s="49"/>
      <c r="BF50" s="49"/>
      <c r="BG50" s="49" t="s">
        <v>3273</v>
      </c>
      <c r="BH50" s="49"/>
      <c r="BI50" s="49"/>
      <c r="BJ50" s="49"/>
      <c r="BK50" s="49"/>
      <c r="BL50" s="49"/>
      <c r="BM50" s="49"/>
      <c r="BN50" s="49"/>
      <c r="BO50" s="49"/>
      <c r="BP50" s="49"/>
      <c r="BQ50" s="49"/>
      <c r="BR50" s="49"/>
      <c r="BS50" s="49"/>
      <c r="BT50" s="49"/>
      <c r="BU50" s="49"/>
      <c r="BV50" s="49"/>
      <c r="BW50" s="49"/>
      <c r="BX50" s="49"/>
      <c r="BY50" s="49"/>
      <c r="BZ50" s="49"/>
      <c r="CA50" s="49"/>
    </row>
    <row r="51" spans="1:79">
      <c r="A51" s="49"/>
      <c r="B51" s="49"/>
      <c r="C51" s="49"/>
      <c r="D51" s="49"/>
      <c r="E51" s="55"/>
      <c r="F51" s="49"/>
      <c r="G51" s="56"/>
      <c r="H51" s="49"/>
      <c r="I51" s="55"/>
      <c r="J51" s="49"/>
      <c r="K51" s="56"/>
      <c r="L51" s="49"/>
      <c r="M51" s="55"/>
      <c r="N51" s="49"/>
      <c r="O51" s="56"/>
      <c r="P51" s="49"/>
      <c r="Q51" s="49"/>
      <c r="R51" s="71" t="s">
        <v>3274</v>
      </c>
      <c r="S51" s="71"/>
      <c r="T51" s="71" t="s">
        <v>3275</v>
      </c>
      <c r="U51" s="49"/>
      <c r="V51" s="49"/>
      <c r="W51" s="49"/>
      <c r="X51" s="49"/>
      <c r="Y51" s="49"/>
      <c r="Z51" s="49"/>
      <c r="AA51" s="49"/>
      <c r="AB51" s="62" t="s">
        <v>3173</v>
      </c>
      <c r="AC51" s="62">
        <v>3</v>
      </c>
      <c r="AD51" s="62" t="s">
        <v>3173</v>
      </c>
      <c r="AE51" s="62"/>
      <c r="AF51" s="62" t="s">
        <v>3173</v>
      </c>
      <c r="AG51" s="62">
        <v>400</v>
      </c>
      <c r="AH51" s="62" t="s">
        <v>3173</v>
      </c>
      <c r="AI51" s="62"/>
      <c r="AJ51" s="62" t="s">
        <v>3276</v>
      </c>
      <c r="AK51" s="49" t="s">
        <v>3277</v>
      </c>
      <c r="AL51" s="49"/>
      <c r="AM51" s="49"/>
      <c r="AN51" s="49"/>
      <c r="AO51" s="49"/>
      <c r="AP51" s="49"/>
      <c r="AQ51" s="49"/>
      <c r="AR51" s="49"/>
      <c r="AS51" s="49"/>
      <c r="AT51" s="49"/>
      <c r="AU51" s="49"/>
      <c r="AV51" s="49"/>
      <c r="AW51" s="49"/>
      <c r="AX51" s="49"/>
      <c r="AY51" s="49"/>
      <c r="AZ51" s="49"/>
      <c r="BA51" s="49"/>
      <c r="BB51" s="49"/>
      <c r="BC51" s="49"/>
      <c r="BD51" s="49"/>
      <c r="BE51" s="49"/>
      <c r="BF51" s="49"/>
      <c r="BG51" s="49" t="s">
        <v>3278</v>
      </c>
      <c r="BH51" s="49"/>
      <c r="BI51" s="49"/>
      <c r="BJ51" s="49"/>
      <c r="BK51" s="49"/>
      <c r="BL51" s="49"/>
      <c r="BM51" s="49"/>
      <c r="BN51" s="49"/>
      <c r="BO51" s="49" t="s">
        <v>3279</v>
      </c>
      <c r="BP51" s="49"/>
      <c r="BQ51" s="49"/>
      <c r="BR51" s="49"/>
      <c r="BS51" s="49"/>
      <c r="BT51" s="49"/>
      <c r="BU51" s="49"/>
      <c r="BV51" s="49"/>
      <c r="BW51" s="49"/>
      <c r="BX51" s="49"/>
      <c r="BY51" s="49"/>
      <c r="BZ51" s="49"/>
      <c r="CA51" s="49"/>
    </row>
    <row r="52" spans="1:79">
      <c r="A52" s="49"/>
      <c r="B52" s="49"/>
      <c r="C52" s="49"/>
      <c r="D52" s="49"/>
      <c r="E52" s="55"/>
      <c r="F52" s="49"/>
      <c r="G52" s="56"/>
      <c r="H52" s="49"/>
      <c r="I52" s="55"/>
      <c r="J52" s="49"/>
      <c r="K52" s="56"/>
      <c r="L52" s="49"/>
      <c r="M52" s="55"/>
      <c r="N52" s="49"/>
      <c r="O52" s="56"/>
      <c r="P52" s="49"/>
      <c r="Q52" s="49"/>
      <c r="R52" s="71" t="s">
        <v>3280</v>
      </c>
      <c r="S52" s="71"/>
      <c r="T52" s="71" t="s">
        <v>3281</v>
      </c>
      <c r="U52" s="49"/>
      <c r="V52" s="49"/>
      <c r="W52" s="49"/>
      <c r="X52" s="49"/>
      <c r="Y52" s="49"/>
      <c r="Z52" s="49"/>
      <c r="AA52" s="49"/>
      <c r="AB52" s="62" t="s">
        <v>3173</v>
      </c>
      <c r="AC52" s="62">
        <v>3</v>
      </c>
      <c r="AD52" s="62" t="s">
        <v>3173</v>
      </c>
      <c r="AE52" s="62"/>
      <c r="AF52" s="62" t="s">
        <v>3173</v>
      </c>
      <c r="AG52" s="62">
        <v>300</v>
      </c>
      <c r="AH52" s="62" t="s">
        <v>3173</v>
      </c>
      <c r="AI52" s="62"/>
      <c r="AJ52" s="62" t="s">
        <v>3282</v>
      </c>
      <c r="AK52" s="49" t="s">
        <v>3283</v>
      </c>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row>
    <row r="53" spans="1:79">
      <c r="A53" s="49"/>
      <c r="B53" s="49"/>
      <c r="C53" s="49"/>
      <c r="D53" s="49"/>
      <c r="E53" s="55"/>
      <c r="F53" s="49"/>
      <c r="G53" s="56"/>
      <c r="H53" s="49"/>
      <c r="I53" s="55"/>
      <c r="J53" s="49"/>
      <c r="K53" s="56"/>
      <c r="L53" s="49"/>
      <c r="M53" s="55"/>
      <c r="N53" s="49"/>
      <c r="O53" s="56"/>
      <c r="P53" s="49"/>
      <c r="Q53" s="49"/>
      <c r="R53" s="71" t="s">
        <v>3284</v>
      </c>
      <c r="S53" s="71"/>
      <c r="T53" s="71" t="s">
        <v>3285</v>
      </c>
      <c r="U53" s="49"/>
      <c r="V53" s="49"/>
      <c r="W53" s="49"/>
      <c r="X53" s="49"/>
      <c r="Y53" s="49"/>
      <c r="Z53" s="49"/>
      <c r="AA53" s="49"/>
      <c r="AB53" s="62" t="s">
        <v>3173</v>
      </c>
      <c r="AC53" s="62">
        <v>3</v>
      </c>
      <c r="AD53" s="62" t="s">
        <v>3173</v>
      </c>
      <c r="AE53" s="62"/>
      <c r="AF53" s="62" t="s">
        <v>3173</v>
      </c>
      <c r="AG53" s="62">
        <v>300</v>
      </c>
      <c r="AH53" s="62" t="s">
        <v>3173</v>
      </c>
      <c r="AI53" s="62"/>
      <c r="AJ53" s="62" t="s">
        <v>3286</v>
      </c>
      <c r="AK53" s="49" t="s">
        <v>3287</v>
      </c>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row>
    <row r="54" spans="1:79">
      <c r="A54" s="49"/>
      <c r="B54" s="49"/>
      <c r="C54" s="49"/>
      <c r="D54" s="49"/>
      <c r="E54" s="55"/>
      <c r="F54" s="57"/>
      <c r="G54" s="58"/>
      <c r="H54" s="49"/>
      <c r="I54" s="55"/>
      <c r="J54" s="57"/>
      <c r="K54" s="58"/>
      <c r="L54" s="49"/>
      <c r="M54" s="55"/>
      <c r="N54" s="57"/>
      <c r="O54" s="58"/>
      <c r="P54" s="49"/>
      <c r="Q54" s="49"/>
      <c r="R54" s="71" t="s">
        <v>3288</v>
      </c>
      <c r="S54" s="71"/>
      <c r="T54" s="71" t="s">
        <v>3289</v>
      </c>
      <c r="U54" s="49"/>
      <c r="V54" s="49"/>
      <c r="W54" s="49"/>
      <c r="X54" s="49"/>
      <c r="Y54" s="49"/>
      <c r="Z54" s="49"/>
      <c r="AA54" s="49"/>
      <c r="AB54" s="62" t="s">
        <v>3173</v>
      </c>
      <c r="AC54" s="62">
        <v>3</v>
      </c>
      <c r="AD54" s="62" t="s">
        <v>3173</v>
      </c>
      <c r="AE54" s="62"/>
      <c r="AF54" s="62" t="s">
        <v>3173</v>
      </c>
      <c r="AG54" s="62">
        <v>300</v>
      </c>
      <c r="AH54" s="62" t="s">
        <v>3173</v>
      </c>
      <c r="AI54" s="62"/>
      <c r="AJ54" s="62" t="s">
        <v>3290</v>
      </c>
      <c r="AK54" s="49" t="s">
        <v>3291</v>
      </c>
      <c r="AL54" s="49"/>
      <c r="AM54" s="49"/>
      <c r="AN54" s="49"/>
      <c r="AO54" s="49"/>
      <c r="AP54" s="49"/>
      <c r="AQ54" s="49"/>
      <c r="AR54" s="49"/>
      <c r="AS54" s="49"/>
      <c r="AT54" s="49"/>
      <c r="AU54" s="49"/>
      <c r="AV54" s="49"/>
      <c r="AW54" s="49"/>
      <c r="AX54" s="49"/>
      <c r="AY54" s="49"/>
      <c r="AZ54" s="49"/>
      <c r="BA54" s="49"/>
      <c r="BB54" s="49"/>
      <c r="BC54" s="49"/>
      <c r="BD54" s="49"/>
      <c r="BE54" s="49"/>
      <c r="BF54" s="49"/>
      <c r="BG54" s="49" t="s">
        <v>3292</v>
      </c>
      <c r="BH54" s="49"/>
      <c r="BI54" s="49"/>
      <c r="BJ54" s="49"/>
      <c r="BK54" s="49"/>
      <c r="BL54" s="49"/>
      <c r="BM54" s="49"/>
      <c r="BN54" s="49"/>
      <c r="BO54" s="49"/>
      <c r="BP54" s="49"/>
      <c r="BQ54" s="49"/>
      <c r="BR54" s="49"/>
      <c r="BS54" s="49"/>
      <c r="BT54" s="49"/>
      <c r="BU54" s="49"/>
      <c r="BV54" s="49"/>
      <c r="BW54" s="49"/>
      <c r="BX54" s="49"/>
      <c r="BY54" s="49"/>
      <c r="BZ54" s="49"/>
      <c r="CA54" s="49"/>
    </row>
    <row r="55" spans="1:79">
      <c r="A55" s="49"/>
      <c r="B55" s="49"/>
      <c r="C55" s="49"/>
      <c r="D55" s="49"/>
      <c r="E55" s="613" t="s">
        <v>3293</v>
      </c>
      <c r="F55" s="614"/>
      <c r="G55" s="615"/>
      <c r="H55" s="49"/>
      <c r="I55" s="613" t="s">
        <v>3294</v>
      </c>
      <c r="J55" s="614"/>
      <c r="K55" s="615"/>
      <c r="L55" s="49"/>
      <c r="M55" s="613" t="s">
        <v>3295</v>
      </c>
      <c r="N55" s="614"/>
      <c r="O55" s="615"/>
      <c r="P55" s="49"/>
      <c r="Q55" s="49"/>
      <c r="R55" s="71" t="s">
        <v>3296</v>
      </c>
      <c r="S55" s="71"/>
      <c r="T55" s="71" t="s">
        <v>3297</v>
      </c>
      <c r="U55" s="49"/>
      <c r="V55" s="49"/>
      <c r="W55" s="49"/>
      <c r="X55" s="49"/>
      <c r="Y55" s="49"/>
      <c r="Z55" s="49"/>
      <c r="AA55" s="49"/>
      <c r="AB55" s="62" t="s">
        <v>3173</v>
      </c>
      <c r="AC55" s="62">
        <v>3</v>
      </c>
      <c r="AD55" s="62" t="s">
        <v>3173</v>
      </c>
      <c r="AE55" s="62"/>
      <c r="AF55" s="62" t="s">
        <v>3173</v>
      </c>
      <c r="AG55" s="62">
        <v>300</v>
      </c>
      <c r="AH55" s="62" t="s">
        <v>3173</v>
      </c>
      <c r="AI55" s="62"/>
      <c r="AJ55" s="62" t="s">
        <v>3298</v>
      </c>
      <c r="AK55" s="49" t="s">
        <v>3299</v>
      </c>
      <c r="AL55" s="49"/>
      <c r="AM55" s="49"/>
      <c r="AN55" s="49"/>
      <c r="AO55" s="49"/>
      <c r="AP55" s="49"/>
      <c r="AQ55" s="49"/>
      <c r="AR55" s="49"/>
      <c r="AS55" s="49"/>
      <c r="AT55" s="49"/>
      <c r="AU55" s="49"/>
      <c r="AV55" s="49"/>
      <c r="AW55" s="49"/>
      <c r="AX55" s="49"/>
      <c r="AY55" s="49"/>
      <c r="AZ55" s="49"/>
      <c r="BA55" s="49"/>
      <c r="BB55" s="49"/>
      <c r="BC55" s="49"/>
      <c r="BD55" s="49"/>
      <c r="BE55" s="49"/>
      <c r="BF55" s="49"/>
      <c r="BG55" s="601" t="s">
        <v>2967</v>
      </c>
      <c r="BH55" s="601"/>
      <c r="BI55" s="77" t="s">
        <v>1976</v>
      </c>
      <c r="BJ55" s="601" t="s">
        <v>2968</v>
      </c>
      <c r="BK55" s="601"/>
      <c r="BL55" s="77" t="s">
        <v>2969</v>
      </c>
      <c r="BM55" s="77" t="s">
        <v>2970</v>
      </c>
      <c r="BN55" s="49"/>
      <c r="BO55" s="49"/>
      <c r="BP55" s="49"/>
      <c r="BQ55" s="49"/>
      <c r="BR55" s="49"/>
      <c r="BS55" s="49"/>
      <c r="BT55" s="49"/>
      <c r="BU55" s="49"/>
      <c r="BV55" s="49"/>
      <c r="BW55" s="49"/>
      <c r="BX55" s="49"/>
      <c r="BY55" s="49"/>
      <c r="BZ55" s="49"/>
      <c r="CA55" s="49"/>
    </row>
    <row r="56" spans="1:79">
      <c r="A56" s="49"/>
      <c r="B56" s="49"/>
      <c r="C56" s="49"/>
      <c r="D56" s="49"/>
      <c r="E56" s="613"/>
      <c r="F56" s="614"/>
      <c r="G56" s="615"/>
      <c r="H56" s="49"/>
      <c r="I56" s="613"/>
      <c r="J56" s="614"/>
      <c r="K56" s="615"/>
      <c r="L56" s="49"/>
      <c r="M56" s="613"/>
      <c r="N56" s="614"/>
      <c r="O56" s="615"/>
      <c r="P56" s="49"/>
      <c r="Q56" s="49"/>
      <c r="R56" s="71" t="s">
        <v>3300</v>
      </c>
      <c r="S56" s="71"/>
      <c r="T56" s="71" t="s">
        <v>3301</v>
      </c>
      <c r="U56" s="49"/>
      <c r="V56" s="49"/>
      <c r="W56" s="49"/>
      <c r="X56" s="49"/>
      <c r="Y56" s="49"/>
      <c r="Z56" s="49"/>
      <c r="AA56" s="49"/>
      <c r="AB56" s="62" t="s">
        <v>3173</v>
      </c>
      <c r="AC56" s="62">
        <v>3</v>
      </c>
      <c r="AD56" s="62" t="s">
        <v>3173</v>
      </c>
      <c r="AE56" s="62"/>
      <c r="AF56" s="62" t="s">
        <v>3173</v>
      </c>
      <c r="AG56" s="62">
        <v>300</v>
      </c>
      <c r="AH56" s="62" t="s">
        <v>3173</v>
      </c>
      <c r="AI56" s="62"/>
      <c r="AJ56" s="62" t="s">
        <v>3302</v>
      </c>
      <c r="AK56" s="49" t="s">
        <v>3303</v>
      </c>
      <c r="AL56" s="49"/>
      <c r="AM56" s="49"/>
      <c r="AN56" s="49"/>
      <c r="AO56" s="49"/>
      <c r="AP56" s="49"/>
      <c r="AQ56" s="49"/>
      <c r="AR56" s="49"/>
      <c r="AS56" s="49"/>
      <c r="AT56" s="49"/>
      <c r="AU56" s="49"/>
      <c r="AV56" s="49"/>
      <c r="AW56" s="49"/>
      <c r="AX56" s="49"/>
      <c r="AY56" s="49"/>
      <c r="AZ56" s="49"/>
      <c r="BA56" s="49"/>
      <c r="BB56" s="49"/>
      <c r="BC56" s="49"/>
      <c r="BD56" s="49"/>
      <c r="BE56" s="49"/>
      <c r="BF56" s="49"/>
      <c r="BG56" s="599" t="s">
        <v>3304</v>
      </c>
      <c r="BH56" s="599"/>
      <c r="BI56" s="62" t="s">
        <v>2978</v>
      </c>
      <c r="BJ56" s="599" t="s">
        <v>3305</v>
      </c>
      <c r="BK56" s="599"/>
      <c r="BL56" s="62" t="s">
        <v>3092</v>
      </c>
      <c r="BM56" s="62" t="s">
        <v>3306</v>
      </c>
      <c r="BN56" s="49"/>
      <c r="BO56" s="49"/>
      <c r="BP56" s="49"/>
      <c r="BQ56" s="49"/>
      <c r="BR56" s="49"/>
      <c r="BS56" s="49"/>
      <c r="BT56" s="49"/>
      <c r="BU56" s="49"/>
      <c r="BV56" s="49"/>
      <c r="BW56" s="49"/>
      <c r="BX56" s="49"/>
      <c r="BY56" s="49"/>
      <c r="BZ56" s="49"/>
      <c r="CA56" s="49"/>
    </row>
    <row r="57" spans="1:79">
      <c r="A57" s="49"/>
      <c r="B57" s="49"/>
      <c r="C57" s="49"/>
      <c r="D57" s="49"/>
      <c r="E57" s="59" t="s">
        <v>3165</v>
      </c>
      <c r="F57" s="60"/>
      <c r="G57" s="61" t="s">
        <v>3166</v>
      </c>
      <c r="H57" s="49"/>
      <c r="I57" s="59" t="s">
        <v>3165</v>
      </c>
      <c r="J57" s="60"/>
      <c r="K57" s="61" t="s">
        <v>3166</v>
      </c>
      <c r="L57" s="49"/>
      <c r="M57" s="59" t="s">
        <v>3165</v>
      </c>
      <c r="N57" s="60"/>
      <c r="O57" s="61" t="s">
        <v>3166</v>
      </c>
      <c r="P57" s="49"/>
      <c r="Q57" s="49"/>
      <c r="R57" s="71" t="s">
        <v>3307</v>
      </c>
      <c r="S57" s="71"/>
      <c r="T57" s="71" t="s">
        <v>3308</v>
      </c>
      <c r="U57" s="49"/>
      <c r="V57" s="49"/>
      <c r="W57" s="49"/>
      <c r="X57" s="49"/>
      <c r="Y57" s="49"/>
      <c r="Z57" s="49"/>
      <c r="AA57" s="49"/>
      <c r="AB57" s="62" t="s">
        <v>3173</v>
      </c>
      <c r="AC57" s="62">
        <v>3</v>
      </c>
      <c r="AD57" s="62" t="s">
        <v>3173</v>
      </c>
      <c r="AE57" s="62"/>
      <c r="AF57" s="62" t="s">
        <v>3173</v>
      </c>
      <c r="AG57" s="62">
        <v>300</v>
      </c>
      <c r="AH57" s="62" t="s">
        <v>3173</v>
      </c>
      <c r="AI57" s="62"/>
      <c r="AJ57" s="62" t="s">
        <v>3309</v>
      </c>
      <c r="AK57" s="49" t="s">
        <v>3310</v>
      </c>
      <c r="AL57" s="49"/>
      <c r="AM57" s="49"/>
      <c r="AN57" s="49"/>
      <c r="AO57" s="49"/>
      <c r="AP57" s="49"/>
      <c r="AQ57" s="49"/>
      <c r="AR57" s="49"/>
      <c r="AS57" s="49"/>
      <c r="AT57" s="49"/>
      <c r="AU57" s="49"/>
      <c r="AV57" s="49"/>
      <c r="AW57" s="49"/>
      <c r="AX57" s="49"/>
      <c r="AY57" s="49"/>
      <c r="AZ57" s="49"/>
      <c r="BA57" s="49"/>
      <c r="BB57" s="49"/>
      <c r="BC57" s="49"/>
      <c r="BD57" s="49"/>
      <c r="BE57" s="49"/>
      <c r="BF57" s="49"/>
      <c r="BG57" s="599" t="s">
        <v>3311</v>
      </c>
      <c r="BH57" s="599"/>
      <c r="BI57" s="62" t="s">
        <v>2978</v>
      </c>
      <c r="BJ57" s="599" t="s">
        <v>3305</v>
      </c>
      <c r="BK57" s="599"/>
      <c r="BL57" s="62" t="s">
        <v>3092</v>
      </c>
      <c r="BM57" s="62" t="s">
        <v>3312</v>
      </c>
      <c r="BN57" s="49"/>
      <c r="BO57" s="49"/>
      <c r="BP57" s="49"/>
      <c r="BQ57" s="49"/>
      <c r="BR57" s="49"/>
      <c r="BS57" s="49"/>
      <c r="BT57" s="49"/>
      <c r="BU57" s="49"/>
      <c r="BV57" s="49"/>
      <c r="BW57" s="49"/>
      <c r="BX57" s="49"/>
      <c r="BY57" s="49"/>
      <c r="BZ57" s="49"/>
      <c r="CA57" s="49"/>
    </row>
    <row r="58" spans="1:79">
      <c r="A58" s="49"/>
      <c r="B58" s="49"/>
      <c r="C58" s="49"/>
      <c r="D58" s="49"/>
      <c r="E58" s="49"/>
      <c r="F58" s="49"/>
      <c r="G58" s="49"/>
      <c r="H58" s="49"/>
      <c r="I58" s="49"/>
      <c r="J58" s="49"/>
      <c r="K58" s="49"/>
      <c r="L58" s="49"/>
      <c r="M58" s="49"/>
      <c r="N58" s="49"/>
      <c r="O58" s="49"/>
      <c r="P58" s="49"/>
      <c r="Q58" s="49"/>
      <c r="R58" s="71" t="s">
        <v>3313</v>
      </c>
      <c r="S58" s="71"/>
      <c r="T58" s="71" t="s">
        <v>3314</v>
      </c>
      <c r="U58" s="49"/>
      <c r="V58" s="49"/>
      <c r="W58" s="49"/>
      <c r="X58" s="49"/>
      <c r="Y58" s="49"/>
      <c r="Z58" s="49"/>
      <c r="AA58" s="49"/>
      <c r="AB58" s="62" t="s">
        <v>3173</v>
      </c>
      <c r="AC58" s="62">
        <v>3</v>
      </c>
      <c r="AD58" s="62" t="s">
        <v>3173</v>
      </c>
      <c r="AE58" s="62"/>
      <c r="AF58" s="62" t="s">
        <v>3173</v>
      </c>
      <c r="AG58" s="62">
        <v>300</v>
      </c>
      <c r="AH58" s="62" t="s">
        <v>3173</v>
      </c>
      <c r="AI58" s="62"/>
      <c r="AJ58" s="62" t="s">
        <v>3315</v>
      </c>
      <c r="AK58" s="49" t="s">
        <v>3316</v>
      </c>
      <c r="AL58" s="49"/>
      <c r="AM58" s="49"/>
      <c r="AN58" s="49"/>
      <c r="AO58" s="49"/>
      <c r="AP58" s="49"/>
      <c r="AQ58" s="49"/>
      <c r="AR58" s="49"/>
      <c r="AS58" s="49"/>
      <c r="AT58" s="49"/>
      <c r="AU58" s="49"/>
      <c r="AV58" s="49"/>
      <c r="AW58" s="49"/>
      <c r="AX58" s="49"/>
      <c r="AY58" s="49"/>
      <c r="AZ58" s="49"/>
      <c r="BA58" s="49"/>
      <c r="BB58" s="49"/>
      <c r="BC58" s="49"/>
      <c r="BD58" s="49"/>
      <c r="BE58" s="49"/>
      <c r="BF58" s="49"/>
      <c r="BG58" s="599" t="s">
        <v>3317</v>
      </c>
      <c r="BH58" s="599"/>
      <c r="BI58" s="62" t="s">
        <v>2978</v>
      </c>
      <c r="BJ58" s="599" t="s">
        <v>3318</v>
      </c>
      <c r="BK58" s="599"/>
      <c r="BL58" s="62" t="s">
        <v>3092</v>
      </c>
      <c r="BM58" s="62" t="s">
        <v>3319</v>
      </c>
      <c r="BN58" s="49"/>
      <c r="BO58" s="49"/>
      <c r="BP58" s="49"/>
      <c r="BQ58" s="49"/>
      <c r="BR58" s="49"/>
      <c r="BS58" s="49"/>
      <c r="BT58" s="49"/>
      <c r="BU58" s="49"/>
      <c r="BV58" s="49"/>
      <c r="BW58" s="49"/>
      <c r="BX58" s="49"/>
      <c r="BY58" s="49"/>
      <c r="BZ58" s="49"/>
      <c r="CA58" s="49"/>
    </row>
    <row r="59" spans="1:79">
      <c r="A59" s="49"/>
      <c r="B59" s="49"/>
      <c r="C59" s="49"/>
      <c r="D59" s="49"/>
      <c r="E59" s="49"/>
      <c r="F59" s="49"/>
      <c r="G59" s="49"/>
      <c r="H59" s="49"/>
      <c r="I59" s="49"/>
      <c r="J59" s="49"/>
      <c r="K59" s="49"/>
      <c r="L59" s="49"/>
      <c r="M59" s="49"/>
      <c r="N59" s="49"/>
      <c r="O59" s="49"/>
      <c r="P59" s="49"/>
      <c r="Q59" s="49"/>
      <c r="R59" s="71" t="s">
        <v>3320</v>
      </c>
      <c r="S59" s="71"/>
      <c r="T59" s="71" t="s">
        <v>3321</v>
      </c>
      <c r="U59" s="49"/>
      <c r="V59" s="49"/>
      <c r="W59" s="49"/>
      <c r="X59" s="49"/>
      <c r="Y59" s="49"/>
      <c r="Z59" s="49"/>
      <c r="AA59" s="49"/>
      <c r="AB59" s="62" t="s">
        <v>3173</v>
      </c>
      <c r="AC59" s="62">
        <v>3</v>
      </c>
      <c r="AD59" s="62" t="s">
        <v>3173</v>
      </c>
      <c r="AE59" s="62"/>
      <c r="AF59" s="62" t="s">
        <v>3173</v>
      </c>
      <c r="AG59" s="62">
        <v>300</v>
      </c>
      <c r="AH59" s="62" t="s">
        <v>3173</v>
      </c>
      <c r="AI59" s="62"/>
      <c r="AJ59" s="62" t="s">
        <v>3322</v>
      </c>
      <c r="AK59" s="49" t="s">
        <v>3323</v>
      </c>
      <c r="AL59" s="49"/>
      <c r="AM59" s="49"/>
      <c r="AN59" s="49"/>
      <c r="AO59" s="49"/>
      <c r="AP59" s="49"/>
      <c r="AQ59" s="49"/>
      <c r="AR59" s="49"/>
      <c r="AS59" s="49"/>
      <c r="AT59" s="49"/>
      <c r="AU59" s="49"/>
      <c r="AV59" s="49"/>
      <c r="AW59" s="49"/>
      <c r="AX59" s="49"/>
      <c r="AY59" s="49"/>
      <c r="AZ59" s="49"/>
      <c r="BA59" s="49"/>
      <c r="BB59" s="49"/>
      <c r="BC59" s="49"/>
      <c r="BD59" s="49"/>
      <c r="BE59" s="49"/>
      <c r="BF59" s="49"/>
      <c r="BG59" s="599" t="s">
        <v>3324</v>
      </c>
      <c r="BH59" s="599"/>
      <c r="BI59" s="62" t="s">
        <v>2978</v>
      </c>
      <c r="BJ59" s="599" t="s">
        <v>3305</v>
      </c>
      <c r="BK59" s="599"/>
      <c r="BL59" s="62" t="s">
        <v>3092</v>
      </c>
      <c r="BM59" s="62" t="s">
        <v>3312</v>
      </c>
      <c r="BN59" s="49"/>
      <c r="BO59" s="49"/>
      <c r="BP59" s="49"/>
      <c r="BQ59" s="49"/>
      <c r="BR59" s="49"/>
      <c r="BS59" s="49"/>
      <c r="BT59" s="49"/>
      <c r="BU59" s="49"/>
      <c r="BV59" s="49"/>
      <c r="BW59" s="49"/>
      <c r="BX59" s="49"/>
      <c r="BY59" s="49"/>
      <c r="BZ59" s="49"/>
      <c r="CA59" s="49"/>
    </row>
    <row r="60" spans="1:79">
      <c r="A60" s="49"/>
      <c r="B60" s="49"/>
      <c r="C60" s="49"/>
      <c r="D60" s="49"/>
      <c r="E60" s="51" t="s">
        <v>3325</v>
      </c>
      <c r="F60" s="52"/>
      <c r="G60" s="53" t="s">
        <v>3260</v>
      </c>
      <c r="H60" s="49"/>
      <c r="I60" s="51" t="s">
        <v>3326</v>
      </c>
      <c r="J60" s="52"/>
      <c r="K60" s="53" t="s">
        <v>3260</v>
      </c>
      <c r="L60" s="49"/>
      <c r="M60" s="51" t="s">
        <v>3327</v>
      </c>
      <c r="N60" s="52"/>
      <c r="O60" s="53" t="s">
        <v>3328</v>
      </c>
      <c r="P60" s="49"/>
      <c r="Q60" s="49"/>
      <c r="R60" s="71" t="s">
        <v>3329</v>
      </c>
      <c r="S60" s="71"/>
      <c r="T60" s="71" t="s">
        <v>3330</v>
      </c>
      <c r="U60" s="49"/>
      <c r="V60" s="49"/>
      <c r="W60" s="49"/>
      <c r="X60" s="49"/>
      <c r="Y60" s="49"/>
      <c r="Z60" s="49"/>
      <c r="AA60" s="49"/>
      <c r="AB60" s="62" t="s">
        <v>3173</v>
      </c>
      <c r="AC60" s="62">
        <v>2</v>
      </c>
      <c r="AD60" s="62" t="s">
        <v>3173</v>
      </c>
      <c r="AE60" s="62"/>
      <c r="AF60" s="62" t="s">
        <v>3173</v>
      </c>
      <c r="AG60" s="62">
        <v>250</v>
      </c>
      <c r="AH60" s="62" t="s">
        <v>3173</v>
      </c>
      <c r="AI60" s="62"/>
      <c r="AJ60" s="62" t="s">
        <v>3331</v>
      </c>
      <c r="AK60" s="49" t="s">
        <v>3332</v>
      </c>
      <c r="AL60" s="49"/>
      <c r="AM60" s="49"/>
      <c r="AN60" s="49"/>
      <c r="AO60" s="49"/>
      <c r="AP60" s="49"/>
      <c r="AQ60" s="49"/>
      <c r="AR60" s="49"/>
      <c r="AS60" s="49"/>
      <c r="AT60" s="49"/>
      <c r="AU60" s="49"/>
      <c r="AV60" s="49"/>
      <c r="AW60" s="49"/>
      <c r="AX60" s="49"/>
      <c r="AY60" s="49"/>
      <c r="AZ60" s="49"/>
      <c r="BA60" s="49"/>
      <c r="BB60" s="49"/>
      <c r="BC60" s="49"/>
      <c r="BD60" s="49"/>
      <c r="BE60" s="49"/>
      <c r="BF60" s="49"/>
      <c r="BG60" s="599" t="s">
        <v>3333</v>
      </c>
      <c r="BH60" s="599"/>
      <c r="BI60" s="62" t="s">
        <v>2978</v>
      </c>
      <c r="BJ60" s="599" t="s">
        <v>3318</v>
      </c>
      <c r="BK60" s="599"/>
      <c r="BL60" s="62" t="s">
        <v>3092</v>
      </c>
      <c r="BM60" s="62" t="s">
        <v>3319</v>
      </c>
      <c r="BN60" s="49"/>
      <c r="BO60" s="49"/>
      <c r="BP60" s="49"/>
      <c r="BQ60" s="49"/>
      <c r="BR60" s="49"/>
      <c r="BS60" s="49"/>
      <c r="BT60" s="49"/>
      <c r="BU60" s="49"/>
      <c r="BV60" s="49"/>
      <c r="BW60" s="49"/>
      <c r="BX60" s="49"/>
      <c r="BY60" s="49"/>
      <c r="BZ60" s="49"/>
      <c r="CA60" s="49"/>
    </row>
    <row r="61" spans="1:79">
      <c r="A61" s="49"/>
      <c r="B61" s="49"/>
      <c r="C61" s="49"/>
      <c r="D61" s="49"/>
      <c r="E61" s="55"/>
      <c r="F61" s="49"/>
      <c r="G61" s="56"/>
      <c r="H61" s="49"/>
      <c r="I61" s="55"/>
      <c r="J61" s="49"/>
      <c r="K61" s="56"/>
      <c r="L61" s="49"/>
      <c r="M61" s="55"/>
      <c r="N61" s="49"/>
      <c r="O61" s="56"/>
      <c r="P61" s="49"/>
      <c r="Q61" s="49"/>
      <c r="R61" s="71" t="s">
        <v>3334</v>
      </c>
      <c r="S61" s="71"/>
      <c r="T61" s="71" t="s">
        <v>3335</v>
      </c>
      <c r="U61" s="49"/>
      <c r="V61" s="49"/>
      <c r="W61" s="49"/>
      <c r="X61" s="49"/>
      <c r="Y61" s="49"/>
      <c r="Z61" s="49"/>
      <c r="AA61" s="49"/>
      <c r="AB61" s="62" t="s">
        <v>3173</v>
      </c>
      <c r="AC61" s="62">
        <v>2</v>
      </c>
      <c r="AD61" s="62" t="s">
        <v>3173</v>
      </c>
      <c r="AE61" s="62"/>
      <c r="AF61" s="62" t="s">
        <v>3173</v>
      </c>
      <c r="AG61" s="62">
        <v>300</v>
      </c>
      <c r="AH61" s="62" t="s">
        <v>3173</v>
      </c>
      <c r="AI61" s="62"/>
      <c r="AJ61" s="62" t="s">
        <v>3336</v>
      </c>
      <c r="AK61" s="49" t="s">
        <v>3337</v>
      </c>
      <c r="AL61" s="49"/>
      <c r="AM61" s="49"/>
      <c r="AN61" s="49"/>
      <c r="AO61" s="49"/>
      <c r="AP61" s="49"/>
      <c r="AQ61" s="49"/>
      <c r="AR61" s="49"/>
      <c r="AS61" s="49"/>
      <c r="AT61" s="49"/>
      <c r="AU61" s="49"/>
      <c r="AV61" s="49"/>
      <c r="AW61" s="49"/>
      <c r="AX61" s="49"/>
      <c r="AY61" s="49"/>
      <c r="AZ61" s="49"/>
      <c r="BA61" s="49"/>
      <c r="BB61" s="49"/>
      <c r="BC61" s="49"/>
      <c r="BD61" s="49"/>
      <c r="BE61" s="49"/>
      <c r="BF61" s="49"/>
      <c r="BG61" s="599" t="s">
        <v>3338</v>
      </c>
      <c r="BH61" s="599"/>
      <c r="BI61" s="62" t="s">
        <v>2978</v>
      </c>
      <c r="BJ61" s="599" t="s">
        <v>3305</v>
      </c>
      <c r="BK61" s="599"/>
      <c r="BL61" s="62" t="s">
        <v>3092</v>
      </c>
      <c r="BM61" s="62" t="s">
        <v>3312</v>
      </c>
      <c r="BN61" s="49"/>
      <c r="BO61" s="49"/>
      <c r="BP61" s="49"/>
      <c r="BQ61" s="49"/>
      <c r="BR61" s="49"/>
      <c r="BS61" s="49"/>
      <c r="BT61" s="49"/>
      <c r="BU61" s="49"/>
      <c r="BV61" s="49"/>
      <c r="BW61" s="49"/>
      <c r="BX61" s="49"/>
      <c r="BY61" s="49"/>
      <c r="BZ61" s="49"/>
      <c r="CA61" s="49"/>
    </row>
    <row r="62" spans="1:79">
      <c r="A62" s="49"/>
      <c r="B62" s="49"/>
      <c r="C62" s="49"/>
      <c r="D62" s="49"/>
      <c r="E62" s="55"/>
      <c r="F62" s="49"/>
      <c r="G62" s="56"/>
      <c r="H62" s="49"/>
      <c r="I62" s="55"/>
      <c r="J62" s="49"/>
      <c r="K62" s="56"/>
      <c r="L62" s="49"/>
      <c r="M62" s="55"/>
      <c r="N62" s="49"/>
      <c r="O62" s="56"/>
      <c r="P62" s="49"/>
      <c r="Q62" s="49"/>
      <c r="R62" s="71" t="s">
        <v>3339</v>
      </c>
      <c r="S62" s="71"/>
      <c r="T62" s="71" t="s">
        <v>3340</v>
      </c>
      <c r="U62" s="49"/>
      <c r="V62" s="49"/>
      <c r="W62" s="49"/>
      <c r="X62" s="49"/>
      <c r="Y62" s="49"/>
      <c r="Z62" s="49"/>
      <c r="AA62" s="49"/>
      <c r="AB62" s="62" t="s">
        <v>3173</v>
      </c>
      <c r="AC62" s="62">
        <v>3</v>
      </c>
      <c r="AD62" s="62">
        <v>5</v>
      </c>
      <c r="AE62" s="62"/>
      <c r="AF62" s="62" t="s">
        <v>3173</v>
      </c>
      <c r="AG62" s="62">
        <v>500</v>
      </c>
      <c r="AH62" s="62">
        <v>800</v>
      </c>
      <c r="AI62" s="62"/>
      <c r="AJ62" s="62" t="s">
        <v>3341</v>
      </c>
      <c r="AK62" s="49" t="s">
        <v>3342</v>
      </c>
      <c r="AL62" s="49"/>
      <c r="AM62" s="49"/>
      <c r="AN62" s="49"/>
      <c r="AO62" s="49"/>
      <c r="AP62" s="49"/>
      <c r="AQ62" s="49"/>
      <c r="AR62" s="49"/>
      <c r="AS62" s="49"/>
      <c r="AT62" s="49"/>
      <c r="AU62" s="49"/>
      <c r="AV62" s="49"/>
      <c r="AW62" s="49"/>
      <c r="AX62" s="49"/>
      <c r="AY62" s="49"/>
      <c r="AZ62" s="49"/>
      <c r="BA62" s="49"/>
      <c r="BB62" s="49"/>
      <c r="BC62" s="49"/>
      <c r="BD62" s="49"/>
      <c r="BE62" s="49"/>
      <c r="BF62" s="49"/>
      <c r="BG62" s="599" t="s">
        <v>3343</v>
      </c>
      <c r="BH62" s="599"/>
      <c r="BI62" s="62" t="s">
        <v>2978</v>
      </c>
      <c r="BJ62" s="599" t="s">
        <v>3318</v>
      </c>
      <c r="BK62" s="599"/>
      <c r="BL62" s="62" t="s">
        <v>3092</v>
      </c>
      <c r="BM62" s="62" t="s">
        <v>3319</v>
      </c>
      <c r="BN62" s="49"/>
      <c r="BO62" s="49"/>
      <c r="BP62" s="49"/>
      <c r="BQ62" s="49"/>
      <c r="BR62" s="49"/>
      <c r="BS62" s="49"/>
      <c r="BT62" s="49"/>
      <c r="BU62" s="49"/>
      <c r="BV62" s="49"/>
      <c r="BW62" s="49"/>
      <c r="BX62" s="49"/>
      <c r="BY62" s="49"/>
      <c r="BZ62" s="49"/>
      <c r="CA62" s="49"/>
    </row>
    <row r="63" spans="1:79">
      <c r="A63" s="49"/>
      <c r="B63" s="49"/>
      <c r="C63" s="49"/>
      <c r="D63" s="49"/>
      <c r="E63" s="55"/>
      <c r="F63" s="49"/>
      <c r="G63" s="56"/>
      <c r="H63" s="49"/>
      <c r="I63" s="55"/>
      <c r="J63" s="49"/>
      <c r="K63" s="56"/>
      <c r="L63" s="49"/>
      <c r="M63" s="55"/>
      <c r="N63" s="49"/>
      <c r="O63" s="56"/>
      <c r="P63" s="49"/>
      <c r="Q63" s="49"/>
      <c r="R63" s="71" t="s">
        <v>3344</v>
      </c>
      <c r="S63" s="71"/>
      <c r="T63" s="71" t="s">
        <v>3345</v>
      </c>
      <c r="U63" s="49"/>
      <c r="V63" s="49"/>
      <c r="W63" s="49"/>
      <c r="X63" s="49"/>
      <c r="Y63" s="49"/>
      <c r="Z63" s="49"/>
      <c r="AA63" s="49"/>
      <c r="AB63" s="62" t="s">
        <v>3173</v>
      </c>
      <c r="AC63" s="62">
        <v>1</v>
      </c>
      <c r="AD63" s="62" t="s">
        <v>3173</v>
      </c>
      <c r="AE63" s="62"/>
      <c r="AF63" s="62" t="s">
        <v>3173</v>
      </c>
      <c r="AG63" s="62">
        <v>300</v>
      </c>
      <c r="AH63" s="62" t="s">
        <v>3173</v>
      </c>
      <c r="AI63" s="62"/>
      <c r="AJ63" s="62" t="s">
        <v>3346</v>
      </c>
      <c r="AK63" s="49" t="s">
        <v>3347</v>
      </c>
      <c r="AL63" s="49"/>
      <c r="AM63" s="49"/>
      <c r="AN63" s="49"/>
      <c r="AO63" s="49"/>
      <c r="AP63" s="49"/>
      <c r="AQ63" s="49"/>
      <c r="AR63" s="49"/>
      <c r="AS63" s="49"/>
      <c r="AT63" s="49"/>
      <c r="AU63" s="49"/>
      <c r="AV63" s="49"/>
      <c r="AW63" s="49"/>
      <c r="AX63" s="49"/>
      <c r="AY63" s="49"/>
      <c r="AZ63" s="49"/>
      <c r="BA63" s="49"/>
      <c r="BB63" s="49"/>
      <c r="BC63" s="49"/>
      <c r="BD63" s="49"/>
      <c r="BE63" s="49"/>
      <c r="BF63" s="49"/>
      <c r="BG63" s="599" t="s">
        <v>3348</v>
      </c>
      <c r="BH63" s="599"/>
      <c r="BI63" s="62" t="s">
        <v>2978</v>
      </c>
      <c r="BJ63" s="599" t="s">
        <v>3305</v>
      </c>
      <c r="BK63" s="599"/>
      <c r="BL63" s="62" t="s">
        <v>3092</v>
      </c>
      <c r="BM63" s="62" t="s">
        <v>3312</v>
      </c>
      <c r="BN63" s="49"/>
      <c r="BO63" s="49"/>
      <c r="BP63" s="49"/>
      <c r="BQ63" s="49"/>
      <c r="BR63" s="49"/>
      <c r="BS63" s="49"/>
      <c r="BT63" s="49"/>
      <c r="BU63" s="49"/>
      <c r="BV63" s="49"/>
      <c r="BW63" s="49"/>
      <c r="BX63" s="49"/>
      <c r="BY63" s="49"/>
      <c r="BZ63" s="49"/>
      <c r="CA63" s="49"/>
    </row>
    <row r="64" spans="1:79">
      <c r="A64" s="49"/>
      <c r="B64" s="49"/>
      <c r="C64" s="49"/>
      <c r="D64" s="49"/>
      <c r="E64" s="55"/>
      <c r="F64" s="49"/>
      <c r="G64" s="56"/>
      <c r="H64" s="49"/>
      <c r="I64" s="55"/>
      <c r="J64" s="49"/>
      <c r="K64" s="56"/>
      <c r="L64" s="49"/>
      <c r="M64" s="55"/>
      <c r="N64" s="49"/>
      <c r="O64" s="56"/>
      <c r="P64" s="49"/>
      <c r="Q64" s="49"/>
      <c r="R64" s="71" t="s">
        <v>3349</v>
      </c>
      <c r="S64" s="71"/>
      <c r="T64" s="71" t="s">
        <v>3350</v>
      </c>
      <c r="U64" s="49"/>
      <c r="V64" s="49"/>
      <c r="W64" s="49"/>
      <c r="X64" s="49"/>
      <c r="Y64" s="49"/>
      <c r="Z64" s="49"/>
      <c r="AA64" s="49"/>
      <c r="AB64" s="62" t="s">
        <v>3173</v>
      </c>
      <c r="AC64" s="62">
        <v>2000</v>
      </c>
      <c r="AD64" s="62">
        <v>5000</v>
      </c>
      <c r="AE64" s="62"/>
      <c r="AF64" s="62" t="s">
        <v>3173</v>
      </c>
      <c r="AG64" s="62">
        <v>150</v>
      </c>
      <c r="AH64" s="62">
        <v>300</v>
      </c>
      <c r="AI64" s="62"/>
      <c r="AJ64" s="62" t="s">
        <v>3351</v>
      </c>
      <c r="AK64" s="49" t="s">
        <v>3352</v>
      </c>
      <c r="AL64" s="49"/>
      <c r="AM64" s="49"/>
      <c r="AN64" s="49"/>
      <c r="AO64" s="49"/>
      <c r="AP64" s="49"/>
      <c r="AQ64" s="49"/>
      <c r="AR64" s="49"/>
      <c r="AS64" s="49"/>
      <c r="AT64" s="49"/>
      <c r="AU64" s="49"/>
      <c r="AV64" s="49"/>
      <c r="AW64" s="49"/>
      <c r="AX64" s="49"/>
      <c r="AY64" s="49"/>
      <c r="AZ64" s="49"/>
      <c r="BA64" s="49"/>
      <c r="BB64" s="49"/>
      <c r="BC64" s="49"/>
      <c r="BD64" s="49"/>
      <c r="BE64" s="49"/>
      <c r="BF64" s="49"/>
      <c r="BG64" s="599" t="s">
        <v>3353</v>
      </c>
      <c r="BH64" s="599"/>
      <c r="BI64" s="62" t="s">
        <v>2978</v>
      </c>
      <c r="BJ64" s="599" t="s">
        <v>3318</v>
      </c>
      <c r="BK64" s="599"/>
      <c r="BL64" s="62" t="s">
        <v>3092</v>
      </c>
      <c r="BM64" s="62" t="s">
        <v>3319</v>
      </c>
      <c r="BN64" s="49"/>
      <c r="BO64" s="49"/>
      <c r="BP64" s="49"/>
      <c r="BQ64" s="49"/>
      <c r="BR64" s="49"/>
      <c r="BS64" s="49"/>
      <c r="BT64" s="49"/>
      <c r="BU64" s="49"/>
      <c r="BV64" s="49"/>
      <c r="BW64" s="49"/>
      <c r="BX64" s="49"/>
      <c r="BY64" s="49"/>
      <c r="BZ64" s="49"/>
      <c r="CA64" s="49"/>
    </row>
    <row r="65" spans="1:79">
      <c r="A65" s="49"/>
      <c r="B65" s="49"/>
      <c r="C65" s="49"/>
      <c r="D65" s="49"/>
      <c r="E65" s="55"/>
      <c r="F65" s="57"/>
      <c r="G65" s="58"/>
      <c r="H65" s="49"/>
      <c r="I65" s="55"/>
      <c r="J65" s="57"/>
      <c r="K65" s="58"/>
      <c r="L65" s="49"/>
      <c r="M65" s="55"/>
      <c r="N65" s="57"/>
      <c r="O65" s="58"/>
      <c r="P65" s="49"/>
      <c r="Q65" s="49"/>
      <c r="R65" s="71" t="s">
        <v>3354</v>
      </c>
      <c r="S65" s="71"/>
      <c r="T65" s="71" t="s">
        <v>3355</v>
      </c>
      <c r="U65" s="49"/>
      <c r="V65" s="49"/>
      <c r="W65" s="49"/>
      <c r="X65" s="49"/>
      <c r="Y65" s="49"/>
      <c r="Z65" s="49"/>
      <c r="AA65" s="49"/>
      <c r="AB65" s="62" t="s">
        <v>3173</v>
      </c>
      <c r="AC65" s="62">
        <v>200000</v>
      </c>
      <c r="AD65" s="62">
        <v>500000</v>
      </c>
      <c r="AE65" s="62"/>
      <c r="AF65" s="62" t="s">
        <v>3173</v>
      </c>
      <c r="AG65" s="62">
        <v>150</v>
      </c>
      <c r="AH65" s="62">
        <v>300</v>
      </c>
      <c r="AI65" s="62"/>
      <c r="AJ65" s="62" t="s">
        <v>3356</v>
      </c>
      <c r="AK65" s="49" t="s">
        <v>3357</v>
      </c>
      <c r="AL65" s="49"/>
      <c r="AM65" s="49"/>
      <c r="AN65" s="49"/>
      <c r="AO65" s="49"/>
      <c r="AP65" s="49"/>
      <c r="AQ65" s="49"/>
      <c r="AR65" s="49"/>
      <c r="AS65" s="49"/>
      <c r="AT65" s="49"/>
      <c r="AU65" s="49"/>
      <c r="AV65" s="49"/>
      <c r="AW65" s="49"/>
      <c r="AX65" s="49"/>
      <c r="AY65" s="49"/>
      <c r="AZ65" s="49"/>
      <c r="BA65" s="49"/>
      <c r="BB65" s="49"/>
      <c r="BC65" s="49"/>
      <c r="BD65" s="49"/>
      <c r="BE65" s="49"/>
      <c r="BF65" s="49"/>
      <c r="BG65" s="599" t="s">
        <v>3358</v>
      </c>
      <c r="BH65" s="599"/>
      <c r="BI65" s="62" t="s">
        <v>3081</v>
      </c>
      <c r="BJ65" s="599" t="s">
        <v>3082</v>
      </c>
      <c r="BK65" s="599"/>
      <c r="BL65" s="62" t="s">
        <v>3083</v>
      </c>
      <c r="BM65" s="62" t="s">
        <v>3000</v>
      </c>
      <c r="BN65" s="49"/>
      <c r="BO65" s="49"/>
      <c r="BP65" s="49"/>
      <c r="BQ65" s="49"/>
      <c r="BR65" s="49"/>
      <c r="BS65" s="49"/>
      <c r="BT65" s="49"/>
      <c r="BU65" s="49"/>
      <c r="BV65" s="49"/>
      <c r="BW65" s="49"/>
      <c r="BX65" s="49"/>
      <c r="BY65" s="49"/>
      <c r="BZ65" s="49"/>
      <c r="CA65" s="49"/>
    </row>
    <row r="66" spans="1:79">
      <c r="A66" s="49"/>
      <c r="B66" s="49"/>
      <c r="C66" s="49"/>
      <c r="D66" s="49"/>
      <c r="E66" s="613" t="s">
        <v>3359</v>
      </c>
      <c r="F66" s="614"/>
      <c r="G66" s="615"/>
      <c r="H66" s="49"/>
      <c r="I66" s="613" t="s">
        <v>3360</v>
      </c>
      <c r="J66" s="614"/>
      <c r="K66" s="615"/>
      <c r="L66" s="49"/>
      <c r="M66" s="613" t="s">
        <v>3361</v>
      </c>
      <c r="N66" s="614"/>
      <c r="O66" s="615"/>
      <c r="P66" s="49"/>
      <c r="Q66" s="49"/>
      <c r="R66" s="71" t="s">
        <v>3362</v>
      </c>
      <c r="S66" s="71"/>
      <c r="T66" s="71" t="s">
        <v>3363</v>
      </c>
      <c r="U66" s="49"/>
      <c r="V66" s="49"/>
      <c r="W66" s="49"/>
      <c r="X66" s="49"/>
      <c r="Y66" s="49"/>
      <c r="Z66" s="49"/>
      <c r="AA66" s="49"/>
      <c r="AB66" s="62" t="s">
        <v>3173</v>
      </c>
      <c r="AC66" s="62">
        <v>200000</v>
      </c>
      <c r="AD66" s="62">
        <v>500000</v>
      </c>
      <c r="AE66" s="62"/>
      <c r="AF66" s="62" t="s">
        <v>3173</v>
      </c>
      <c r="AG66" s="62">
        <v>150</v>
      </c>
      <c r="AH66" s="62">
        <v>300</v>
      </c>
      <c r="AI66" s="62"/>
      <c r="AJ66" s="62" t="s">
        <v>3364</v>
      </c>
      <c r="AK66" s="49" t="s">
        <v>3365</v>
      </c>
      <c r="AL66" s="49"/>
      <c r="AM66" s="49"/>
      <c r="AN66" s="49"/>
      <c r="AO66" s="49"/>
      <c r="AP66" s="49"/>
      <c r="AQ66" s="49"/>
      <c r="AR66" s="49"/>
      <c r="AS66" s="49"/>
      <c r="AT66" s="49"/>
      <c r="AU66" s="49"/>
      <c r="AV66" s="49"/>
      <c r="AW66" s="49"/>
      <c r="AX66" s="49"/>
      <c r="AY66" s="49"/>
      <c r="AZ66" s="49"/>
      <c r="BA66" s="49"/>
      <c r="BB66" s="49"/>
      <c r="BC66" s="49"/>
      <c r="BD66" s="49"/>
      <c r="BE66" s="49"/>
      <c r="BF66" s="49"/>
      <c r="BG66" s="599" t="s">
        <v>3366</v>
      </c>
      <c r="BH66" s="599"/>
      <c r="BI66" s="62" t="s">
        <v>2978</v>
      </c>
      <c r="BJ66" s="599" t="s">
        <v>3318</v>
      </c>
      <c r="BK66" s="599"/>
      <c r="BL66" s="62" t="s">
        <v>3092</v>
      </c>
      <c r="BM66" s="62" t="s">
        <v>3319</v>
      </c>
      <c r="BN66" s="49"/>
      <c r="BO66" s="49"/>
      <c r="BP66" s="49"/>
      <c r="BQ66" s="49"/>
      <c r="BR66" s="49"/>
      <c r="BS66" s="49"/>
      <c r="BT66" s="49"/>
      <c r="BU66" s="49"/>
      <c r="BV66" s="49"/>
      <c r="BW66" s="49"/>
      <c r="BX66" s="49"/>
      <c r="BY66" s="49"/>
      <c r="BZ66" s="49"/>
      <c r="CA66" s="49"/>
    </row>
    <row r="67" spans="1:79">
      <c r="A67" s="49"/>
      <c r="B67" s="49"/>
      <c r="C67" s="49"/>
      <c r="D67" s="49"/>
      <c r="E67" s="613"/>
      <c r="F67" s="614"/>
      <c r="G67" s="615"/>
      <c r="H67" s="49"/>
      <c r="I67" s="613"/>
      <c r="J67" s="614"/>
      <c r="K67" s="615"/>
      <c r="L67" s="49"/>
      <c r="M67" s="613"/>
      <c r="N67" s="614"/>
      <c r="O67" s="615"/>
      <c r="P67" s="49"/>
      <c r="Q67" s="49"/>
      <c r="R67" s="71" t="s">
        <v>3367</v>
      </c>
      <c r="S67" s="71"/>
      <c r="T67" s="71" t="s">
        <v>3368</v>
      </c>
      <c r="U67" s="49"/>
      <c r="V67" s="49"/>
      <c r="W67" s="49"/>
      <c r="X67" s="49"/>
      <c r="Y67" s="49"/>
      <c r="Z67" s="49"/>
      <c r="AA67" s="49"/>
      <c r="AB67" s="62" t="s">
        <v>3173</v>
      </c>
      <c r="AC67" s="62">
        <v>6000</v>
      </c>
      <c r="AD67" s="62">
        <v>14000</v>
      </c>
      <c r="AE67" s="62"/>
      <c r="AF67" s="62" t="s">
        <v>3173</v>
      </c>
      <c r="AG67" s="62">
        <v>150</v>
      </c>
      <c r="AH67" s="62">
        <v>300</v>
      </c>
      <c r="AI67" s="62"/>
      <c r="AJ67" s="62" t="s">
        <v>3369</v>
      </c>
      <c r="AK67" s="49" t="s">
        <v>3370</v>
      </c>
      <c r="AL67" s="49"/>
      <c r="AM67" s="49"/>
      <c r="AN67" s="49"/>
      <c r="AO67" s="49"/>
      <c r="AP67" s="49"/>
      <c r="AQ67" s="49"/>
      <c r="AR67" s="49"/>
      <c r="AS67" s="49"/>
      <c r="AT67" s="49"/>
      <c r="AU67" s="49"/>
      <c r="AV67" s="49"/>
      <c r="AW67" s="49"/>
      <c r="AX67" s="49"/>
      <c r="AY67" s="49"/>
      <c r="AZ67" s="49"/>
      <c r="BA67" s="49"/>
      <c r="BB67" s="49"/>
      <c r="BC67" s="49"/>
      <c r="BD67" s="49"/>
      <c r="BE67" s="49"/>
      <c r="BF67" s="49"/>
      <c r="BG67" s="599" t="s">
        <v>3371</v>
      </c>
      <c r="BH67" s="599"/>
      <c r="BI67" s="62" t="s">
        <v>2978</v>
      </c>
      <c r="BJ67" s="599" t="s">
        <v>2998</v>
      </c>
      <c r="BK67" s="599"/>
      <c r="BL67" s="62" t="s">
        <v>1467</v>
      </c>
      <c r="BM67" s="62" t="s">
        <v>3305</v>
      </c>
      <c r="BN67" s="49"/>
      <c r="BO67" s="49"/>
      <c r="BP67" s="49"/>
      <c r="BQ67" s="49"/>
      <c r="BR67" s="49"/>
      <c r="BS67" s="49"/>
      <c r="BT67" s="49"/>
      <c r="BU67" s="49"/>
      <c r="BV67" s="49"/>
      <c r="BW67" s="49"/>
      <c r="BX67" s="49"/>
      <c r="BY67" s="49"/>
      <c r="BZ67" s="49"/>
      <c r="CA67" s="49"/>
    </row>
    <row r="68" spans="1:79">
      <c r="A68" s="49"/>
      <c r="B68" s="49"/>
      <c r="C68" s="49"/>
      <c r="D68" s="49"/>
      <c r="E68" s="59" t="s">
        <v>3165</v>
      </c>
      <c r="F68" s="60"/>
      <c r="G68" s="61" t="s">
        <v>3166</v>
      </c>
      <c r="H68" s="49"/>
      <c r="I68" s="59" t="s">
        <v>3165</v>
      </c>
      <c r="J68" s="60"/>
      <c r="K68" s="61" t="s">
        <v>3166</v>
      </c>
      <c r="L68" s="49"/>
      <c r="M68" s="59" t="s">
        <v>3372</v>
      </c>
      <c r="N68" s="60"/>
      <c r="O68" s="61" t="s">
        <v>3166</v>
      </c>
      <c r="P68" s="49"/>
      <c r="Q68" s="49"/>
      <c r="R68" s="71" t="s">
        <v>3373</v>
      </c>
      <c r="S68" s="71"/>
      <c r="T68" s="71" t="s">
        <v>3374</v>
      </c>
      <c r="U68" s="49"/>
      <c r="V68" s="49"/>
      <c r="W68" s="49"/>
      <c r="X68" s="49"/>
      <c r="Y68" s="49"/>
      <c r="Z68" s="49"/>
      <c r="AA68" s="49"/>
      <c r="AB68" s="62" t="s">
        <v>3173</v>
      </c>
      <c r="AC68" s="62">
        <v>600000</v>
      </c>
      <c r="AD68" s="62">
        <v>1400000</v>
      </c>
      <c r="AE68" s="62"/>
      <c r="AF68" s="62" t="s">
        <v>3173</v>
      </c>
      <c r="AG68" s="62">
        <v>150</v>
      </c>
      <c r="AH68" s="62">
        <v>300</v>
      </c>
      <c r="AI68" s="62"/>
      <c r="AJ68" s="62" t="s">
        <v>3375</v>
      </c>
      <c r="AK68" s="49" t="s">
        <v>3376</v>
      </c>
      <c r="AL68" s="49"/>
      <c r="AM68" s="49"/>
      <c r="AN68" s="49"/>
      <c r="AO68" s="49"/>
      <c r="AP68" s="49"/>
      <c r="AQ68" s="49"/>
      <c r="AR68" s="49"/>
      <c r="AS68" s="49"/>
      <c r="AT68" s="49"/>
      <c r="AU68" s="49"/>
      <c r="AV68" s="49"/>
      <c r="AW68" s="49"/>
      <c r="AX68" s="49"/>
      <c r="AY68" s="49"/>
      <c r="AZ68" s="49"/>
      <c r="BA68" s="49"/>
      <c r="BB68" s="49"/>
      <c r="BC68" s="49"/>
      <c r="BD68" s="49"/>
      <c r="BE68" s="49"/>
      <c r="BF68" s="49"/>
      <c r="BG68" s="599" t="s">
        <v>3377</v>
      </c>
      <c r="BH68" s="599"/>
      <c r="BI68" s="62" t="s">
        <v>2978</v>
      </c>
      <c r="BJ68" s="599" t="s">
        <v>3305</v>
      </c>
      <c r="BK68" s="599"/>
      <c r="BL68" s="62" t="s">
        <v>3092</v>
      </c>
      <c r="BM68" s="62" t="s">
        <v>3312</v>
      </c>
      <c r="BN68" s="49"/>
      <c r="BO68" s="49"/>
      <c r="BP68" s="49"/>
      <c r="BQ68" s="49"/>
      <c r="BR68" s="49"/>
      <c r="BS68" s="49"/>
      <c r="BT68" s="49"/>
      <c r="BU68" s="49"/>
      <c r="BV68" s="49"/>
      <c r="BW68" s="49"/>
      <c r="BX68" s="49"/>
      <c r="BY68" s="49"/>
      <c r="BZ68" s="49"/>
      <c r="CA68" s="49"/>
    </row>
    <row r="69" spans="1:79">
      <c r="A69" s="49"/>
      <c r="B69" s="49"/>
      <c r="C69" s="49"/>
      <c r="D69" s="49"/>
      <c r="E69" s="49"/>
      <c r="F69" s="49"/>
      <c r="G69" s="49"/>
      <c r="H69" s="49"/>
      <c r="I69" s="49"/>
      <c r="J69" s="49"/>
      <c r="K69" s="49"/>
      <c r="L69" s="49"/>
      <c r="M69" s="49"/>
      <c r="N69" s="49"/>
      <c r="O69" s="49"/>
      <c r="P69" s="49"/>
      <c r="Q69" s="49"/>
      <c r="R69" s="71" t="s">
        <v>3378</v>
      </c>
      <c r="S69" s="71"/>
      <c r="T69" s="71" t="s">
        <v>3379</v>
      </c>
      <c r="U69" s="49"/>
      <c r="V69" s="49"/>
      <c r="W69" s="49"/>
      <c r="X69" s="49"/>
      <c r="Y69" s="49"/>
      <c r="Z69" s="49"/>
      <c r="AA69" s="49"/>
      <c r="AB69" s="62" t="s">
        <v>3173</v>
      </c>
      <c r="AC69" s="62">
        <v>600000</v>
      </c>
      <c r="AD69" s="62">
        <v>1400000</v>
      </c>
      <c r="AE69" s="62"/>
      <c r="AF69" s="62" t="s">
        <v>3173</v>
      </c>
      <c r="AG69" s="62">
        <v>150</v>
      </c>
      <c r="AH69" s="62">
        <v>300</v>
      </c>
      <c r="AI69" s="62"/>
      <c r="AJ69" s="62" t="s">
        <v>3380</v>
      </c>
      <c r="AK69" s="49" t="s">
        <v>3381</v>
      </c>
      <c r="AL69" s="49"/>
      <c r="AM69" s="49"/>
      <c r="AN69" s="49"/>
      <c r="AO69" s="49"/>
      <c r="AP69" s="49"/>
      <c r="AQ69" s="49"/>
      <c r="AR69" s="49"/>
      <c r="AS69" s="49"/>
      <c r="AT69" s="49"/>
      <c r="AU69" s="49"/>
      <c r="AV69" s="49"/>
      <c r="AW69" s="49"/>
      <c r="AX69" s="49"/>
      <c r="AY69" s="49"/>
      <c r="AZ69" s="49"/>
      <c r="BA69" s="49"/>
      <c r="BB69" s="49"/>
      <c r="BC69" s="49"/>
      <c r="BD69" s="49"/>
      <c r="BE69" s="49"/>
      <c r="BF69" s="49"/>
      <c r="BG69" s="599" t="s">
        <v>3382</v>
      </c>
      <c r="BH69" s="599"/>
      <c r="BI69" s="62" t="s">
        <v>2978</v>
      </c>
      <c r="BJ69" s="599" t="s">
        <v>3383</v>
      </c>
      <c r="BK69" s="599"/>
      <c r="BL69" s="62" t="s">
        <v>1467</v>
      </c>
      <c r="BM69" s="62" t="s">
        <v>3312</v>
      </c>
      <c r="BN69" s="49"/>
      <c r="BO69" s="49"/>
      <c r="BP69" s="49"/>
      <c r="BQ69" s="49"/>
      <c r="BR69" s="49"/>
      <c r="BS69" s="49"/>
      <c r="BT69" s="49"/>
      <c r="BU69" s="49"/>
      <c r="BV69" s="49"/>
      <c r="BW69" s="49"/>
      <c r="BX69" s="49"/>
      <c r="BY69" s="49"/>
      <c r="BZ69" s="49"/>
      <c r="CA69" s="49"/>
    </row>
    <row r="70" spans="1:79">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62"/>
      <c r="AJ70" s="62" t="s">
        <v>3384</v>
      </c>
      <c r="AK70" s="49" t="s">
        <v>3385</v>
      </c>
      <c r="AL70" s="49"/>
      <c r="AM70" s="49"/>
      <c r="AN70" s="49"/>
      <c r="AO70" s="49"/>
      <c r="AP70" s="49"/>
      <c r="AQ70" s="49"/>
      <c r="AR70" s="49"/>
      <c r="AS70" s="49"/>
      <c r="AT70" s="49"/>
      <c r="AU70" s="49"/>
      <c r="AV70" s="49"/>
      <c r="AW70" s="49"/>
      <c r="AX70" s="49"/>
      <c r="AY70" s="49"/>
      <c r="AZ70" s="49"/>
      <c r="BA70" s="49"/>
      <c r="BB70" s="49"/>
      <c r="BC70" s="49"/>
      <c r="BD70" s="49"/>
      <c r="BE70" s="49"/>
      <c r="BF70" s="49"/>
      <c r="BG70" s="599" t="s">
        <v>3386</v>
      </c>
      <c r="BH70" s="599"/>
      <c r="BI70" s="62" t="s">
        <v>2978</v>
      </c>
      <c r="BJ70" s="599" t="s">
        <v>3318</v>
      </c>
      <c r="BK70" s="599"/>
      <c r="BL70" s="62" t="s">
        <v>3092</v>
      </c>
      <c r="BM70" s="62" t="s">
        <v>3319</v>
      </c>
      <c r="BN70" s="49"/>
      <c r="BO70" s="49"/>
      <c r="BP70" s="49"/>
      <c r="BQ70" s="49"/>
      <c r="BR70" s="49"/>
      <c r="BS70" s="49"/>
      <c r="BT70" s="49"/>
      <c r="BU70" s="49"/>
      <c r="BV70" s="49"/>
      <c r="BW70" s="49"/>
      <c r="BX70" s="49"/>
      <c r="BY70" s="49"/>
      <c r="BZ70" s="49"/>
      <c r="CA70" s="49"/>
    </row>
    <row r="71" spans="1:79">
      <c r="A71" s="49"/>
      <c r="B71" s="49"/>
      <c r="C71" s="49"/>
      <c r="D71" s="49"/>
      <c r="E71" s="51" t="s">
        <v>3387</v>
      </c>
      <c r="F71" s="52"/>
      <c r="G71" s="53" t="s">
        <v>3328</v>
      </c>
      <c r="H71" s="49"/>
      <c r="I71" s="51" t="s">
        <v>3388</v>
      </c>
      <c r="J71" s="52"/>
      <c r="K71" s="53" t="s">
        <v>3328</v>
      </c>
      <c r="L71" s="49"/>
      <c r="M71" s="51" t="s">
        <v>3389</v>
      </c>
      <c r="N71" s="52"/>
      <c r="O71" s="53" t="s">
        <v>3390</v>
      </c>
      <c r="P71" s="49"/>
      <c r="Q71" s="49"/>
      <c r="R71" s="49"/>
      <c r="S71" s="49"/>
      <c r="T71" s="49"/>
      <c r="U71" s="49"/>
      <c r="V71" s="49"/>
      <c r="W71" s="49"/>
      <c r="X71" s="49"/>
      <c r="Y71" s="49"/>
      <c r="Z71" s="49"/>
      <c r="AA71" s="49"/>
      <c r="AB71" s="49"/>
      <c r="AC71" s="49"/>
      <c r="AD71" s="49"/>
      <c r="AE71" s="49"/>
      <c r="AF71" s="49"/>
      <c r="AG71" s="49"/>
      <c r="AH71" s="49"/>
      <c r="AI71" s="62"/>
      <c r="AJ71" s="62" t="s">
        <v>3391</v>
      </c>
      <c r="AK71" s="49" t="s">
        <v>3392</v>
      </c>
      <c r="AL71" s="49"/>
      <c r="AM71" s="49"/>
      <c r="AN71" s="49"/>
      <c r="AO71" s="49"/>
      <c r="AP71" s="49"/>
      <c r="AQ71" s="49"/>
      <c r="AR71" s="49"/>
      <c r="AS71" s="49"/>
      <c r="AT71" s="49"/>
      <c r="AU71" s="49"/>
      <c r="AV71" s="49"/>
      <c r="AW71" s="49"/>
      <c r="AX71" s="49"/>
      <c r="AY71" s="49"/>
      <c r="AZ71" s="49"/>
      <c r="BA71" s="49"/>
      <c r="BB71" s="49"/>
      <c r="BC71" s="49"/>
      <c r="BD71" s="49"/>
      <c r="BE71" s="49"/>
      <c r="BF71" s="49"/>
      <c r="BG71" s="599" t="s">
        <v>3393</v>
      </c>
      <c r="BH71" s="599"/>
      <c r="BI71" s="62" t="s">
        <v>2978</v>
      </c>
      <c r="BJ71" s="599" t="s">
        <v>3305</v>
      </c>
      <c r="BK71" s="599"/>
      <c r="BL71" s="62" t="s">
        <v>3092</v>
      </c>
      <c r="BM71" s="62" t="s">
        <v>3312</v>
      </c>
      <c r="BN71" s="49"/>
      <c r="BO71" s="49"/>
      <c r="BP71" s="49"/>
      <c r="BQ71" s="49"/>
      <c r="BR71" s="49"/>
      <c r="BS71" s="49"/>
      <c r="BT71" s="49"/>
      <c r="BU71" s="49"/>
      <c r="BV71" s="49"/>
      <c r="BW71" s="49"/>
      <c r="BX71" s="49"/>
      <c r="BY71" s="49"/>
      <c r="BZ71" s="49"/>
      <c r="CA71" s="49"/>
    </row>
    <row r="72" spans="1:79">
      <c r="A72" s="49"/>
      <c r="B72" s="49"/>
      <c r="C72" s="49"/>
      <c r="D72" s="49"/>
      <c r="E72" s="55"/>
      <c r="F72" s="49"/>
      <c r="G72" s="56"/>
      <c r="H72" s="49"/>
      <c r="I72" s="55"/>
      <c r="J72" s="49"/>
      <c r="K72" s="56"/>
      <c r="L72" s="49"/>
      <c r="M72" s="55"/>
      <c r="N72" s="49"/>
      <c r="O72" s="56"/>
      <c r="P72" s="49"/>
      <c r="Q72" s="49"/>
      <c r="R72" s="49"/>
      <c r="S72" s="49"/>
      <c r="T72" s="49"/>
      <c r="U72" s="49"/>
      <c r="V72" s="49"/>
      <c r="W72" s="49"/>
      <c r="X72" s="49"/>
      <c r="Y72" s="49"/>
      <c r="Z72" s="49"/>
      <c r="AA72" s="49"/>
      <c r="AB72" s="49"/>
      <c r="AC72" s="49"/>
      <c r="AD72" s="49"/>
      <c r="AE72" s="49"/>
      <c r="AF72" s="49"/>
      <c r="AG72" s="49"/>
      <c r="AH72" s="49"/>
      <c r="AI72" s="62"/>
      <c r="AJ72" s="62" t="s">
        <v>3394</v>
      </c>
      <c r="AK72" s="49" t="s">
        <v>3395</v>
      </c>
      <c r="AL72" s="49"/>
      <c r="AM72" s="49"/>
      <c r="AN72" s="49"/>
      <c r="AO72" s="49"/>
      <c r="AP72" s="49"/>
      <c r="AQ72" s="49"/>
      <c r="AR72" s="49"/>
      <c r="AS72" s="49"/>
      <c r="AT72" s="49"/>
      <c r="AU72" s="49"/>
      <c r="AV72" s="49"/>
      <c r="AW72" s="49"/>
      <c r="AX72" s="49"/>
      <c r="AY72" s="49"/>
      <c r="AZ72" s="49"/>
      <c r="BA72" s="49"/>
      <c r="BB72" s="49"/>
      <c r="BC72" s="49"/>
      <c r="BD72" s="49"/>
      <c r="BE72" s="49"/>
      <c r="BF72" s="49"/>
      <c r="BG72" s="516" t="s">
        <v>3396</v>
      </c>
      <c r="BH72" s="516"/>
      <c r="BI72" s="62" t="s">
        <v>2978</v>
      </c>
      <c r="BJ72" s="599" t="s">
        <v>3318</v>
      </c>
      <c r="BK72" s="599"/>
      <c r="BL72" s="62" t="s">
        <v>3092</v>
      </c>
      <c r="BM72" s="62" t="s">
        <v>3319</v>
      </c>
      <c r="BN72" s="49"/>
      <c r="BO72" s="49"/>
      <c r="BP72" s="49"/>
      <c r="BQ72" s="49"/>
      <c r="BR72" s="49"/>
      <c r="BS72" s="49"/>
      <c r="BT72" s="49"/>
      <c r="BU72" s="49"/>
      <c r="BV72" s="49"/>
      <c r="BW72" s="49"/>
      <c r="BX72" s="49"/>
      <c r="BY72" s="49"/>
      <c r="BZ72" s="49"/>
      <c r="CA72" s="49"/>
    </row>
    <row r="73" spans="1:79">
      <c r="A73" s="49"/>
      <c r="B73" s="49"/>
      <c r="C73" s="49"/>
      <c r="D73" s="49"/>
      <c r="E73" s="55"/>
      <c r="F73" s="49"/>
      <c r="G73" s="56"/>
      <c r="H73" s="49"/>
      <c r="I73" s="55"/>
      <c r="J73" s="49"/>
      <c r="K73" s="56"/>
      <c r="L73" s="49"/>
      <c r="M73" s="55"/>
      <c r="N73" s="49"/>
      <c r="O73" s="56"/>
      <c r="P73" s="49"/>
      <c r="Q73" s="49"/>
      <c r="R73" s="49"/>
      <c r="S73" s="49"/>
      <c r="T73" s="49"/>
      <c r="U73" s="49"/>
      <c r="V73" s="49"/>
      <c r="W73" s="49"/>
      <c r="X73" s="49"/>
      <c r="Y73" s="49"/>
      <c r="Z73" s="49"/>
      <c r="AA73" s="49"/>
      <c r="AB73" s="49"/>
      <c r="AC73" s="49"/>
      <c r="AD73" s="49"/>
      <c r="AE73" s="49"/>
      <c r="AF73" s="49"/>
      <c r="AG73" s="49"/>
      <c r="AH73" s="49"/>
      <c r="AI73" s="62"/>
      <c r="AJ73" s="62" t="s">
        <v>3397</v>
      </c>
      <c r="AK73" s="49" t="s">
        <v>3398</v>
      </c>
      <c r="AL73" s="49"/>
      <c r="AM73" s="49"/>
      <c r="AN73" s="49"/>
      <c r="AO73" s="49"/>
      <c r="AP73" s="49"/>
      <c r="AQ73" s="49"/>
      <c r="AR73" s="49"/>
      <c r="AS73" s="49"/>
      <c r="AT73" s="49"/>
      <c r="AU73" s="49"/>
      <c r="AV73" s="49"/>
      <c r="AW73" s="49"/>
      <c r="AX73" s="49"/>
      <c r="AY73" s="49"/>
      <c r="AZ73" s="49"/>
      <c r="BA73" s="49"/>
      <c r="BB73" s="49"/>
      <c r="BC73" s="49"/>
      <c r="BD73" s="49"/>
      <c r="BE73" s="49"/>
      <c r="BF73" s="49"/>
      <c r="BG73" s="599" t="s">
        <v>3399</v>
      </c>
      <c r="BH73" s="599"/>
      <c r="BI73" s="62" t="s">
        <v>2978</v>
      </c>
      <c r="BJ73" s="599" t="s">
        <v>3026</v>
      </c>
      <c r="BK73" s="599"/>
      <c r="BL73" s="62" t="s">
        <v>3092</v>
      </c>
      <c r="BM73" s="62" t="s">
        <v>3312</v>
      </c>
      <c r="BN73" s="49"/>
      <c r="BO73" s="49"/>
      <c r="BP73" s="49"/>
      <c r="BQ73" s="49"/>
      <c r="BR73" s="49"/>
      <c r="BS73" s="49"/>
      <c r="BT73" s="49"/>
      <c r="BU73" s="49"/>
      <c r="BV73" s="49"/>
      <c r="BW73" s="49"/>
      <c r="BX73" s="49"/>
      <c r="BY73" s="49"/>
      <c r="BZ73" s="49"/>
      <c r="CA73" s="49"/>
    </row>
    <row r="74" spans="1:79">
      <c r="A74" s="49"/>
      <c r="B74" s="49"/>
      <c r="C74" s="49"/>
      <c r="D74" s="49"/>
      <c r="E74" s="55"/>
      <c r="F74" s="49"/>
      <c r="G74" s="56"/>
      <c r="H74" s="49"/>
      <c r="I74" s="55"/>
      <c r="J74" s="49"/>
      <c r="K74" s="56"/>
      <c r="L74" s="49"/>
      <c r="M74" s="55"/>
      <c r="N74" s="49"/>
      <c r="O74" s="56"/>
      <c r="P74" s="49"/>
      <c r="Q74" s="49"/>
      <c r="R74" s="49"/>
      <c r="S74" s="49"/>
      <c r="T74" s="49"/>
      <c r="U74" s="49"/>
      <c r="V74" s="49"/>
      <c r="W74" s="49"/>
      <c r="X74" s="49"/>
      <c r="Y74" s="49"/>
      <c r="Z74" s="49"/>
      <c r="AA74" s="49"/>
      <c r="AB74" s="49"/>
      <c r="AC74" s="49"/>
      <c r="AD74" s="49"/>
      <c r="AE74" s="49"/>
      <c r="AF74" s="49"/>
      <c r="AG74" s="49"/>
      <c r="AH74" s="49"/>
      <c r="AI74" s="62"/>
      <c r="AJ74" s="62" t="s">
        <v>3400</v>
      </c>
      <c r="AK74" s="49" t="s">
        <v>3401</v>
      </c>
      <c r="AL74" s="49"/>
      <c r="AM74" s="49"/>
      <c r="AN74" s="49"/>
      <c r="AO74" s="49"/>
      <c r="AP74" s="49"/>
      <c r="AQ74" s="49"/>
      <c r="AR74" s="49"/>
      <c r="AS74" s="49"/>
      <c r="AT74" s="49"/>
      <c r="AU74" s="49"/>
      <c r="AV74" s="49"/>
      <c r="AW74" s="49"/>
      <c r="AX74" s="49"/>
      <c r="AY74" s="49"/>
      <c r="AZ74" s="49"/>
      <c r="BA74" s="49"/>
      <c r="BB74" s="49"/>
      <c r="BC74" s="49"/>
      <c r="BD74" s="49"/>
      <c r="BE74" s="49"/>
      <c r="BF74" s="49"/>
      <c r="BG74" s="599" t="s">
        <v>3402</v>
      </c>
      <c r="BH74" s="599"/>
      <c r="BI74" s="62" t="s">
        <v>2978</v>
      </c>
      <c r="BJ74" s="599" t="s">
        <v>3403</v>
      </c>
      <c r="BK74" s="599"/>
      <c r="BL74" s="62" t="s">
        <v>1467</v>
      </c>
      <c r="BM74" s="62" t="s">
        <v>3404</v>
      </c>
      <c r="BN74" s="49"/>
      <c r="BO74" s="49"/>
      <c r="BP74" s="49"/>
      <c r="BQ74" s="49"/>
      <c r="BR74" s="49"/>
      <c r="BS74" s="49"/>
      <c r="BT74" s="49"/>
      <c r="BU74" s="49"/>
      <c r="BV74" s="49"/>
      <c r="BW74" s="49"/>
      <c r="BX74" s="49"/>
      <c r="BY74" s="49"/>
      <c r="BZ74" s="49"/>
      <c r="CA74" s="49"/>
    </row>
    <row r="75" spans="1:79">
      <c r="A75" s="49"/>
      <c r="B75" s="49"/>
      <c r="C75" s="49"/>
      <c r="D75" s="49"/>
      <c r="E75" s="55"/>
      <c r="F75" s="49"/>
      <c r="G75" s="56"/>
      <c r="H75" s="49"/>
      <c r="I75" s="55"/>
      <c r="J75" s="49"/>
      <c r="K75" s="56"/>
      <c r="L75" s="49"/>
      <c r="M75" s="55"/>
      <c r="N75" s="49"/>
      <c r="O75" s="56"/>
      <c r="P75" s="49"/>
      <c r="Q75" s="49"/>
      <c r="R75" s="49"/>
      <c r="S75" s="49"/>
      <c r="T75" s="49"/>
      <c r="U75" s="49"/>
      <c r="V75" s="49"/>
      <c r="W75" s="49"/>
      <c r="X75" s="49"/>
      <c r="Y75" s="49"/>
      <c r="Z75" s="49"/>
      <c r="AA75" s="49"/>
      <c r="AB75" s="49"/>
      <c r="AC75" s="49"/>
      <c r="AD75" s="49"/>
      <c r="AE75" s="49"/>
      <c r="AF75" s="49"/>
      <c r="AG75" s="49"/>
      <c r="AH75" s="49"/>
      <c r="AI75" s="62"/>
      <c r="AJ75" s="62" t="s">
        <v>3405</v>
      </c>
      <c r="AK75" s="49" t="s">
        <v>3406</v>
      </c>
      <c r="AL75" s="49"/>
      <c r="AM75" s="49"/>
      <c r="AN75" s="49"/>
      <c r="AO75" s="49"/>
      <c r="AP75" s="49"/>
      <c r="AQ75" s="49"/>
      <c r="AR75" s="49"/>
      <c r="AS75" s="49"/>
      <c r="AT75" s="49"/>
      <c r="AU75" s="49"/>
      <c r="AV75" s="49"/>
      <c r="AW75" s="49"/>
      <c r="AX75" s="49"/>
      <c r="AY75" s="49"/>
      <c r="AZ75" s="49"/>
      <c r="BA75" s="49"/>
      <c r="BB75" s="49"/>
      <c r="BC75" s="49"/>
      <c r="BD75" s="49"/>
      <c r="BE75" s="49"/>
      <c r="BF75" s="49"/>
      <c r="BG75" s="599" t="s">
        <v>3407</v>
      </c>
      <c r="BH75" s="599"/>
      <c r="BI75" s="62" t="s">
        <v>2978</v>
      </c>
      <c r="BJ75" s="599" t="s">
        <v>3408</v>
      </c>
      <c r="BK75" s="599"/>
      <c r="BL75" s="62" t="s">
        <v>3092</v>
      </c>
      <c r="BM75" s="62" t="s">
        <v>3409</v>
      </c>
      <c r="BN75" s="49"/>
      <c r="BO75" s="49"/>
      <c r="BP75" s="49"/>
      <c r="BQ75" s="49"/>
      <c r="BR75" s="49"/>
      <c r="BS75" s="49"/>
      <c r="BT75" s="49"/>
      <c r="BU75" s="49"/>
      <c r="BV75" s="49"/>
      <c r="BW75" s="49"/>
      <c r="BX75" s="49"/>
      <c r="BY75" s="49"/>
      <c r="BZ75" s="49"/>
      <c r="CA75" s="49"/>
    </row>
    <row r="76" spans="1:79">
      <c r="A76" s="49"/>
      <c r="B76" s="49"/>
      <c r="C76" s="49"/>
      <c r="D76" s="49"/>
      <c r="E76" s="55"/>
      <c r="F76" s="57"/>
      <c r="G76" s="58"/>
      <c r="H76" s="49"/>
      <c r="I76" s="55"/>
      <c r="J76" s="57"/>
      <c r="K76" s="58"/>
      <c r="L76" s="49"/>
      <c r="M76" s="55"/>
      <c r="N76" s="57"/>
      <c r="O76" s="58"/>
      <c r="P76" s="49"/>
      <c r="Q76" s="49"/>
      <c r="R76" s="49"/>
      <c r="S76" s="49"/>
      <c r="T76" s="49"/>
      <c r="U76" s="49"/>
      <c r="V76" s="49"/>
      <c r="W76" s="49"/>
      <c r="X76" s="49"/>
      <c r="Y76" s="49"/>
      <c r="Z76" s="49"/>
      <c r="AA76" s="49"/>
      <c r="AB76" s="49"/>
      <c r="AC76" s="49"/>
      <c r="AD76" s="49"/>
      <c r="AE76" s="49"/>
      <c r="AF76" s="49"/>
      <c r="AG76" s="49"/>
      <c r="AH76" s="49"/>
      <c r="AI76" s="62"/>
      <c r="AJ76" s="62" t="s">
        <v>3410</v>
      </c>
      <c r="AK76" s="49" t="s">
        <v>3411</v>
      </c>
      <c r="AL76" s="49"/>
      <c r="AM76" s="49"/>
      <c r="AN76" s="49"/>
      <c r="AO76" s="49"/>
      <c r="AP76" s="49"/>
      <c r="AQ76" s="49"/>
      <c r="AR76" s="49"/>
      <c r="AS76" s="49"/>
      <c r="AT76" s="49"/>
      <c r="AU76" s="49"/>
      <c r="AV76" s="49"/>
      <c r="AW76" s="49"/>
      <c r="AX76" s="49"/>
      <c r="AY76" s="49"/>
      <c r="AZ76" s="49"/>
      <c r="BA76" s="49"/>
      <c r="BB76" s="49"/>
      <c r="BC76" s="49"/>
      <c r="BD76" s="49"/>
      <c r="BE76" s="49"/>
      <c r="BF76" s="49"/>
      <c r="BG76" s="599" t="s">
        <v>3412</v>
      </c>
      <c r="BH76" s="599"/>
      <c r="BI76" s="62" t="s">
        <v>2978</v>
      </c>
      <c r="BJ76" s="599" t="s">
        <v>3318</v>
      </c>
      <c r="BK76" s="599"/>
      <c r="BL76" s="62" t="s">
        <v>3092</v>
      </c>
      <c r="BM76" s="62" t="s">
        <v>3319</v>
      </c>
      <c r="BN76" s="49"/>
      <c r="BO76" s="49"/>
      <c r="BP76" s="49"/>
      <c r="BQ76" s="49"/>
      <c r="BR76" s="49"/>
      <c r="BS76" s="49"/>
      <c r="BT76" s="49"/>
      <c r="BU76" s="49"/>
      <c r="BV76" s="49"/>
      <c r="BW76" s="49"/>
      <c r="BX76" s="49"/>
      <c r="BY76" s="49"/>
      <c r="BZ76" s="49"/>
      <c r="CA76" s="49"/>
    </row>
    <row r="77" spans="1:79">
      <c r="A77" s="49"/>
      <c r="B77" s="49"/>
      <c r="C77" s="49"/>
      <c r="D77" s="49"/>
      <c r="E77" s="613" t="s">
        <v>3413</v>
      </c>
      <c r="F77" s="614"/>
      <c r="G77" s="615"/>
      <c r="H77" s="49"/>
      <c r="I77" s="613" t="s">
        <v>3414</v>
      </c>
      <c r="J77" s="614"/>
      <c r="K77" s="615"/>
      <c r="L77" s="49"/>
      <c r="M77" s="613" t="s">
        <v>3415</v>
      </c>
      <c r="N77" s="614"/>
      <c r="O77" s="615"/>
      <c r="P77" s="49"/>
      <c r="Q77" s="49"/>
      <c r="R77" s="49"/>
      <c r="S77" s="49"/>
      <c r="T77" s="49"/>
      <c r="U77" s="49"/>
      <c r="V77" s="49"/>
      <c r="W77" s="49"/>
      <c r="X77" s="49"/>
      <c r="Y77" s="49"/>
      <c r="Z77" s="49"/>
      <c r="AA77" s="49"/>
      <c r="AB77" s="49"/>
      <c r="AC77" s="49"/>
      <c r="AD77" s="49"/>
      <c r="AE77" s="49"/>
      <c r="AF77" s="49"/>
      <c r="AG77" s="49"/>
      <c r="AH77" s="49"/>
      <c r="AI77" s="62"/>
      <c r="AJ77" s="62" t="s">
        <v>3416</v>
      </c>
      <c r="AK77" s="49" t="s">
        <v>3417</v>
      </c>
      <c r="AL77" s="49"/>
      <c r="AM77" s="49"/>
      <c r="AN77" s="49"/>
      <c r="AO77" s="49"/>
      <c r="AP77" s="49"/>
      <c r="AQ77" s="49"/>
      <c r="AR77" s="49"/>
      <c r="AS77" s="49"/>
      <c r="AT77" s="49"/>
      <c r="AU77" s="49"/>
      <c r="AV77" s="49"/>
      <c r="AW77" s="49"/>
      <c r="AX77" s="49"/>
      <c r="AY77" s="49"/>
      <c r="AZ77" s="49"/>
      <c r="BA77" s="49"/>
      <c r="BB77" s="49"/>
      <c r="BC77" s="49"/>
      <c r="BD77" s="49"/>
      <c r="BE77" s="49"/>
      <c r="BF77" s="49"/>
      <c r="BG77" s="599" t="s">
        <v>3418</v>
      </c>
      <c r="BH77" s="599"/>
      <c r="BI77" s="62" t="s">
        <v>2978</v>
      </c>
      <c r="BJ77" s="599" t="s">
        <v>3318</v>
      </c>
      <c r="BK77" s="599"/>
      <c r="BL77" s="62" t="s">
        <v>3092</v>
      </c>
      <c r="BM77" s="62" t="s">
        <v>3319</v>
      </c>
      <c r="BN77" s="49"/>
      <c r="BO77" s="49"/>
      <c r="BP77" s="49"/>
      <c r="BQ77" s="49"/>
      <c r="BR77" s="49"/>
      <c r="BS77" s="49"/>
      <c r="BT77" s="49"/>
      <c r="BU77" s="49"/>
      <c r="BV77" s="49"/>
      <c r="BW77" s="49"/>
      <c r="BX77" s="49"/>
      <c r="BY77" s="49"/>
      <c r="BZ77" s="49"/>
      <c r="CA77" s="49"/>
    </row>
    <row r="78" spans="1:79">
      <c r="A78" s="49"/>
      <c r="B78" s="49"/>
      <c r="C78" s="49"/>
      <c r="D78" s="49"/>
      <c r="E78" s="613"/>
      <c r="F78" s="614"/>
      <c r="G78" s="615"/>
      <c r="H78" s="49"/>
      <c r="I78" s="613"/>
      <c r="J78" s="614"/>
      <c r="K78" s="615"/>
      <c r="L78" s="49"/>
      <c r="M78" s="613"/>
      <c r="N78" s="614"/>
      <c r="O78" s="615"/>
      <c r="P78" s="49"/>
      <c r="Q78" s="49"/>
      <c r="R78" s="49"/>
      <c r="S78" s="49"/>
      <c r="T78" s="49"/>
      <c r="U78" s="49"/>
      <c r="V78" s="49"/>
      <c r="W78" s="49"/>
      <c r="X78" s="49"/>
      <c r="Y78" s="49"/>
      <c r="Z78" s="49"/>
      <c r="AA78" s="49"/>
      <c r="AB78" s="49"/>
      <c r="AC78" s="49"/>
      <c r="AD78" s="49"/>
      <c r="AE78" s="49"/>
      <c r="AF78" s="49"/>
      <c r="AG78" s="49"/>
      <c r="AH78" s="49"/>
      <c r="AI78" s="49"/>
      <c r="AJ78" s="62" t="s">
        <v>3419</v>
      </c>
      <c r="AK78" s="49" t="s">
        <v>3420</v>
      </c>
      <c r="AL78" s="49"/>
      <c r="AM78" s="49"/>
      <c r="AN78" s="49"/>
      <c r="AO78" s="49"/>
      <c r="AP78" s="49"/>
      <c r="AQ78" s="49"/>
      <c r="AR78" s="49"/>
      <c r="AS78" s="49"/>
      <c r="AT78" s="49"/>
      <c r="AU78" s="49"/>
      <c r="AV78" s="49"/>
      <c r="AW78" s="49"/>
      <c r="AX78" s="49"/>
      <c r="AY78" s="49"/>
      <c r="AZ78" s="49"/>
      <c r="BA78" s="49"/>
      <c r="BB78" s="49"/>
      <c r="BC78" s="49"/>
      <c r="BD78" s="49"/>
      <c r="BE78" s="49"/>
      <c r="BF78" s="49"/>
      <c r="BG78" s="599" t="s">
        <v>3421</v>
      </c>
      <c r="BH78" s="599"/>
      <c r="BI78" s="62" t="s">
        <v>2978</v>
      </c>
      <c r="BJ78" s="599" t="s">
        <v>3408</v>
      </c>
      <c r="BK78" s="599"/>
      <c r="BL78" s="62" t="s">
        <v>3092</v>
      </c>
      <c r="BM78" s="62" t="s">
        <v>3409</v>
      </c>
      <c r="BN78" s="49"/>
      <c r="BO78" s="49"/>
      <c r="BP78" s="49"/>
      <c r="BQ78" s="49"/>
      <c r="BR78" s="49"/>
      <c r="BS78" s="49"/>
      <c r="BT78" s="49"/>
      <c r="BU78" s="49"/>
      <c r="BV78" s="49"/>
      <c r="BW78" s="49"/>
      <c r="BX78" s="49"/>
      <c r="BY78" s="49"/>
      <c r="BZ78" s="49"/>
      <c r="CA78" s="49"/>
    </row>
    <row r="79" spans="1:79">
      <c r="A79" s="49"/>
      <c r="B79" s="49"/>
      <c r="C79" s="49"/>
      <c r="D79" s="49"/>
      <c r="E79" s="59" t="s">
        <v>3372</v>
      </c>
      <c r="F79" s="60"/>
      <c r="G79" s="61" t="s">
        <v>3166</v>
      </c>
      <c r="H79" s="49"/>
      <c r="I79" s="59" t="s">
        <v>3372</v>
      </c>
      <c r="J79" s="60"/>
      <c r="K79" s="61" t="s">
        <v>3166</v>
      </c>
      <c r="L79" s="49"/>
      <c r="M79" s="59" t="s">
        <v>3372</v>
      </c>
      <c r="N79" s="60"/>
      <c r="O79" s="61" t="s">
        <v>3166</v>
      </c>
      <c r="P79" s="49"/>
      <c r="Q79" s="49"/>
      <c r="R79" s="49"/>
      <c r="S79" s="49"/>
      <c r="T79" s="49"/>
      <c r="U79" s="49"/>
      <c r="V79" s="49"/>
      <c r="W79" s="49"/>
      <c r="X79" s="49"/>
      <c r="Y79" s="49"/>
      <c r="Z79" s="49"/>
      <c r="AA79" s="49"/>
      <c r="AB79" s="49"/>
      <c r="AC79" s="49"/>
      <c r="AD79" s="49"/>
      <c r="AE79" s="49"/>
      <c r="AF79" s="49"/>
      <c r="AG79" s="49"/>
      <c r="AH79" s="49"/>
      <c r="AI79" s="62"/>
      <c r="AJ79" s="62" t="s">
        <v>3422</v>
      </c>
      <c r="AK79" s="49" t="s">
        <v>3423</v>
      </c>
      <c r="AL79" s="49"/>
      <c r="AM79" s="49"/>
      <c r="AN79" s="49"/>
      <c r="AO79" s="49"/>
      <c r="AP79" s="49"/>
      <c r="AQ79" s="49"/>
      <c r="AR79" s="49"/>
      <c r="AS79" s="49"/>
      <c r="AT79" s="49"/>
      <c r="AU79" s="49"/>
      <c r="AV79" s="49"/>
      <c r="AW79" s="49"/>
      <c r="AX79" s="49"/>
      <c r="AY79" s="49"/>
      <c r="AZ79" s="49"/>
      <c r="BA79" s="49"/>
      <c r="BB79" s="49"/>
      <c r="BC79" s="49"/>
      <c r="BD79" s="49"/>
      <c r="BE79" s="49"/>
      <c r="BF79" s="49"/>
      <c r="BG79" s="599" t="s">
        <v>3424</v>
      </c>
      <c r="BH79" s="599"/>
      <c r="BI79" s="62" t="s">
        <v>2978</v>
      </c>
      <c r="BJ79" s="599" t="s">
        <v>3318</v>
      </c>
      <c r="BK79" s="599"/>
      <c r="BL79" s="62" t="s">
        <v>3092</v>
      </c>
      <c r="BM79" s="62" t="s">
        <v>3319</v>
      </c>
      <c r="BN79" s="49"/>
      <c r="BO79" s="49"/>
      <c r="BP79" s="49"/>
      <c r="BQ79" s="49"/>
      <c r="BR79" s="49"/>
      <c r="BS79" s="49"/>
      <c r="BT79" s="49"/>
      <c r="BU79" s="49"/>
      <c r="BV79" s="49"/>
      <c r="BW79" s="49"/>
      <c r="BX79" s="49"/>
      <c r="BY79" s="49"/>
      <c r="BZ79" s="49"/>
      <c r="CA79" s="49"/>
    </row>
    <row r="80" spans="1:79">
      <c r="A80" s="49"/>
      <c r="B80" s="49"/>
      <c r="C80" s="49"/>
      <c r="D80" s="49"/>
      <c r="E80" s="49"/>
      <c r="F80" s="49"/>
      <c r="G80" s="49"/>
      <c r="H80" s="49"/>
      <c r="I80" s="49"/>
      <c r="J80" s="49"/>
      <c r="K80" s="49"/>
      <c r="L80" s="49"/>
      <c r="M80" s="49"/>
      <c r="N80" s="49"/>
      <c r="O80" s="49"/>
      <c r="P80" s="49"/>
      <c r="Q80" s="49"/>
      <c r="R80" s="62"/>
      <c r="S80" s="49"/>
      <c r="T80" s="49"/>
      <c r="U80" s="62"/>
      <c r="V80" s="62"/>
      <c r="W80" s="71"/>
      <c r="X80" s="49"/>
      <c r="Y80" s="49"/>
      <c r="Z80" s="49"/>
      <c r="AA80" s="49"/>
      <c r="AB80" s="62"/>
      <c r="AC80" s="62"/>
      <c r="AD80" s="62"/>
      <c r="AE80" s="62"/>
      <c r="AF80" s="76"/>
      <c r="AG80" s="62"/>
      <c r="AH80" s="62"/>
      <c r="AI80" s="62"/>
      <c r="AJ80" s="62" t="s">
        <v>3425</v>
      </c>
      <c r="AK80" s="49" t="s">
        <v>3426</v>
      </c>
      <c r="AL80" s="49"/>
      <c r="AM80" s="49"/>
      <c r="AN80" s="49"/>
      <c r="AO80" s="49"/>
      <c r="AP80" s="49"/>
      <c r="AQ80" s="49"/>
      <c r="AR80" s="49"/>
      <c r="AS80" s="49"/>
      <c r="AT80" s="49"/>
      <c r="AU80" s="49"/>
      <c r="AV80" s="49"/>
      <c r="AW80" s="49"/>
      <c r="AX80" s="49"/>
      <c r="AY80" s="49"/>
      <c r="AZ80" s="49"/>
      <c r="BA80" s="49"/>
      <c r="BB80" s="49"/>
      <c r="BC80" s="49"/>
      <c r="BD80" s="49"/>
      <c r="BE80" s="49"/>
      <c r="BF80" s="49"/>
      <c r="BG80" s="599" t="s">
        <v>3427</v>
      </c>
      <c r="BH80" s="599"/>
      <c r="BI80" s="62" t="s">
        <v>2978</v>
      </c>
      <c r="BJ80" s="599" t="s">
        <v>3305</v>
      </c>
      <c r="BK80" s="599"/>
      <c r="BL80" s="62" t="s">
        <v>3092</v>
      </c>
      <c r="BM80" s="62" t="s">
        <v>3312</v>
      </c>
      <c r="BN80" s="49"/>
      <c r="BO80" s="49"/>
      <c r="BP80" s="49"/>
      <c r="BQ80" s="49"/>
      <c r="BR80" s="49"/>
      <c r="BS80" s="49"/>
      <c r="BT80" s="49"/>
      <c r="BU80" s="49"/>
      <c r="BV80" s="49"/>
      <c r="BW80" s="49"/>
      <c r="BX80" s="49"/>
      <c r="BY80" s="49"/>
      <c r="BZ80" s="49"/>
      <c r="CA80" s="49"/>
    </row>
    <row r="81" spans="1:79">
      <c r="A81" s="49"/>
      <c r="B81" s="49"/>
      <c r="C81" s="49"/>
      <c r="D81" s="49"/>
      <c r="E81" s="49"/>
      <c r="F81" s="49"/>
      <c r="G81" s="49"/>
      <c r="H81" s="49"/>
      <c r="I81" s="49"/>
      <c r="J81" s="49"/>
      <c r="K81" s="49"/>
      <c r="L81" s="49"/>
      <c r="M81" s="49"/>
      <c r="N81" s="49"/>
      <c r="O81" s="49"/>
      <c r="P81" s="49"/>
      <c r="Q81" s="49"/>
      <c r="R81" s="611" t="s">
        <v>3428</v>
      </c>
      <c r="S81" s="611"/>
      <c r="T81" s="611"/>
      <c r="U81" s="62"/>
      <c r="V81" s="62"/>
      <c r="W81" s="71"/>
      <c r="X81" s="49"/>
      <c r="Y81" s="49"/>
      <c r="Z81" s="49"/>
      <c r="AA81" s="49"/>
      <c r="AB81" s="62"/>
      <c r="AC81" s="62"/>
      <c r="AD81" s="62"/>
      <c r="AE81" s="62"/>
      <c r="AF81" s="76"/>
      <c r="AG81" s="62"/>
      <c r="AH81" s="62"/>
      <c r="AI81" s="62"/>
      <c r="AJ81" s="62" t="s">
        <v>3429</v>
      </c>
      <c r="AK81" s="49" t="s">
        <v>3430</v>
      </c>
      <c r="AL81" s="49"/>
      <c r="AM81" s="49"/>
      <c r="AN81" s="49"/>
      <c r="AO81" s="49"/>
      <c r="AP81" s="49"/>
      <c r="AQ81" s="49"/>
      <c r="AR81" s="49"/>
      <c r="AS81" s="49"/>
      <c r="AT81" s="49"/>
      <c r="AU81" s="49"/>
      <c r="AV81" s="49"/>
      <c r="AW81" s="49"/>
      <c r="AX81" s="49"/>
      <c r="AY81" s="49"/>
      <c r="AZ81" s="49"/>
      <c r="BA81" s="49"/>
      <c r="BB81" s="49"/>
      <c r="BC81" s="49"/>
      <c r="BD81" s="49"/>
      <c r="BE81" s="49"/>
      <c r="BF81" s="49"/>
      <c r="BG81" s="599" t="s">
        <v>3421</v>
      </c>
      <c r="BH81" s="599"/>
      <c r="BI81" s="62" t="s">
        <v>2978</v>
      </c>
      <c r="BJ81" s="599" t="s">
        <v>3408</v>
      </c>
      <c r="BK81" s="599"/>
      <c r="BL81" s="62" t="s">
        <v>3092</v>
      </c>
      <c r="BM81" s="62" t="s">
        <v>3409</v>
      </c>
      <c r="BN81" s="49"/>
      <c r="BO81" s="49"/>
      <c r="BP81" s="49"/>
      <c r="BQ81" s="49"/>
      <c r="BR81" s="49"/>
      <c r="BS81" s="49"/>
      <c r="BT81" s="49"/>
      <c r="BU81" s="49"/>
      <c r="BV81" s="49"/>
      <c r="BW81" s="49"/>
      <c r="BX81" s="49"/>
      <c r="BY81" s="49"/>
      <c r="BZ81" s="49"/>
      <c r="CA81" s="49"/>
    </row>
    <row r="82" spans="1:79">
      <c r="A82" s="49"/>
      <c r="B82" s="49"/>
      <c r="C82" s="49"/>
      <c r="D82" s="49"/>
      <c r="E82" s="51" t="s">
        <v>3431</v>
      </c>
      <c r="F82" s="52"/>
      <c r="G82" s="53" t="s">
        <v>2982</v>
      </c>
      <c r="H82" s="49"/>
      <c r="I82" s="51" t="s">
        <v>1104</v>
      </c>
      <c r="J82" s="52"/>
      <c r="K82" s="53" t="s">
        <v>3432</v>
      </c>
      <c r="L82" s="49"/>
      <c r="M82" s="51" t="s">
        <v>3433</v>
      </c>
      <c r="N82" s="52"/>
      <c r="O82" s="53" t="s">
        <v>3040</v>
      </c>
      <c r="P82" s="49"/>
      <c r="Q82" s="49"/>
      <c r="R82" s="612"/>
      <c r="S82" s="612"/>
      <c r="T82" s="612"/>
      <c r="U82" s="72"/>
      <c r="V82" s="66"/>
      <c r="W82" s="73"/>
      <c r="X82" s="67"/>
      <c r="Y82" s="67"/>
      <c r="Z82" s="67"/>
      <c r="AA82" s="67"/>
      <c r="AB82" s="67"/>
      <c r="AC82" s="67"/>
      <c r="AD82" s="67"/>
      <c r="AE82" s="67"/>
      <c r="AF82" s="67"/>
      <c r="AG82" s="67"/>
      <c r="AH82" s="67"/>
      <c r="AI82" s="62"/>
      <c r="AJ82" s="62" t="s">
        <v>3434</v>
      </c>
      <c r="AK82" s="49" t="s">
        <v>3435</v>
      </c>
      <c r="AL82" s="49"/>
      <c r="AM82" s="49"/>
      <c r="AN82" s="49"/>
      <c r="AO82" s="49"/>
      <c r="AP82" s="49"/>
      <c r="AQ82" s="49"/>
      <c r="AR82" s="49"/>
      <c r="AS82" s="49"/>
      <c r="AT82" s="49"/>
      <c r="AU82" s="49"/>
      <c r="AV82" s="49"/>
      <c r="AW82" s="49"/>
      <c r="AX82" s="49"/>
      <c r="AY82" s="49"/>
      <c r="AZ82" s="49"/>
      <c r="BA82" s="49"/>
      <c r="BB82" s="49"/>
      <c r="BC82" s="49"/>
      <c r="BD82" s="49"/>
      <c r="BE82" s="49"/>
      <c r="BF82" s="49"/>
      <c r="BG82" s="599" t="s">
        <v>3436</v>
      </c>
      <c r="BH82" s="599"/>
      <c r="BI82" s="62" t="s">
        <v>2978</v>
      </c>
      <c r="BJ82" s="599" t="s">
        <v>3437</v>
      </c>
      <c r="BK82" s="599"/>
      <c r="BL82" s="62" t="s">
        <v>3092</v>
      </c>
      <c r="BM82" s="62" t="s">
        <v>3438</v>
      </c>
      <c r="BN82" s="49"/>
      <c r="BO82" s="49"/>
      <c r="BP82" s="49"/>
      <c r="BQ82" s="49"/>
      <c r="BR82" s="49"/>
      <c r="BS82" s="49"/>
      <c r="BT82" s="49"/>
      <c r="BU82" s="49"/>
      <c r="BV82" s="49"/>
      <c r="BW82" s="49"/>
      <c r="BX82" s="49"/>
      <c r="BY82" s="49"/>
      <c r="BZ82" s="49"/>
      <c r="CA82" s="49"/>
    </row>
    <row r="83" spans="1:79">
      <c r="A83" s="49"/>
      <c r="B83" s="49"/>
      <c r="C83" s="49"/>
      <c r="D83" s="49"/>
      <c r="E83" s="55"/>
      <c r="F83" s="49"/>
      <c r="G83" s="56"/>
      <c r="H83" s="49"/>
      <c r="I83" s="55"/>
      <c r="J83" s="49"/>
      <c r="K83" s="56"/>
      <c r="L83" s="49"/>
      <c r="M83" s="55"/>
      <c r="N83" s="49"/>
      <c r="O83" s="56"/>
      <c r="P83" s="49"/>
      <c r="Q83" s="49"/>
      <c r="R83" s="68"/>
      <c r="S83" s="68"/>
      <c r="T83" s="68"/>
      <c r="U83" s="68"/>
      <c r="V83" s="68"/>
      <c r="W83" s="74"/>
      <c r="X83" s="75"/>
      <c r="Y83" s="75"/>
      <c r="Z83" s="75"/>
      <c r="AA83" s="75"/>
      <c r="AB83" s="75"/>
      <c r="AC83" s="75"/>
      <c r="AD83" s="75"/>
      <c r="AE83" s="75"/>
      <c r="AF83" s="75"/>
      <c r="AG83" s="62"/>
      <c r="AH83" s="62"/>
      <c r="AI83" s="62"/>
      <c r="AJ83" s="62" t="s">
        <v>3439</v>
      </c>
      <c r="AK83" s="49" t="s">
        <v>3440</v>
      </c>
      <c r="AL83" s="49"/>
      <c r="AM83" s="49"/>
      <c r="AN83" s="49"/>
      <c r="AO83" s="49"/>
      <c r="AP83" s="49"/>
      <c r="AQ83" s="49"/>
      <c r="AR83" s="49"/>
      <c r="AS83" s="49"/>
      <c r="AT83" s="49"/>
      <c r="AU83" s="49"/>
      <c r="AV83" s="49"/>
      <c r="AW83" s="49"/>
      <c r="AX83" s="49"/>
      <c r="AY83" s="49"/>
      <c r="AZ83" s="49"/>
      <c r="BA83" s="49"/>
      <c r="BB83" s="49"/>
      <c r="BC83" s="49"/>
      <c r="BD83" s="49"/>
      <c r="BE83" s="49"/>
      <c r="BF83" s="49"/>
      <c r="BG83" s="599" t="s">
        <v>3441</v>
      </c>
      <c r="BH83" s="599"/>
      <c r="BI83" s="62" t="s">
        <v>2978</v>
      </c>
      <c r="BJ83" s="599" t="s">
        <v>3318</v>
      </c>
      <c r="BK83" s="599"/>
      <c r="BL83" s="62" t="s">
        <v>3092</v>
      </c>
      <c r="BM83" s="62" t="s">
        <v>3319</v>
      </c>
      <c r="BN83" s="49"/>
      <c r="BO83" s="49"/>
      <c r="BP83" s="49"/>
      <c r="BQ83" s="49"/>
      <c r="BR83" s="49"/>
      <c r="BS83" s="49"/>
      <c r="BT83" s="49"/>
      <c r="BU83" s="49"/>
      <c r="BV83" s="49"/>
      <c r="BW83" s="49"/>
      <c r="BX83" s="49"/>
      <c r="BY83" s="49"/>
      <c r="BZ83" s="49"/>
      <c r="CA83" s="49"/>
    </row>
    <row r="84" spans="1:79">
      <c r="A84" s="49"/>
      <c r="B84" s="49"/>
      <c r="C84" s="49"/>
      <c r="D84" s="49"/>
      <c r="E84" s="55"/>
      <c r="F84" s="49"/>
      <c r="G84" s="56"/>
      <c r="H84" s="49"/>
      <c r="I84" s="55"/>
      <c r="J84" s="49"/>
      <c r="K84" s="56"/>
      <c r="L84" s="49"/>
      <c r="M84" s="55"/>
      <c r="N84" s="49"/>
      <c r="O84" s="56"/>
      <c r="P84" s="49"/>
      <c r="Q84" s="49"/>
      <c r="R84" s="62"/>
      <c r="S84" s="62"/>
      <c r="T84" s="62"/>
      <c r="U84" s="62"/>
      <c r="V84" s="62"/>
      <c r="W84" s="71"/>
      <c r="X84" s="49"/>
      <c r="Y84" s="49"/>
      <c r="Z84" s="49"/>
      <c r="AA84" s="49"/>
      <c r="AB84" s="599" t="s">
        <v>2776</v>
      </c>
      <c r="AC84" s="599"/>
      <c r="AD84" s="599"/>
      <c r="AE84" s="49"/>
      <c r="AF84" s="599" t="s">
        <v>3160</v>
      </c>
      <c r="AG84" s="599"/>
      <c r="AH84" s="599"/>
      <c r="AI84" s="62"/>
      <c r="AJ84" s="62" t="s">
        <v>3442</v>
      </c>
      <c r="AK84" s="49" t="s">
        <v>3443</v>
      </c>
      <c r="AL84" s="49"/>
      <c r="AM84" s="49"/>
      <c r="AN84" s="49"/>
      <c r="AO84" s="49"/>
      <c r="AP84" s="49"/>
      <c r="AQ84" s="49"/>
      <c r="AR84" s="49"/>
      <c r="AS84" s="49"/>
      <c r="AT84" s="49"/>
      <c r="AU84" s="49"/>
      <c r="AV84" s="49"/>
      <c r="AW84" s="49"/>
      <c r="AX84" s="49"/>
      <c r="AY84" s="49"/>
      <c r="AZ84" s="49"/>
      <c r="BA84" s="49"/>
      <c r="BB84" s="49"/>
      <c r="BC84" s="49"/>
      <c r="BD84" s="49"/>
      <c r="BE84" s="49"/>
      <c r="BF84" s="49"/>
      <c r="BG84" s="599" t="s">
        <v>3444</v>
      </c>
      <c r="BH84" s="599"/>
      <c r="BI84" s="62" t="s">
        <v>2978</v>
      </c>
      <c r="BJ84" s="599" t="s">
        <v>3305</v>
      </c>
      <c r="BK84" s="599"/>
      <c r="BL84" s="62" t="s">
        <v>3092</v>
      </c>
      <c r="BM84" s="62" t="s">
        <v>3312</v>
      </c>
      <c r="BN84" s="49"/>
      <c r="BO84" s="49"/>
      <c r="BP84" s="49"/>
      <c r="BQ84" s="49"/>
      <c r="BR84" s="49"/>
      <c r="BS84" s="49"/>
      <c r="BT84" s="49"/>
      <c r="BU84" s="49"/>
      <c r="BV84" s="49"/>
      <c r="BW84" s="49"/>
      <c r="BX84" s="49"/>
      <c r="BY84" s="49"/>
      <c r="BZ84" s="49"/>
      <c r="CA84" s="49"/>
    </row>
    <row r="85" spans="1:79">
      <c r="A85" s="49"/>
      <c r="B85" s="49"/>
      <c r="C85" s="49"/>
      <c r="D85" s="49"/>
      <c r="E85" s="55"/>
      <c r="F85" s="49"/>
      <c r="G85" s="56"/>
      <c r="H85" s="49"/>
      <c r="I85" s="55"/>
      <c r="J85" s="49"/>
      <c r="K85" s="56"/>
      <c r="L85" s="49"/>
      <c r="M85" s="55"/>
      <c r="N85" s="62"/>
      <c r="O85" s="56"/>
      <c r="P85" s="49"/>
      <c r="Q85" s="49"/>
      <c r="R85" s="603" t="s">
        <v>3167</v>
      </c>
      <c r="S85" s="603"/>
      <c r="T85" s="603"/>
      <c r="U85" s="67"/>
      <c r="V85" s="67"/>
      <c r="W85" s="67"/>
      <c r="X85" s="67"/>
      <c r="Y85" s="67"/>
      <c r="Z85" s="67"/>
      <c r="AA85" s="49"/>
      <c r="AB85" s="66" t="s">
        <v>3096</v>
      </c>
      <c r="AC85" s="66" t="s">
        <v>3085</v>
      </c>
      <c r="AD85" s="66" t="s">
        <v>3104</v>
      </c>
      <c r="AE85" s="49"/>
      <c r="AF85" s="66" t="s">
        <v>3096</v>
      </c>
      <c r="AG85" s="66" t="s">
        <v>3085</v>
      </c>
      <c r="AH85" s="66" t="s">
        <v>3104</v>
      </c>
      <c r="AI85" s="62"/>
      <c r="AJ85" s="62" t="s">
        <v>3445</v>
      </c>
      <c r="AK85" s="49" t="s">
        <v>3446</v>
      </c>
      <c r="AL85" s="49"/>
      <c r="AM85" s="49"/>
      <c r="AN85" s="49"/>
      <c r="AO85" s="49"/>
      <c r="AP85" s="49"/>
      <c r="AQ85" s="49"/>
      <c r="AR85" s="49"/>
      <c r="AS85" s="49"/>
      <c r="AT85" s="49"/>
      <c r="AU85" s="49"/>
      <c r="AV85" s="49"/>
      <c r="AW85" s="49"/>
      <c r="AX85" s="49"/>
      <c r="AY85" s="49"/>
      <c r="AZ85" s="49"/>
      <c r="BA85" s="49"/>
      <c r="BB85" s="49"/>
      <c r="BC85" s="49"/>
      <c r="BD85" s="49"/>
      <c r="BE85" s="49"/>
      <c r="BF85" s="49"/>
      <c r="BG85" s="599" t="s">
        <v>3447</v>
      </c>
      <c r="BH85" s="599"/>
      <c r="BI85" s="62" t="s">
        <v>2978</v>
      </c>
      <c r="BJ85" s="599" t="s">
        <v>3408</v>
      </c>
      <c r="BK85" s="599"/>
      <c r="BL85" s="62" t="s">
        <v>3092</v>
      </c>
      <c r="BM85" s="62" t="s">
        <v>3409</v>
      </c>
      <c r="BN85" s="49"/>
      <c r="BO85" s="49"/>
      <c r="BP85" s="49"/>
      <c r="BQ85" s="49"/>
      <c r="BR85" s="49"/>
      <c r="BS85" s="49"/>
      <c r="BT85" s="49"/>
      <c r="BU85" s="49"/>
      <c r="BV85" s="49"/>
      <c r="BW85" s="49"/>
      <c r="BX85" s="49"/>
      <c r="BY85" s="49"/>
      <c r="BZ85" s="49"/>
      <c r="CA85" s="49"/>
    </row>
    <row r="86" spans="1:79">
      <c r="A86" s="49"/>
      <c r="B86" s="49"/>
      <c r="C86" s="49"/>
      <c r="D86" s="49"/>
      <c r="E86" s="55"/>
      <c r="F86" s="49"/>
      <c r="G86" s="56"/>
      <c r="H86" s="49"/>
      <c r="I86" s="55"/>
      <c r="J86" s="49"/>
      <c r="K86" s="56"/>
      <c r="L86" s="49"/>
      <c r="M86" s="55"/>
      <c r="N86" s="49"/>
      <c r="O86" s="56"/>
      <c r="P86" s="49"/>
      <c r="Q86" s="49"/>
      <c r="R86" s="81" t="s">
        <v>3448</v>
      </c>
      <c r="S86" s="74"/>
      <c r="T86" s="81" t="s">
        <v>3449</v>
      </c>
      <c r="U86" s="62"/>
      <c r="V86" s="68"/>
      <c r="W86" s="68"/>
      <c r="X86" s="62"/>
      <c r="Y86" s="62"/>
      <c r="Z86" s="62"/>
      <c r="AA86" s="62"/>
      <c r="AB86" s="62">
        <v>0</v>
      </c>
      <c r="AC86" s="62">
        <v>100</v>
      </c>
      <c r="AD86" s="62">
        <v>250</v>
      </c>
      <c r="AE86" s="62"/>
      <c r="AF86" s="62">
        <v>0</v>
      </c>
      <c r="AG86" s="62">
        <v>150</v>
      </c>
      <c r="AH86" s="62">
        <v>300</v>
      </c>
      <c r="AI86" s="62"/>
      <c r="AJ86" s="62" t="s">
        <v>3450</v>
      </c>
      <c r="AK86" s="49" t="s">
        <v>3451</v>
      </c>
      <c r="AL86" s="49"/>
      <c r="AM86" s="49"/>
      <c r="AN86" s="49"/>
      <c r="AO86" s="49"/>
      <c r="AP86" s="49"/>
      <c r="AQ86" s="49"/>
      <c r="AR86" s="49"/>
      <c r="AS86" s="49"/>
      <c r="AT86" s="49"/>
      <c r="AU86" s="49"/>
      <c r="AV86" s="49"/>
      <c r="AW86" s="49"/>
      <c r="AX86" s="49"/>
      <c r="AY86" s="49"/>
      <c r="AZ86" s="49"/>
      <c r="BA86" s="49"/>
      <c r="BB86" s="49"/>
      <c r="BC86" s="49"/>
      <c r="BD86" s="49"/>
      <c r="BE86" s="49"/>
      <c r="BF86" s="49"/>
      <c r="BG86" s="599" t="s">
        <v>3452</v>
      </c>
      <c r="BH86" s="599"/>
      <c r="BI86" s="62" t="s">
        <v>2978</v>
      </c>
      <c r="BJ86" s="599" t="s">
        <v>3453</v>
      </c>
      <c r="BK86" s="599"/>
      <c r="BL86" s="62" t="s">
        <v>3092</v>
      </c>
      <c r="BM86" s="62" t="s">
        <v>3454</v>
      </c>
      <c r="BN86" s="49"/>
      <c r="BO86" s="49"/>
      <c r="BP86" s="49"/>
      <c r="BQ86" s="49"/>
      <c r="BR86" s="49"/>
      <c r="BS86" s="49"/>
      <c r="BT86" s="49"/>
      <c r="BU86" s="49"/>
      <c r="BV86" s="49"/>
      <c r="BW86" s="49"/>
      <c r="BX86" s="49"/>
      <c r="BY86" s="49"/>
      <c r="BZ86" s="49"/>
      <c r="CA86" s="49"/>
    </row>
    <row r="87" spans="1:79">
      <c r="A87" s="49"/>
      <c r="B87" s="49"/>
      <c r="C87" s="49"/>
      <c r="D87" s="49"/>
      <c r="E87" s="55"/>
      <c r="F87" s="57"/>
      <c r="G87" s="58"/>
      <c r="H87" s="49"/>
      <c r="I87" s="55"/>
      <c r="J87" s="57"/>
      <c r="K87" s="58"/>
      <c r="L87" s="49"/>
      <c r="M87" s="55"/>
      <c r="N87" s="57"/>
      <c r="O87" s="58"/>
      <c r="P87" s="49"/>
      <c r="Q87" s="49"/>
      <c r="R87" s="82" t="s">
        <v>3455</v>
      </c>
      <c r="S87" s="71"/>
      <c r="T87" s="82" t="s">
        <v>3456</v>
      </c>
      <c r="U87" s="62"/>
      <c r="V87" s="62"/>
      <c r="W87" s="62"/>
      <c r="X87" s="62"/>
      <c r="Y87" s="49"/>
      <c r="Z87" s="62"/>
      <c r="AA87" s="62"/>
      <c r="AB87" s="62">
        <v>10</v>
      </c>
      <c r="AC87" s="62">
        <v>50</v>
      </c>
      <c r="AD87" s="62">
        <v>120</v>
      </c>
      <c r="AE87" s="62"/>
      <c r="AF87" s="62">
        <v>150</v>
      </c>
      <c r="AG87" s="62">
        <v>250</v>
      </c>
      <c r="AH87" s="62">
        <v>400</v>
      </c>
      <c r="AI87" s="62"/>
      <c r="AJ87" s="62" t="s">
        <v>3457</v>
      </c>
      <c r="AK87" s="49" t="s">
        <v>3458</v>
      </c>
      <c r="AL87" s="49"/>
      <c r="AM87" s="49"/>
      <c r="AN87" s="49"/>
      <c r="AO87" s="49"/>
      <c r="AP87" s="49"/>
      <c r="AQ87" s="49"/>
      <c r="AR87" s="49"/>
      <c r="AS87" s="49"/>
      <c r="AT87" s="49"/>
      <c r="AU87" s="49"/>
      <c r="AV87" s="49"/>
      <c r="AW87" s="49"/>
      <c r="AX87" s="49"/>
      <c r="AY87" s="49"/>
      <c r="AZ87" s="49"/>
      <c r="BA87" s="49"/>
      <c r="BB87" s="49"/>
      <c r="BC87" s="49"/>
      <c r="BD87" s="49"/>
      <c r="BE87" s="49"/>
      <c r="BF87" s="49"/>
      <c r="BG87" s="599"/>
      <c r="BH87" s="599"/>
      <c r="BI87" s="62"/>
      <c r="BJ87" s="599"/>
      <c r="BK87" s="599"/>
      <c r="BL87" s="62"/>
      <c r="BM87" s="62"/>
      <c r="BN87" s="49"/>
      <c r="BO87" s="49"/>
      <c r="BP87" s="49"/>
      <c r="BQ87" s="49"/>
      <c r="BR87" s="49"/>
      <c r="BS87" s="49"/>
      <c r="BT87" s="49"/>
      <c r="BU87" s="49"/>
      <c r="BV87" s="49"/>
      <c r="BW87" s="49"/>
      <c r="BX87" s="49"/>
      <c r="BY87" s="49"/>
      <c r="BZ87" s="49"/>
      <c r="CA87" s="49"/>
    </row>
    <row r="88" spans="1:79">
      <c r="A88" s="49"/>
      <c r="B88" s="49"/>
      <c r="C88" s="49"/>
      <c r="D88" s="49"/>
      <c r="E88" s="613" t="s">
        <v>3459</v>
      </c>
      <c r="F88" s="614"/>
      <c r="G88" s="615"/>
      <c r="H88" s="49"/>
      <c r="I88" s="613" t="s">
        <v>3460</v>
      </c>
      <c r="J88" s="614"/>
      <c r="K88" s="615"/>
      <c r="L88" s="49"/>
      <c r="M88" s="613" t="s">
        <v>3461</v>
      </c>
      <c r="N88" s="614"/>
      <c r="O88" s="615"/>
      <c r="P88" s="49"/>
      <c r="Q88" s="49"/>
      <c r="R88" s="82" t="s">
        <v>3462</v>
      </c>
      <c r="S88" s="71"/>
      <c r="T88" s="82" t="s">
        <v>3463</v>
      </c>
      <c r="U88" s="62"/>
      <c r="V88" s="62"/>
      <c r="W88" s="79"/>
      <c r="X88" s="62"/>
      <c r="Y88" s="49"/>
      <c r="Z88" s="62"/>
      <c r="AA88" s="62"/>
      <c r="AB88" s="62">
        <v>10</v>
      </c>
      <c r="AC88" s="62">
        <v>50</v>
      </c>
      <c r="AD88" s="62">
        <v>120</v>
      </c>
      <c r="AE88" s="62"/>
      <c r="AF88" s="62">
        <v>150</v>
      </c>
      <c r="AG88" s="62">
        <v>250</v>
      </c>
      <c r="AH88" s="62">
        <v>400</v>
      </c>
      <c r="AI88" s="62"/>
      <c r="AJ88" s="62" t="s">
        <v>3464</v>
      </c>
      <c r="AK88" s="49" t="s">
        <v>3465</v>
      </c>
      <c r="AL88" s="49"/>
      <c r="AM88" s="49"/>
      <c r="AN88" s="49"/>
      <c r="AO88" s="49"/>
      <c r="AP88" s="49"/>
      <c r="AQ88" s="49"/>
      <c r="AR88" s="49"/>
      <c r="AS88" s="49"/>
      <c r="AT88" s="49"/>
      <c r="AU88" s="49"/>
      <c r="AV88" s="49"/>
      <c r="AW88" s="49"/>
      <c r="AX88" s="49"/>
      <c r="AY88" s="49"/>
      <c r="AZ88" s="49"/>
      <c r="BA88" s="49"/>
      <c r="BB88" s="49"/>
      <c r="BC88" s="49"/>
      <c r="BD88" s="49"/>
      <c r="BE88" s="49"/>
      <c r="BF88" s="49"/>
      <c r="BG88" s="49" t="s">
        <v>3466</v>
      </c>
      <c r="BH88" s="49"/>
      <c r="BI88" s="49"/>
      <c r="BJ88" s="49"/>
      <c r="BK88" s="49"/>
      <c r="BL88" s="49"/>
      <c r="BM88" s="49"/>
      <c r="BN88" s="49"/>
      <c r="BO88" s="49"/>
      <c r="BP88" s="49"/>
      <c r="BQ88" s="49"/>
      <c r="BR88" s="49"/>
      <c r="BS88" s="49"/>
      <c r="BT88" s="49"/>
      <c r="BU88" s="49"/>
      <c r="BV88" s="49"/>
      <c r="BW88" s="49"/>
      <c r="BX88" s="49"/>
      <c r="BY88" s="49"/>
      <c r="BZ88" s="49"/>
      <c r="CA88" s="49"/>
    </row>
    <row r="89" spans="1:79">
      <c r="A89" s="49"/>
      <c r="B89" s="49"/>
      <c r="C89" s="49"/>
      <c r="D89" s="49"/>
      <c r="E89" s="613"/>
      <c r="F89" s="614"/>
      <c r="G89" s="615"/>
      <c r="H89" s="49"/>
      <c r="I89" s="613"/>
      <c r="J89" s="614"/>
      <c r="K89" s="615"/>
      <c r="L89" s="49"/>
      <c r="M89" s="613"/>
      <c r="N89" s="614"/>
      <c r="O89" s="615"/>
      <c r="P89" s="49"/>
      <c r="Q89" s="49"/>
      <c r="R89" s="82" t="s">
        <v>3467</v>
      </c>
      <c r="S89" s="71"/>
      <c r="T89" s="82" t="s">
        <v>3468</v>
      </c>
      <c r="U89" s="62"/>
      <c r="V89" s="62"/>
      <c r="W89" s="79"/>
      <c r="X89" s="62"/>
      <c r="Y89" s="49"/>
      <c r="Z89" s="62"/>
      <c r="AA89" s="62"/>
      <c r="AB89" s="62">
        <v>10</v>
      </c>
      <c r="AC89" s="62">
        <v>30</v>
      </c>
      <c r="AD89" s="62">
        <v>90</v>
      </c>
      <c r="AE89" s="62"/>
      <c r="AF89" s="62">
        <v>150</v>
      </c>
      <c r="AG89" s="62">
        <v>250</v>
      </c>
      <c r="AH89" s="62">
        <v>400</v>
      </c>
      <c r="AI89" s="62"/>
      <c r="AJ89" s="62" t="s">
        <v>3469</v>
      </c>
      <c r="AK89" s="49" t="s">
        <v>3470</v>
      </c>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row>
    <row r="90" spans="1:79">
      <c r="A90" s="49"/>
      <c r="B90" s="49"/>
      <c r="C90" s="49"/>
      <c r="D90" s="49"/>
      <c r="E90" s="59" t="s">
        <v>3165</v>
      </c>
      <c r="F90" s="60"/>
      <c r="G90" s="61" t="s">
        <v>3022</v>
      </c>
      <c r="H90" s="49"/>
      <c r="I90" s="59" t="s">
        <v>3471</v>
      </c>
      <c r="J90" s="60"/>
      <c r="K90" s="61" t="s">
        <v>3472</v>
      </c>
      <c r="L90" s="49"/>
      <c r="M90" s="59" t="s">
        <v>3021</v>
      </c>
      <c r="N90" s="60"/>
      <c r="O90" s="61" t="s">
        <v>3022</v>
      </c>
      <c r="P90" s="49"/>
      <c r="Q90" s="49"/>
      <c r="R90" s="82" t="s">
        <v>3473</v>
      </c>
      <c r="S90" s="71"/>
      <c r="T90" s="82" t="s">
        <v>3474</v>
      </c>
      <c r="U90" s="62"/>
      <c r="V90" s="62"/>
      <c r="W90" s="79"/>
      <c r="X90" s="62"/>
      <c r="Y90" s="49"/>
      <c r="Z90" s="62"/>
      <c r="AA90" s="62"/>
      <c r="AB90" s="62">
        <v>5</v>
      </c>
      <c r="AC90" s="62">
        <v>15</v>
      </c>
      <c r="AD90" s="62">
        <v>45</v>
      </c>
      <c r="AE90" s="62"/>
      <c r="AF90" s="62">
        <v>150</v>
      </c>
      <c r="AG90" s="62">
        <v>250</v>
      </c>
      <c r="AH90" s="62">
        <v>400</v>
      </c>
      <c r="AI90" s="62"/>
      <c r="AJ90" s="62" t="s">
        <v>3475</v>
      </c>
      <c r="AK90" s="49" t="s">
        <v>3476</v>
      </c>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row>
    <row r="91" spans="1:79">
      <c r="A91" s="49"/>
      <c r="B91" s="49"/>
      <c r="C91" s="49"/>
      <c r="D91" s="49"/>
      <c r="E91" s="49"/>
      <c r="F91" s="49"/>
      <c r="G91" s="49"/>
      <c r="H91" s="49"/>
      <c r="I91" s="49"/>
      <c r="J91" s="49"/>
      <c r="K91" s="49"/>
      <c r="L91" s="49"/>
      <c r="M91" s="49"/>
      <c r="N91" s="49"/>
      <c r="O91" s="49"/>
      <c r="P91" s="49"/>
      <c r="Q91" s="49"/>
      <c r="R91" s="82" t="s">
        <v>3477</v>
      </c>
      <c r="S91" s="71"/>
      <c r="T91" s="82" t="s">
        <v>3478</v>
      </c>
      <c r="U91" s="62"/>
      <c r="V91" s="62"/>
      <c r="W91" s="62"/>
      <c r="X91" s="62"/>
      <c r="Y91" s="49"/>
      <c r="Z91" s="62"/>
      <c r="AA91" s="62"/>
      <c r="AB91" s="62">
        <v>3</v>
      </c>
      <c r="AC91" s="62">
        <v>7</v>
      </c>
      <c r="AD91" s="62">
        <v>15</v>
      </c>
      <c r="AE91" s="62"/>
      <c r="AF91" s="62">
        <v>150</v>
      </c>
      <c r="AG91" s="62">
        <v>300</v>
      </c>
      <c r="AH91" s="62">
        <v>600</v>
      </c>
      <c r="AI91" s="62"/>
      <c r="AJ91" s="62" t="s">
        <v>3479</v>
      </c>
      <c r="AK91" s="49" t="s">
        <v>3480</v>
      </c>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row>
    <row r="92" spans="1:79">
      <c r="A92" s="49"/>
      <c r="B92" s="49"/>
      <c r="C92" s="49"/>
      <c r="D92" s="49"/>
      <c r="E92" s="49"/>
      <c r="F92" s="49"/>
      <c r="G92" s="49"/>
      <c r="H92" s="49"/>
      <c r="I92" s="49"/>
      <c r="J92" s="49"/>
      <c r="K92" s="49"/>
      <c r="L92" s="49"/>
      <c r="M92" s="49"/>
      <c r="N92" s="49"/>
      <c r="O92" s="49"/>
      <c r="P92" s="49"/>
      <c r="Q92" s="49"/>
      <c r="R92" s="82" t="s">
        <v>3481</v>
      </c>
      <c r="S92" s="71"/>
      <c r="T92" s="82" t="s">
        <v>3482</v>
      </c>
      <c r="U92" s="62"/>
      <c r="V92" s="62"/>
      <c r="W92" s="79"/>
      <c r="X92" s="62"/>
      <c r="Y92" s="49"/>
      <c r="Z92" s="62"/>
      <c r="AA92" s="62"/>
      <c r="AB92" s="62">
        <v>2</v>
      </c>
      <c r="AC92" s="62">
        <v>4</v>
      </c>
      <c r="AD92" s="62">
        <v>8</v>
      </c>
      <c r="AE92" s="62"/>
      <c r="AF92" s="62">
        <v>150</v>
      </c>
      <c r="AG92" s="62">
        <v>300</v>
      </c>
      <c r="AH92" s="62">
        <v>600</v>
      </c>
      <c r="AI92" s="62"/>
      <c r="AJ92" s="62" t="s">
        <v>3483</v>
      </c>
      <c r="AK92" s="49" t="s">
        <v>3484</v>
      </c>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row>
    <row r="93" spans="1:79">
      <c r="A93" s="49"/>
      <c r="B93" s="49"/>
      <c r="C93" s="49"/>
      <c r="D93" s="49"/>
      <c r="E93" s="49"/>
      <c r="F93" s="49"/>
      <c r="G93" s="49"/>
      <c r="H93" s="49"/>
      <c r="I93" s="49"/>
      <c r="J93" s="49"/>
      <c r="K93" s="49"/>
      <c r="L93" s="49"/>
      <c r="M93" s="49"/>
      <c r="N93" s="49"/>
      <c r="O93" s="49"/>
      <c r="P93" s="49"/>
      <c r="Q93" s="49"/>
      <c r="R93" s="82" t="s">
        <v>3485</v>
      </c>
      <c r="S93" s="71"/>
      <c r="T93" s="82" t="s">
        <v>3486</v>
      </c>
      <c r="U93" s="62"/>
      <c r="V93" s="62"/>
      <c r="W93" s="79"/>
      <c r="X93" s="62"/>
      <c r="Y93" s="49"/>
      <c r="Z93" s="62"/>
      <c r="AA93" s="62"/>
      <c r="AB93" s="62">
        <v>5</v>
      </c>
      <c r="AC93" s="62">
        <v>10</v>
      </c>
      <c r="AD93" s="62">
        <v>20</v>
      </c>
      <c r="AE93" s="62"/>
      <c r="AF93" s="62">
        <v>150</v>
      </c>
      <c r="AG93" s="62">
        <v>300</v>
      </c>
      <c r="AH93" s="62">
        <v>600</v>
      </c>
      <c r="AI93" s="62"/>
      <c r="AJ93" s="62" t="s">
        <v>3487</v>
      </c>
      <c r="AK93" s="49" t="s">
        <v>3488</v>
      </c>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row>
    <row r="94" spans="1:79">
      <c r="A94" s="49"/>
      <c r="B94" s="49"/>
      <c r="C94" s="49"/>
      <c r="D94" s="49"/>
      <c r="E94" s="49"/>
      <c r="F94" s="49"/>
      <c r="G94" s="49"/>
      <c r="H94" s="49"/>
      <c r="I94" s="49"/>
      <c r="J94" s="49"/>
      <c r="K94" s="49"/>
      <c r="L94" s="49"/>
      <c r="M94" s="49"/>
      <c r="N94" s="49"/>
      <c r="O94" s="49"/>
      <c r="P94" s="49"/>
      <c r="Q94" s="49"/>
      <c r="R94" s="82" t="s">
        <v>3489</v>
      </c>
      <c r="S94" s="71"/>
      <c r="T94" s="82" t="s">
        <v>3490</v>
      </c>
      <c r="U94" s="62"/>
      <c r="V94" s="62"/>
      <c r="W94" s="79"/>
      <c r="X94" s="62"/>
      <c r="Y94" s="49"/>
      <c r="Z94" s="62"/>
      <c r="AA94" s="62"/>
      <c r="AB94" s="62">
        <v>4</v>
      </c>
      <c r="AC94" s="62">
        <v>8</v>
      </c>
      <c r="AD94" s="62">
        <v>16</v>
      </c>
      <c r="AE94" s="62"/>
      <c r="AF94" s="62">
        <v>150</v>
      </c>
      <c r="AG94" s="62">
        <v>300</v>
      </c>
      <c r="AH94" s="62">
        <v>600</v>
      </c>
      <c r="AI94" s="62"/>
      <c r="AJ94" s="62" t="s">
        <v>3491</v>
      </c>
      <c r="AK94" s="49" t="s">
        <v>3492</v>
      </c>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row>
    <row r="95" spans="1:79">
      <c r="A95" s="49"/>
      <c r="B95" s="49"/>
      <c r="C95" s="49"/>
      <c r="D95" s="49"/>
      <c r="E95" s="49"/>
      <c r="F95" s="49"/>
      <c r="G95" s="49"/>
      <c r="H95" s="49"/>
      <c r="I95" s="49"/>
      <c r="J95" s="49"/>
      <c r="K95" s="49"/>
      <c r="L95" s="49"/>
      <c r="M95" s="49"/>
      <c r="N95" s="49"/>
      <c r="O95" s="49"/>
      <c r="P95" s="49"/>
      <c r="Q95" s="49"/>
      <c r="R95" s="82" t="s">
        <v>3493</v>
      </c>
      <c r="S95" s="71"/>
      <c r="T95" s="82" t="s">
        <v>3494</v>
      </c>
      <c r="U95" s="62"/>
      <c r="V95" s="62"/>
      <c r="W95" s="62"/>
      <c r="X95" s="62"/>
      <c r="Y95" s="49"/>
      <c r="Z95" s="62"/>
      <c r="AA95" s="62"/>
      <c r="AB95" s="62">
        <v>2</v>
      </c>
      <c r="AC95" s="62">
        <v>4</v>
      </c>
      <c r="AD95" s="62">
        <v>8</v>
      </c>
      <c r="AE95" s="62"/>
      <c r="AF95" s="62">
        <v>150</v>
      </c>
      <c r="AG95" s="62">
        <v>300</v>
      </c>
      <c r="AH95" s="62">
        <v>600</v>
      </c>
      <c r="AI95" s="62"/>
      <c r="AJ95" s="62" t="s">
        <v>3495</v>
      </c>
      <c r="AK95" s="49" t="s">
        <v>3496</v>
      </c>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row>
    <row r="96" spans="1:79">
      <c r="A96" s="49"/>
      <c r="B96" s="49"/>
      <c r="C96" s="49"/>
      <c r="D96" s="49"/>
      <c r="E96" s="49"/>
      <c r="F96" s="49"/>
      <c r="G96" s="49"/>
      <c r="H96" s="49"/>
      <c r="I96" s="49"/>
      <c r="J96" s="49"/>
      <c r="K96" s="49"/>
      <c r="L96" s="49"/>
      <c r="M96" s="49"/>
      <c r="N96" s="49"/>
      <c r="O96" s="49"/>
      <c r="P96" s="49"/>
      <c r="Q96" s="49"/>
      <c r="R96" s="82" t="s">
        <v>3497</v>
      </c>
      <c r="S96" s="71"/>
      <c r="T96" s="82" t="s">
        <v>3498</v>
      </c>
      <c r="U96" s="62"/>
      <c r="V96" s="62"/>
      <c r="W96" s="79"/>
      <c r="X96" s="62"/>
      <c r="Y96" s="49"/>
      <c r="Z96" s="62"/>
      <c r="AA96" s="62"/>
      <c r="AB96" s="62">
        <v>6</v>
      </c>
      <c r="AC96" s="62">
        <v>12</v>
      </c>
      <c r="AD96" s="62">
        <v>20</v>
      </c>
      <c r="AE96" s="62"/>
      <c r="AF96" s="62">
        <v>150</v>
      </c>
      <c r="AG96" s="62">
        <v>300</v>
      </c>
      <c r="AH96" s="62">
        <v>600</v>
      </c>
      <c r="AI96" s="62"/>
      <c r="AJ96" s="62" t="s">
        <v>3499</v>
      </c>
      <c r="AK96" s="49" t="s">
        <v>3500</v>
      </c>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row>
    <row r="97" spans="1:79">
      <c r="A97" s="49"/>
      <c r="B97" s="49"/>
      <c r="C97" s="49"/>
      <c r="D97" s="550" t="s">
        <v>3501</v>
      </c>
      <c r="E97" s="550"/>
      <c r="F97" s="49"/>
      <c r="G97" s="49"/>
      <c r="H97" s="49"/>
      <c r="I97" s="49"/>
      <c r="J97" s="49"/>
      <c r="K97" s="49"/>
      <c r="L97" s="49"/>
      <c r="M97" s="49"/>
      <c r="N97" s="49"/>
      <c r="O97" s="49"/>
      <c r="P97" s="49"/>
      <c r="Q97" s="49"/>
      <c r="R97" s="82" t="s">
        <v>3502</v>
      </c>
      <c r="S97" s="71"/>
      <c r="T97" s="82" t="s">
        <v>3503</v>
      </c>
      <c r="U97" s="62"/>
      <c r="V97" s="62"/>
      <c r="W97" s="79"/>
      <c r="X97" s="62"/>
      <c r="Y97" s="49"/>
      <c r="Z97" s="62"/>
      <c r="AA97" s="62"/>
      <c r="AB97" s="62">
        <v>5</v>
      </c>
      <c r="AC97" s="62">
        <v>10</v>
      </c>
      <c r="AD97" s="62">
        <v>20</v>
      </c>
      <c r="AE97" s="62"/>
      <c r="AF97" s="62">
        <v>150</v>
      </c>
      <c r="AG97" s="62">
        <v>300</v>
      </c>
      <c r="AH97" s="62">
        <v>600</v>
      </c>
      <c r="AI97" s="62"/>
      <c r="AJ97" s="62" t="s">
        <v>3504</v>
      </c>
      <c r="AK97" s="49" t="s">
        <v>3505</v>
      </c>
      <c r="AL97" s="49"/>
      <c r="AM97" s="49"/>
      <c r="AN97" s="49"/>
      <c r="AO97" s="49"/>
      <c r="AP97" s="49"/>
      <c r="AQ97" s="49"/>
      <c r="AR97" s="49"/>
      <c r="AS97" s="49"/>
      <c r="AT97" s="49"/>
      <c r="AU97" s="49"/>
      <c r="AV97" s="49"/>
      <c r="AW97" s="49"/>
      <c r="AX97" s="49"/>
      <c r="AY97" s="49"/>
      <c r="AZ97" s="49"/>
      <c r="BA97" s="49"/>
      <c r="BB97" s="49"/>
      <c r="BC97" s="49"/>
      <c r="BD97" s="49"/>
      <c r="BE97" s="49"/>
      <c r="BF97" s="49"/>
      <c r="BG97" s="550" t="s">
        <v>3506</v>
      </c>
      <c r="BH97" s="550"/>
      <c r="BI97" s="49"/>
      <c r="BJ97" s="49"/>
      <c r="BK97" s="49"/>
      <c r="BL97" s="49"/>
      <c r="BM97" s="49"/>
      <c r="BN97" s="49"/>
      <c r="BO97" s="49"/>
      <c r="BP97" s="49"/>
      <c r="BQ97" s="49"/>
      <c r="BR97" s="49"/>
      <c r="BS97" s="49"/>
      <c r="BT97" s="49"/>
      <c r="BU97" s="49"/>
      <c r="BV97" s="49"/>
      <c r="BW97" s="49"/>
      <c r="BX97" s="49"/>
      <c r="BY97" s="49"/>
      <c r="BZ97" s="49"/>
      <c r="CA97" s="49"/>
    </row>
    <row r="98" spans="1:79">
      <c r="A98" s="49"/>
      <c r="B98" s="49"/>
      <c r="C98" s="49"/>
      <c r="D98" s="551"/>
      <c r="E98" s="551"/>
      <c r="F98" s="50"/>
      <c r="G98" s="50"/>
      <c r="H98" s="50"/>
      <c r="I98" s="50"/>
      <c r="J98" s="50"/>
      <c r="K98" s="50"/>
      <c r="L98" s="50"/>
      <c r="M98" s="50"/>
      <c r="N98" s="50"/>
      <c r="O98" s="50"/>
      <c r="P98" s="50"/>
      <c r="Q98" s="49"/>
      <c r="R98" s="82" t="s">
        <v>3507</v>
      </c>
      <c r="S98" s="71"/>
      <c r="T98" s="82" t="s">
        <v>3508</v>
      </c>
      <c r="U98" s="62"/>
      <c r="V98" s="62"/>
      <c r="W98" s="79"/>
      <c r="X98" s="62"/>
      <c r="Y98" s="49"/>
      <c r="Z98" s="62"/>
      <c r="AA98" s="62"/>
      <c r="AB98" s="62">
        <v>1</v>
      </c>
      <c r="AC98" s="62">
        <v>2</v>
      </c>
      <c r="AD98" s="62">
        <v>4</v>
      </c>
      <c r="AE98" s="62"/>
      <c r="AF98" s="62">
        <v>200</v>
      </c>
      <c r="AG98" s="62">
        <v>400</v>
      </c>
      <c r="AH98" s="62">
        <v>800</v>
      </c>
      <c r="AI98" s="62"/>
      <c r="AJ98" s="62" t="s">
        <v>3509</v>
      </c>
      <c r="AK98" s="49" t="s">
        <v>3510</v>
      </c>
      <c r="AL98" s="49"/>
      <c r="AM98" s="49"/>
      <c r="AN98" s="49"/>
      <c r="AO98" s="49"/>
      <c r="AP98" s="49"/>
      <c r="AQ98" s="49"/>
      <c r="AR98" s="49"/>
      <c r="AS98" s="49"/>
      <c r="AT98" s="49"/>
      <c r="AU98" s="49"/>
      <c r="AV98" s="49"/>
      <c r="AW98" s="49"/>
      <c r="AX98" s="49"/>
      <c r="AY98" s="49"/>
      <c r="AZ98" s="49"/>
      <c r="BA98" s="49"/>
      <c r="BB98" s="49"/>
      <c r="BC98" s="49"/>
      <c r="BD98" s="49"/>
      <c r="BE98" s="49"/>
      <c r="BF98" s="49"/>
      <c r="BG98" s="551"/>
      <c r="BH98" s="551"/>
      <c r="BI98" s="50"/>
      <c r="BJ98" s="50"/>
      <c r="BK98" s="50"/>
      <c r="BL98" s="50"/>
      <c r="BM98" s="50"/>
      <c r="BN98" s="50"/>
      <c r="BO98" s="50"/>
      <c r="BP98" s="50"/>
      <c r="BQ98" s="50"/>
      <c r="BR98" s="50"/>
      <c r="BS98" s="50"/>
      <c r="BT98" s="50"/>
      <c r="BU98" s="50"/>
      <c r="BV98" s="50"/>
      <c r="BW98" s="50"/>
      <c r="BX98" s="49"/>
      <c r="BY98" s="49"/>
      <c r="BZ98" s="49"/>
      <c r="CA98" s="49"/>
    </row>
    <row r="99" spans="1:79">
      <c r="A99" s="49"/>
      <c r="B99" s="49"/>
      <c r="C99" s="49"/>
      <c r="D99" s="49" t="s">
        <v>3511</v>
      </c>
      <c r="E99" s="49"/>
      <c r="F99" s="49"/>
      <c r="G99" s="49"/>
      <c r="H99" s="49"/>
      <c r="I99" s="49"/>
      <c r="J99" s="49"/>
      <c r="K99" s="49"/>
      <c r="L99" s="49"/>
      <c r="M99" s="49"/>
      <c r="N99" s="49"/>
      <c r="O99" s="49"/>
      <c r="P99" s="49"/>
      <c r="Q99" s="49"/>
      <c r="R99" s="82" t="s">
        <v>3512</v>
      </c>
      <c r="S99" s="71"/>
      <c r="T99" s="82" t="s">
        <v>3513</v>
      </c>
      <c r="U99" s="62"/>
      <c r="V99" s="62"/>
      <c r="W99" s="62"/>
      <c r="X99" s="62"/>
      <c r="Y99" s="49"/>
      <c r="Z99" s="62"/>
      <c r="AA99" s="62"/>
      <c r="AB99" s="62">
        <v>3</v>
      </c>
      <c r="AC99" s="62">
        <v>6</v>
      </c>
      <c r="AD99" s="62">
        <v>12</v>
      </c>
      <c r="AE99" s="62"/>
      <c r="AF99" s="62">
        <v>150</v>
      </c>
      <c r="AG99" s="62">
        <v>300</v>
      </c>
      <c r="AH99" s="62">
        <v>600</v>
      </c>
      <c r="AI99" s="62"/>
      <c r="AJ99" s="62" t="s">
        <v>3514</v>
      </c>
      <c r="AK99" s="49" t="s">
        <v>3515</v>
      </c>
      <c r="AL99" s="49"/>
      <c r="AM99" s="49"/>
      <c r="AN99" s="49"/>
      <c r="AO99" s="49"/>
      <c r="AP99" s="49"/>
      <c r="AQ99" s="49"/>
      <c r="AR99" s="49"/>
      <c r="AS99" s="49"/>
      <c r="AT99" s="49"/>
      <c r="AU99" s="49"/>
      <c r="AV99" s="49"/>
      <c r="AW99" s="49"/>
      <c r="AX99" s="49"/>
      <c r="AY99" s="49"/>
      <c r="AZ99" s="49"/>
      <c r="BA99" s="49"/>
      <c r="BB99" s="49"/>
      <c r="BC99" s="49"/>
      <c r="BD99" s="49"/>
      <c r="BE99" s="49"/>
      <c r="BF99" s="49"/>
      <c r="BG99" s="49" t="s">
        <v>3516</v>
      </c>
      <c r="BH99" s="49"/>
      <c r="BI99" s="49"/>
      <c r="BJ99" s="49"/>
      <c r="BK99" s="49"/>
      <c r="BL99" s="49"/>
      <c r="BM99" s="49"/>
      <c r="BN99" s="49"/>
      <c r="BO99" s="49"/>
      <c r="BP99" s="49"/>
      <c r="BQ99" s="49"/>
      <c r="BR99" s="49"/>
      <c r="BS99" s="49"/>
      <c r="BT99" s="49"/>
      <c r="BU99" s="49"/>
      <c r="BV99" s="49"/>
      <c r="BW99" s="49"/>
      <c r="BX99" s="49"/>
      <c r="BY99" s="49"/>
      <c r="BZ99" s="49"/>
      <c r="CA99" s="49"/>
    </row>
    <row r="100" spans="1:79">
      <c r="A100" s="49"/>
      <c r="B100" s="49"/>
      <c r="C100" s="49"/>
      <c r="D100" s="49"/>
      <c r="E100" s="49"/>
      <c r="F100" s="49"/>
      <c r="G100" s="49"/>
      <c r="H100" s="49"/>
      <c r="I100" s="49"/>
      <c r="J100" s="49"/>
      <c r="K100" s="49"/>
      <c r="L100" s="49"/>
      <c r="M100" s="49"/>
      <c r="N100" s="49"/>
      <c r="O100" s="49"/>
      <c r="P100" s="49"/>
      <c r="Q100" s="49"/>
      <c r="R100" s="82" t="s">
        <v>3517</v>
      </c>
      <c r="S100" s="71"/>
      <c r="T100" s="82" t="s">
        <v>3518</v>
      </c>
      <c r="U100" s="62"/>
      <c r="V100" s="62"/>
      <c r="W100" s="79"/>
      <c r="X100" s="62"/>
      <c r="Y100" s="49"/>
      <c r="Z100" s="62"/>
      <c r="AA100" s="62"/>
      <c r="AB100" s="62">
        <v>1</v>
      </c>
      <c r="AC100" s="62">
        <v>2</v>
      </c>
      <c r="AD100" s="62">
        <v>4</v>
      </c>
      <c r="AE100" s="62"/>
      <c r="AF100" s="62">
        <v>200</v>
      </c>
      <c r="AG100" s="62">
        <v>400</v>
      </c>
      <c r="AH100" s="62">
        <v>800</v>
      </c>
      <c r="AI100" s="62"/>
      <c r="AJ100" s="62" t="s">
        <v>3519</v>
      </c>
      <c r="AK100" s="49" t="s">
        <v>3520</v>
      </c>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t="s">
        <v>231</v>
      </c>
      <c r="BH100" s="49"/>
      <c r="BI100" s="49"/>
      <c r="BJ100" s="49"/>
      <c r="BK100" s="49"/>
      <c r="BL100" s="49"/>
      <c r="BM100" s="49"/>
      <c r="BN100" s="49"/>
      <c r="BO100" s="49"/>
      <c r="BP100" s="49"/>
      <c r="BQ100" s="49"/>
      <c r="BR100" s="49"/>
      <c r="BS100" s="49"/>
      <c r="BT100" s="49"/>
      <c r="BU100" s="49"/>
      <c r="BV100" s="49"/>
      <c r="BW100" s="49"/>
      <c r="BX100" s="49"/>
      <c r="BY100" s="49"/>
      <c r="BZ100" s="49"/>
      <c r="CA100" s="49"/>
    </row>
    <row r="101" spans="1:79">
      <c r="A101" s="49"/>
      <c r="B101" s="49"/>
      <c r="C101" s="49"/>
      <c r="D101" s="611" t="s">
        <v>3521</v>
      </c>
      <c r="E101" s="611"/>
      <c r="F101" s="611"/>
      <c r="G101" s="70" t="s">
        <v>3522</v>
      </c>
      <c r="H101" s="62"/>
      <c r="I101" s="71"/>
      <c r="J101" s="49"/>
      <c r="K101" s="49"/>
      <c r="L101" s="49"/>
      <c r="M101" s="49"/>
      <c r="N101" s="62"/>
      <c r="O101" s="62"/>
      <c r="P101" s="62"/>
      <c r="Q101" s="49"/>
      <c r="R101" s="82" t="s">
        <v>3523</v>
      </c>
      <c r="S101" s="71"/>
      <c r="T101" s="82" t="s">
        <v>3524</v>
      </c>
      <c r="U101" s="62"/>
      <c r="V101" s="62"/>
      <c r="W101" s="79"/>
      <c r="X101" s="62"/>
      <c r="Y101" s="49"/>
      <c r="Z101" s="62"/>
      <c r="AA101" s="62"/>
      <c r="AB101" s="62">
        <v>1</v>
      </c>
      <c r="AC101" s="62">
        <v>2</v>
      </c>
      <c r="AD101" s="62">
        <v>4</v>
      </c>
      <c r="AE101" s="62"/>
      <c r="AF101" s="62">
        <v>150</v>
      </c>
      <c r="AG101" s="62">
        <v>300</v>
      </c>
      <c r="AH101" s="62">
        <v>600</v>
      </c>
      <c r="AI101" s="62"/>
      <c r="AJ101" s="62" t="s">
        <v>3525</v>
      </c>
      <c r="AK101" s="49" t="s">
        <v>3526</v>
      </c>
      <c r="AL101" s="49"/>
      <c r="AM101" s="49"/>
      <c r="AN101" s="49"/>
      <c r="AO101" s="49"/>
      <c r="AP101" s="49"/>
      <c r="AQ101" s="49"/>
      <c r="AR101" s="49"/>
      <c r="AS101" s="49"/>
      <c r="AT101" s="49"/>
      <c r="AU101" s="49"/>
      <c r="AV101" s="49"/>
      <c r="AW101" s="49"/>
      <c r="AX101" s="49"/>
      <c r="AY101" s="49"/>
      <c r="AZ101" s="49"/>
      <c r="BA101" s="49"/>
      <c r="BB101" s="49"/>
      <c r="BC101" s="49"/>
      <c r="BD101" s="49"/>
      <c r="BE101" s="49"/>
      <c r="BF101" s="54"/>
      <c r="BG101" s="49" t="s">
        <v>3527</v>
      </c>
      <c r="BH101" s="49"/>
      <c r="BI101" s="49"/>
      <c r="BJ101" s="49"/>
      <c r="BK101" s="49"/>
      <c r="BL101" s="49"/>
      <c r="BM101" s="49"/>
      <c r="BN101" s="49"/>
      <c r="BO101" s="49"/>
      <c r="BP101" s="49"/>
      <c r="BQ101" s="49"/>
      <c r="BR101" s="49"/>
      <c r="BS101" s="49"/>
      <c r="BT101" s="49"/>
      <c r="BU101" s="49"/>
      <c r="BV101" s="49"/>
      <c r="BW101" s="49"/>
      <c r="BX101" s="49"/>
      <c r="BY101" s="49"/>
      <c r="BZ101" s="49"/>
      <c r="CA101" s="49"/>
    </row>
    <row r="102" spans="1:79">
      <c r="A102" s="49"/>
      <c r="B102" s="49"/>
      <c r="C102" s="49"/>
      <c r="D102" s="612"/>
      <c r="E102" s="612"/>
      <c r="F102" s="612"/>
      <c r="G102" s="72" t="s">
        <v>3528</v>
      </c>
      <c r="H102" s="66"/>
      <c r="I102" s="73"/>
      <c r="J102" s="67"/>
      <c r="K102" s="67"/>
      <c r="L102" s="67"/>
      <c r="M102" s="67"/>
      <c r="N102" s="67"/>
      <c r="O102" s="62"/>
      <c r="P102" s="49"/>
      <c r="Q102" s="49"/>
      <c r="R102" s="82" t="s">
        <v>3529</v>
      </c>
      <c r="S102" s="71"/>
      <c r="T102" s="82" t="s">
        <v>3530</v>
      </c>
      <c r="U102" s="62"/>
      <c r="V102" s="62"/>
      <c r="W102" s="79"/>
      <c r="X102" s="62"/>
      <c r="Y102" s="49"/>
      <c r="Z102" s="62"/>
      <c r="AA102" s="62"/>
      <c r="AB102" s="62">
        <v>1</v>
      </c>
      <c r="AC102" s="62">
        <v>2</v>
      </c>
      <c r="AD102" s="62">
        <v>4</v>
      </c>
      <c r="AE102" s="62"/>
      <c r="AF102" s="62">
        <v>200</v>
      </c>
      <c r="AG102" s="62">
        <v>400</v>
      </c>
      <c r="AH102" s="62">
        <v>800</v>
      </c>
      <c r="AI102" s="62"/>
      <c r="AJ102" s="62" t="s">
        <v>3531</v>
      </c>
      <c r="AK102" s="49" t="s">
        <v>3532</v>
      </c>
      <c r="AL102" s="49"/>
      <c r="AM102" s="49"/>
      <c r="AN102" s="49"/>
      <c r="AO102" s="49"/>
      <c r="AP102" s="49"/>
      <c r="AQ102" s="49"/>
      <c r="AR102" s="49"/>
      <c r="AS102" s="49"/>
      <c r="AT102" s="49"/>
      <c r="AU102" s="49"/>
      <c r="AV102" s="49"/>
      <c r="AW102" s="49"/>
      <c r="AX102" s="49"/>
      <c r="AY102" s="49"/>
      <c r="AZ102" s="49"/>
      <c r="BA102" s="49"/>
      <c r="BB102" s="49"/>
      <c r="BC102" s="49"/>
      <c r="BD102" s="49"/>
      <c r="BE102" s="49"/>
      <c r="BF102" s="54"/>
      <c r="BG102" s="49" t="s">
        <v>3533</v>
      </c>
      <c r="BH102" s="49"/>
      <c r="BI102" s="49" t="s">
        <v>3534</v>
      </c>
      <c r="BJ102" s="49"/>
      <c r="BK102" s="49" t="s">
        <v>3535</v>
      </c>
      <c r="BL102" s="49"/>
      <c r="BM102" s="49"/>
      <c r="BN102" s="49"/>
      <c r="BO102" s="49"/>
      <c r="BP102" s="49"/>
      <c r="BQ102" s="49"/>
      <c r="BR102" s="49"/>
      <c r="BS102" s="49"/>
      <c r="BT102" s="49"/>
      <c r="BU102" s="49"/>
      <c r="BV102" s="49"/>
      <c r="BW102" s="49"/>
      <c r="BX102" s="49"/>
      <c r="BY102" s="49"/>
      <c r="BZ102" s="49"/>
      <c r="CA102" s="49"/>
    </row>
    <row r="103" spans="1:79">
      <c r="A103" s="49"/>
      <c r="B103" s="49"/>
      <c r="C103" s="49"/>
      <c r="D103" s="68" t="s">
        <v>3536</v>
      </c>
      <c r="E103" s="68" t="s">
        <v>3537</v>
      </c>
      <c r="F103" s="68"/>
      <c r="G103" s="68"/>
      <c r="H103" s="68"/>
      <c r="I103" s="74"/>
      <c r="J103" s="75"/>
      <c r="K103" s="75"/>
      <c r="L103" s="75"/>
      <c r="M103" s="75"/>
      <c r="N103" s="75"/>
      <c r="O103" s="62"/>
      <c r="P103" s="49"/>
      <c r="Q103" s="49"/>
      <c r="R103" s="82" t="s">
        <v>3538</v>
      </c>
      <c r="S103" s="71"/>
      <c r="T103" s="82" t="s">
        <v>3539</v>
      </c>
      <c r="U103" s="62"/>
      <c r="V103" s="62"/>
      <c r="W103" s="62"/>
      <c r="X103" s="62"/>
      <c r="Y103" s="49"/>
      <c r="Z103" s="62"/>
      <c r="AA103" s="62"/>
      <c r="AB103" s="62">
        <v>5</v>
      </c>
      <c r="AC103" s="62">
        <v>10</v>
      </c>
      <c r="AD103" s="62">
        <v>20</v>
      </c>
      <c r="AE103" s="62"/>
      <c r="AF103" s="62">
        <v>150</v>
      </c>
      <c r="AG103" s="62">
        <v>300</v>
      </c>
      <c r="AH103" s="62">
        <v>600</v>
      </c>
      <c r="AI103" s="62"/>
      <c r="AJ103" s="62" t="s">
        <v>3540</v>
      </c>
      <c r="AK103" s="49" t="s">
        <v>3541</v>
      </c>
      <c r="AL103" s="49"/>
      <c r="AM103" s="49"/>
      <c r="AN103" s="49"/>
      <c r="AO103" s="49"/>
      <c r="AP103" s="49"/>
      <c r="AQ103" s="49"/>
      <c r="AR103" s="49"/>
      <c r="AS103" s="49"/>
      <c r="AT103" s="49"/>
      <c r="AU103" s="49"/>
      <c r="AV103" s="49"/>
      <c r="AW103" s="49"/>
      <c r="AX103" s="49"/>
      <c r="AY103" s="49"/>
      <c r="AZ103" s="49"/>
      <c r="BA103" s="49"/>
      <c r="BB103" s="49"/>
      <c r="BC103" s="49"/>
      <c r="BD103" s="49"/>
      <c r="BE103" s="49"/>
      <c r="BF103" s="54"/>
      <c r="BG103" s="49" t="s">
        <v>3542</v>
      </c>
      <c r="BH103" s="49"/>
      <c r="BI103" s="84" t="s">
        <v>242</v>
      </c>
      <c r="BJ103" s="85"/>
      <c r="BK103" s="65" t="s">
        <v>243</v>
      </c>
      <c r="BL103" s="65" t="s">
        <v>244</v>
      </c>
      <c r="BM103" s="65" t="s">
        <v>245</v>
      </c>
      <c r="BN103" s="65" t="s">
        <v>3543</v>
      </c>
      <c r="BO103" s="101"/>
      <c r="BP103" s="101"/>
      <c r="BQ103" s="101"/>
      <c r="BR103" s="49"/>
      <c r="BS103" s="49"/>
      <c r="BT103" s="49"/>
      <c r="BU103" s="49"/>
      <c r="BV103" s="49"/>
      <c r="BW103" s="49"/>
      <c r="BX103" s="49"/>
      <c r="BY103" s="49"/>
      <c r="BZ103" s="49"/>
      <c r="CA103" s="49"/>
    </row>
    <row r="104" spans="1:79">
      <c r="A104" s="49"/>
      <c r="B104" s="49"/>
      <c r="C104" s="49"/>
      <c r="D104" s="70"/>
      <c r="E104" s="70"/>
      <c r="F104" s="70"/>
      <c r="G104" s="70"/>
      <c r="H104" s="70"/>
      <c r="I104" s="70"/>
      <c r="J104" s="70"/>
      <c r="K104" s="70"/>
      <c r="L104" s="70"/>
      <c r="M104" s="70"/>
      <c r="N104" s="70"/>
      <c r="O104" s="62"/>
      <c r="P104" s="49"/>
      <c r="Q104" s="49"/>
      <c r="R104" s="82" t="s">
        <v>3544</v>
      </c>
      <c r="S104" s="71"/>
      <c r="T104" s="82" t="s">
        <v>3545</v>
      </c>
      <c r="U104" s="62"/>
      <c r="V104" s="62"/>
      <c r="W104" s="79"/>
      <c r="X104" s="62"/>
      <c r="Y104" s="49"/>
      <c r="Z104" s="62"/>
      <c r="AA104" s="62"/>
      <c r="AB104" s="62">
        <v>3</v>
      </c>
      <c r="AC104" s="62">
        <v>6</v>
      </c>
      <c r="AD104" s="62">
        <v>12</v>
      </c>
      <c r="AE104" s="62"/>
      <c r="AF104" s="62">
        <v>150</v>
      </c>
      <c r="AG104" s="62">
        <v>300</v>
      </c>
      <c r="AH104" s="62">
        <v>600</v>
      </c>
      <c r="AI104" s="62"/>
      <c r="AJ104" s="62" t="s">
        <v>3546</v>
      </c>
      <c r="AK104" s="49" t="s">
        <v>3547</v>
      </c>
      <c r="AL104" s="49"/>
      <c r="AM104" s="49"/>
      <c r="AN104" s="49"/>
      <c r="AO104" s="49"/>
      <c r="AP104" s="49"/>
      <c r="AQ104" s="49"/>
      <c r="AR104" s="49"/>
      <c r="AS104" s="49"/>
      <c r="AT104" s="49"/>
      <c r="AU104" s="49"/>
      <c r="AV104" s="49"/>
      <c r="AW104" s="49"/>
      <c r="AX104" s="49"/>
      <c r="AY104" s="49"/>
      <c r="AZ104" s="49"/>
      <c r="BA104" s="49"/>
      <c r="BB104" s="49"/>
      <c r="BC104" s="49"/>
      <c r="BD104" s="49"/>
      <c r="BE104" s="49"/>
      <c r="BF104" s="54"/>
      <c r="BG104" s="49" t="s">
        <v>3548</v>
      </c>
      <c r="BH104" s="49"/>
      <c r="BI104" s="70" t="s">
        <v>349</v>
      </c>
      <c r="BJ104" s="86"/>
      <c r="BK104" s="87">
        <v>1</v>
      </c>
      <c r="BL104" s="62">
        <v>60</v>
      </c>
      <c r="BM104" s="62">
        <v>110</v>
      </c>
      <c r="BN104" s="62">
        <v>1400</v>
      </c>
      <c r="BO104" s="101"/>
      <c r="BP104" s="101"/>
      <c r="BQ104" s="101"/>
      <c r="BR104" s="49"/>
      <c r="BS104" s="49"/>
      <c r="BT104" s="49"/>
      <c r="BU104" s="49"/>
      <c r="BV104" s="49"/>
      <c r="BW104" s="49"/>
      <c r="BX104" s="49"/>
      <c r="BY104" s="49"/>
      <c r="BZ104" s="49"/>
      <c r="CA104" s="49"/>
    </row>
    <row r="105" spans="1:79">
      <c r="A105" s="49"/>
      <c r="B105" s="49"/>
      <c r="C105" s="49"/>
      <c r="D105" s="605" t="s">
        <v>3167</v>
      </c>
      <c r="E105" s="605"/>
      <c r="F105" s="605"/>
      <c r="G105" s="49"/>
      <c r="H105" s="605" t="s">
        <v>3549</v>
      </c>
      <c r="I105" s="605"/>
      <c r="J105" s="605"/>
      <c r="K105" s="70"/>
      <c r="L105" s="605" t="s">
        <v>3160</v>
      </c>
      <c r="M105" s="605"/>
      <c r="N105" s="70"/>
      <c r="O105" s="62"/>
      <c r="P105" s="49"/>
      <c r="Q105" s="49"/>
      <c r="R105" s="82" t="s">
        <v>3550</v>
      </c>
      <c r="S105" s="71"/>
      <c r="T105" s="82" t="s">
        <v>3551</v>
      </c>
      <c r="U105" s="62"/>
      <c r="V105" s="62"/>
      <c r="W105" s="79"/>
      <c r="X105" s="62"/>
      <c r="Y105" s="49"/>
      <c r="Z105" s="62"/>
      <c r="AA105" s="62"/>
      <c r="AB105" s="62">
        <v>5</v>
      </c>
      <c r="AC105" s="62">
        <v>10</v>
      </c>
      <c r="AD105" s="62">
        <v>20</v>
      </c>
      <c r="AE105" s="62"/>
      <c r="AF105" s="62">
        <v>150</v>
      </c>
      <c r="AG105" s="62">
        <v>300</v>
      </c>
      <c r="AH105" s="62">
        <v>600</v>
      </c>
      <c r="AI105" s="62"/>
      <c r="AJ105" s="62" t="s">
        <v>3552</v>
      </c>
      <c r="AK105" s="49" t="s">
        <v>3553</v>
      </c>
      <c r="AL105" s="49"/>
      <c r="AM105" s="49"/>
      <c r="AN105" s="49"/>
      <c r="AO105" s="49"/>
      <c r="AP105" s="49"/>
      <c r="AQ105" s="49"/>
      <c r="AR105" s="49"/>
      <c r="AS105" s="49"/>
      <c r="AT105" s="49"/>
      <c r="AU105" s="49"/>
      <c r="AV105" s="49"/>
      <c r="AW105" s="49"/>
      <c r="AX105" s="49"/>
      <c r="AY105" s="49"/>
      <c r="AZ105" s="49"/>
      <c r="BA105" s="49"/>
      <c r="BB105" s="49"/>
      <c r="BC105" s="49"/>
      <c r="BD105" s="49"/>
      <c r="BE105" s="49"/>
      <c r="BF105" s="54"/>
      <c r="BG105" s="49" t="s">
        <v>3554</v>
      </c>
      <c r="BH105" s="49"/>
      <c r="BI105" s="70" t="s">
        <v>272</v>
      </c>
      <c r="BJ105" s="86"/>
      <c r="BK105" s="87">
        <v>2</v>
      </c>
      <c r="BL105" s="62">
        <v>102</v>
      </c>
      <c r="BM105" s="62">
        <v>190</v>
      </c>
      <c r="BN105" s="62">
        <v>1800</v>
      </c>
      <c r="BO105" s="101"/>
      <c r="BP105" s="101"/>
      <c r="BQ105" s="101"/>
      <c r="BR105" s="49"/>
      <c r="BS105" s="49"/>
      <c r="BT105" s="49"/>
      <c r="BU105" s="49"/>
      <c r="BV105" s="49"/>
      <c r="BW105" s="49"/>
      <c r="BX105" s="49"/>
      <c r="BY105" s="49"/>
      <c r="BZ105" s="49"/>
      <c r="CA105" s="49"/>
    </row>
    <row r="106" spans="1:79">
      <c r="A106" s="49"/>
      <c r="B106" s="49"/>
      <c r="C106" s="49"/>
      <c r="D106" s="68" t="s">
        <v>3555</v>
      </c>
      <c r="E106" s="75"/>
      <c r="F106" s="68" t="s">
        <v>3556</v>
      </c>
      <c r="G106" s="62"/>
      <c r="H106" s="68" t="s">
        <v>3557</v>
      </c>
      <c r="I106" s="68" t="s">
        <v>3558</v>
      </c>
      <c r="J106" s="62" t="s">
        <v>3559</v>
      </c>
      <c r="K106" s="70"/>
      <c r="L106" s="62" t="s">
        <v>3558</v>
      </c>
      <c r="M106" s="62" t="s">
        <v>3559</v>
      </c>
      <c r="N106" s="62"/>
      <c r="O106" s="62"/>
      <c r="P106" s="49"/>
      <c r="Q106" s="49"/>
      <c r="R106" s="82" t="s">
        <v>3560</v>
      </c>
      <c r="S106" s="71"/>
      <c r="T106" s="82" t="s">
        <v>3561</v>
      </c>
      <c r="U106" s="62"/>
      <c r="V106" s="62"/>
      <c r="W106" s="79"/>
      <c r="X106" s="62"/>
      <c r="Y106" s="49"/>
      <c r="Z106" s="62"/>
      <c r="AA106" s="62"/>
      <c r="AB106" s="62">
        <v>3</v>
      </c>
      <c r="AC106" s="62">
        <v>6</v>
      </c>
      <c r="AD106" s="62">
        <v>12</v>
      </c>
      <c r="AE106" s="62"/>
      <c r="AF106" s="62">
        <v>150</v>
      </c>
      <c r="AG106" s="62">
        <v>300</v>
      </c>
      <c r="AH106" s="62">
        <v>600</v>
      </c>
      <c r="AI106" s="62"/>
      <c r="AJ106" s="62" t="s">
        <v>3562</v>
      </c>
      <c r="AK106" s="49" t="s">
        <v>3563</v>
      </c>
      <c r="AL106" s="49"/>
      <c r="AM106" s="49"/>
      <c r="AN106" s="49"/>
      <c r="AO106" s="49"/>
      <c r="AP106" s="49"/>
      <c r="AQ106" s="49"/>
      <c r="AR106" s="49"/>
      <c r="AS106" s="49"/>
      <c r="AT106" s="49"/>
      <c r="AU106" s="49"/>
      <c r="AV106" s="49"/>
      <c r="AW106" s="49"/>
      <c r="AX106" s="49"/>
      <c r="AY106" s="49"/>
      <c r="AZ106" s="49"/>
      <c r="BA106" s="49"/>
      <c r="BB106" s="49"/>
      <c r="BC106" s="49"/>
      <c r="BD106" s="49"/>
      <c r="BE106" s="49"/>
      <c r="BF106" s="54"/>
      <c r="BG106" s="49" t="s">
        <v>3564</v>
      </c>
      <c r="BH106" s="49"/>
      <c r="BI106" s="88" t="s">
        <v>279</v>
      </c>
      <c r="BJ106" s="89"/>
      <c r="BK106" s="90">
        <v>3</v>
      </c>
      <c r="BL106" s="62">
        <v>125</v>
      </c>
      <c r="BM106" s="62">
        <v>266</v>
      </c>
      <c r="BN106" s="62">
        <v>2200</v>
      </c>
      <c r="BO106" s="101"/>
      <c r="BP106" s="101"/>
      <c r="BQ106" s="101"/>
      <c r="BR106" s="49"/>
      <c r="BS106" s="49"/>
      <c r="BT106" s="49"/>
      <c r="BU106" s="49"/>
      <c r="BV106" s="49"/>
      <c r="BW106" s="49"/>
      <c r="BX106" s="49"/>
      <c r="BY106" s="49"/>
      <c r="BZ106" s="49"/>
      <c r="CA106" s="49"/>
    </row>
    <row r="107" spans="1:79">
      <c r="A107" s="49"/>
      <c r="B107" s="49"/>
      <c r="C107" s="49"/>
      <c r="D107" s="70" t="s">
        <v>3565</v>
      </c>
      <c r="E107" s="70"/>
      <c r="F107" s="70" t="s">
        <v>87</v>
      </c>
      <c r="G107" s="70"/>
      <c r="H107" s="62">
        <v>15</v>
      </c>
      <c r="I107" s="62">
        <v>4</v>
      </c>
      <c r="J107" s="62">
        <v>8</v>
      </c>
      <c r="K107" s="62"/>
      <c r="L107" s="62">
        <v>100</v>
      </c>
      <c r="M107" s="62">
        <v>200</v>
      </c>
      <c r="N107" s="70"/>
      <c r="O107" s="62"/>
      <c r="P107" s="49"/>
      <c r="Q107" s="49"/>
      <c r="R107" s="82" t="s">
        <v>3566</v>
      </c>
      <c r="S107" s="71"/>
      <c r="T107" s="82" t="s">
        <v>3567</v>
      </c>
      <c r="U107" s="62"/>
      <c r="V107" s="62"/>
      <c r="W107" s="62"/>
      <c r="X107" s="62"/>
      <c r="Y107" s="49"/>
      <c r="Z107" s="62"/>
      <c r="AA107" s="62"/>
      <c r="AB107" s="62">
        <v>3</v>
      </c>
      <c r="AC107" s="62">
        <v>6</v>
      </c>
      <c r="AD107" s="62">
        <v>12</v>
      </c>
      <c r="AE107" s="62"/>
      <c r="AF107" s="62">
        <v>200</v>
      </c>
      <c r="AG107" s="62">
        <v>400</v>
      </c>
      <c r="AH107" s="62">
        <v>800</v>
      </c>
      <c r="AI107" s="62"/>
      <c r="AJ107" s="62" t="s">
        <v>3568</v>
      </c>
      <c r="AK107" s="49" t="s">
        <v>3569</v>
      </c>
      <c r="AL107" s="49"/>
      <c r="AM107" s="49"/>
      <c r="AN107" s="49"/>
      <c r="AO107" s="49"/>
      <c r="AP107" s="49"/>
      <c r="AQ107" s="49"/>
      <c r="AR107" s="49"/>
      <c r="AS107" s="49"/>
      <c r="AT107" s="49"/>
      <c r="AU107" s="49"/>
      <c r="AV107" s="49"/>
      <c r="AW107" s="49"/>
      <c r="AX107" s="49"/>
      <c r="AY107" s="49"/>
      <c r="AZ107" s="49"/>
      <c r="BA107" s="49"/>
      <c r="BB107" s="49"/>
      <c r="BC107" s="49"/>
      <c r="BD107" s="49"/>
      <c r="BE107" s="49"/>
      <c r="BF107" s="54"/>
      <c r="BG107" s="49" t="s">
        <v>3570</v>
      </c>
      <c r="BH107" s="49"/>
      <c r="BI107" s="70" t="s">
        <v>3571</v>
      </c>
      <c r="BJ107" s="85"/>
      <c r="BK107" s="91">
        <v>4</v>
      </c>
      <c r="BL107" s="62">
        <v>152</v>
      </c>
      <c r="BM107" s="62">
        <v>352</v>
      </c>
      <c r="BN107" s="62">
        <v>2600</v>
      </c>
      <c r="BO107" s="101"/>
      <c r="BP107" s="101"/>
      <c r="BQ107" s="101"/>
      <c r="BR107" s="49"/>
      <c r="BS107" s="49"/>
      <c r="BT107" s="49"/>
      <c r="BU107" s="49"/>
      <c r="BV107" s="49"/>
      <c r="BW107" s="49"/>
      <c r="BX107" s="49"/>
      <c r="BY107" s="49"/>
      <c r="BZ107" s="49"/>
      <c r="CA107" s="49"/>
    </row>
    <row r="108" spans="1:79">
      <c r="A108" s="49"/>
      <c r="B108" s="49"/>
      <c r="C108" s="49"/>
      <c r="D108" s="70" t="s">
        <v>3572</v>
      </c>
      <c r="E108" s="70"/>
      <c r="F108" s="70" t="s">
        <v>105</v>
      </c>
      <c r="G108" s="70"/>
      <c r="H108" s="62">
        <v>1</v>
      </c>
      <c r="I108" s="62">
        <v>4</v>
      </c>
      <c r="J108" s="62">
        <v>8</v>
      </c>
      <c r="K108" s="62"/>
      <c r="L108" s="62">
        <v>100</v>
      </c>
      <c r="M108" s="62">
        <v>200</v>
      </c>
      <c r="N108" s="70"/>
      <c r="O108" s="62"/>
      <c r="P108" s="49"/>
      <c r="Q108" s="49"/>
      <c r="R108" s="82" t="s">
        <v>3573</v>
      </c>
      <c r="S108" s="71"/>
      <c r="T108" s="82" t="s">
        <v>3574</v>
      </c>
      <c r="U108" s="62"/>
      <c r="V108" s="62"/>
      <c r="W108" s="79"/>
      <c r="X108" s="62"/>
      <c r="Y108" s="49"/>
      <c r="Z108" s="62"/>
      <c r="AA108" s="62"/>
      <c r="AB108" s="62">
        <v>1</v>
      </c>
      <c r="AC108" s="62">
        <v>2</v>
      </c>
      <c r="AD108" s="62">
        <v>4</v>
      </c>
      <c r="AE108" s="62"/>
      <c r="AF108" s="62">
        <v>150</v>
      </c>
      <c r="AG108" s="62">
        <v>300</v>
      </c>
      <c r="AH108" s="62">
        <v>600</v>
      </c>
      <c r="AI108" s="62"/>
      <c r="AJ108" s="62" t="s">
        <v>3575</v>
      </c>
      <c r="AK108" s="49" t="s">
        <v>3576</v>
      </c>
      <c r="AL108" s="49"/>
      <c r="AM108" s="49"/>
      <c r="AN108" s="49"/>
      <c r="AO108" s="49"/>
      <c r="AP108" s="49"/>
      <c r="AQ108" s="49"/>
      <c r="AR108" s="49"/>
      <c r="AS108" s="49"/>
      <c r="AT108" s="49"/>
      <c r="AU108" s="49"/>
      <c r="AV108" s="49"/>
      <c r="AW108" s="49"/>
      <c r="AX108" s="49"/>
      <c r="AY108" s="49"/>
      <c r="AZ108" s="49"/>
      <c r="BA108" s="49"/>
      <c r="BB108" s="49"/>
      <c r="BC108" s="49"/>
      <c r="BD108" s="49"/>
      <c r="BE108" s="49"/>
      <c r="BF108" s="54"/>
      <c r="BG108" s="49" t="s">
        <v>3577</v>
      </c>
      <c r="BH108" s="49"/>
      <c r="BI108" s="70" t="s">
        <v>287</v>
      </c>
      <c r="BJ108" s="86"/>
      <c r="BK108" s="92">
        <v>5</v>
      </c>
      <c r="BL108" s="62">
        <v>182</v>
      </c>
      <c r="BM108" s="62">
        <v>452</v>
      </c>
      <c r="BN108" s="62">
        <v>3000</v>
      </c>
      <c r="BO108" s="101"/>
      <c r="BP108" s="101"/>
      <c r="BQ108" s="101"/>
      <c r="BR108" s="49"/>
      <c r="BS108" s="49"/>
      <c r="BT108" s="49"/>
      <c r="BU108" s="49"/>
      <c r="BV108" s="49"/>
      <c r="BW108" s="49"/>
      <c r="BX108" s="49"/>
      <c r="BY108" s="49"/>
      <c r="BZ108" s="49"/>
      <c r="CA108" s="49"/>
    </row>
    <row r="109" spans="1:79">
      <c r="A109" s="49"/>
      <c r="B109" s="49"/>
      <c r="C109" s="49"/>
      <c r="D109" s="70" t="s">
        <v>3578</v>
      </c>
      <c r="E109" s="70"/>
      <c r="F109" s="70" t="s">
        <v>61</v>
      </c>
      <c r="G109" s="70"/>
      <c r="H109" s="62">
        <v>3</v>
      </c>
      <c r="I109" s="62">
        <v>4</v>
      </c>
      <c r="J109" s="62">
        <v>8</v>
      </c>
      <c r="K109" s="62"/>
      <c r="L109" s="62">
        <v>100</v>
      </c>
      <c r="M109" s="62">
        <v>200</v>
      </c>
      <c r="N109" s="70"/>
      <c r="O109" s="62"/>
      <c r="P109" s="49"/>
      <c r="Q109" s="49"/>
      <c r="R109" s="82" t="s">
        <v>3579</v>
      </c>
      <c r="S109" s="71"/>
      <c r="T109" s="82" t="s">
        <v>3580</v>
      </c>
      <c r="U109" s="62"/>
      <c r="V109" s="62"/>
      <c r="W109" s="79"/>
      <c r="X109" s="62"/>
      <c r="Y109" s="49"/>
      <c r="Z109" s="62"/>
      <c r="AA109" s="62"/>
      <c r="AB109" s="62">
        <v>1</v>
      </c>
      <c r="AC109" s="62">
        <v>2</v>
      </c>
      <c r="AD109" s="62">
        <v>4</v>
      </c>
      <c r="AE109" s="62"/>
      <c r="AF109" s="62">
        <v>150</v>
      </c>
      <c r="AG109" s="62">
        <v>300</v>
      </c>
      <c r="AH109" s="62">
        <v>600</v>
      </c>
      <c r="AI109" s="62"/>
      <c r="AJ109" s="62" t="s">
        <v>3581</v>
      </c>
      <c r="AK109" s="49" t="s">
        <v>3582</v>
      </c>
      <c r="AL109" s="49"/>
      <c r="AM109" s="49"/>
      <c r="AN109" s="49"/>
      <c r="AO109" s="49"/>
      <c r="AP109" s="49"/>
      <c r="AQ109" s="49"/>
      <c r="AR109" s="49"/>
      <c r="AS109" s="49"/>
      <c r="AT109" s="49"/>
      <c r="AU109" s="49"/>
      <c r="AV109" s="49"/>
      <c r="AW109" s="49"/>
      <c r="AX109" s="49"/>
      <c r="AY109" s="49"/>
      <c r="AZ109" s="49"/>
      <c r="BA109" s="49"/>
      <c r="BB109" s="49"/>
      <c r="BC109" s="49"/>
      <c r="BD109" s="49"/>
      <c r="BE109" s="49"/>
      <c r="BF109" s="54"/>
      <c r="BG109" s="49" t="s">
        <v>3583</v>
      </c>
      <c r="BH109" s="49"/>
      <c r="BI109" s="88" t="s">
        <v>3584</v>
      </c>
      <c r="BJ109" s="89"/>
      <c r="BK109" s="93">
        <v>6</v>
      </c>
      <c r="BL109" s="62">
        <v>232</v>
      </c>
      <c r="BM109" s="62">
        <v>558</v>
      </c>
      <c r="BN109" s="62">
        <v>3400</v>
      </c>
      <c r="BO109" s="101"/>
      <c r="BP109" s="101"/>
      <c r="BQ109" s="101"/>
      <c r="BR109" s="49"/>
      <c r="BS109" s="49"/>
      <c r="BT109" s="49"/>
      <c r="BU109" s="49"/>
      <c r="BV109" s="49"/>
      <c r="BW109" s="49"/>
      <c r="BX109" s="49"/>
      <c r="BY109" s="49"/>
      <c r="BZ109" s="49"/>
      <c r="CA109" s="49"/>
    </row>
    <row r="110" spans="1:79">
      <c r="A110" s="49"/>
      <c r="B110" s="49"/>
      <c r="C110" s="49"/>
      <c r="D110" s="70" t="s">
        <v>3585</v>
      </c>
      <c r="E110" s="70"/>
      <c r="F110" s="70" t="s">
        <v>69</v>
      </c>
      <c r="G110" s="70"/>
      <c r="H110" s="62">
        <v>1</v>
      </c>
      <c r="I110" s="62">
        <v>4</v>
      </c>
      <c r="J110" s="62">
        <v>8</v>
      </c>
      <c r="K110" s="62"/>
      <c r="L110" s="62">
        <v>100</v>
      </c>
      <c r="M110" s="62">
        <v>200</v>
      </c>
      <c r="N110" s="70"/>
      <c r="O110" s="62"/>
      <c r="P110" s="49"/>
      <c r="Q110" s="49"/>
      <c r="R110" s="82" t="s">
        <v>3586</v>
      </c>
      <c r="S110" s="71"/>
      <c r="T110" s="82" t="s">
        <v>3587</v>
      </c>
      <c r="U110" s="62"/>
      <c r="V110" s="62"/>
      <c r="W110" s="79"/>
      <c r="X110" s="62"/>
      <c r="Y110" s="49"/>
      <c r="Z110" s="62"/>
      <c r="AA110" s="62"/>
      <c r="AB110" s="62">
        <v>4</v>
      </c>
      <c r="AC110" s="62">
        <v>8</v>
      </c>
      <c r="AD110" s="62">
        <v>15</v>
      </c>
      <c r="AE110" s="62"/>
      <c r="AF110" s="62">
        <v>150</v>
      </c>
      <c r="AG110" s="62">
        <v>300</v>
      </c>
      <c r="AH110" s="62">
        <v>600</v>
      </c>
      <c r="AI110" s="62"/>
      <c r="AJ110" s="62" t="s">
        <v>3588</v>
      </c>
      <c r="AK110" s="49" t="s">
        <v>3589</v>
      </c>
      <c r="AL110" s="49"/>
      <c r="AM110" s="49"/>
      <c r="AN110" s="49"/>
      <c r="AO110" s="49"/>
      <c r="AP110" s="49"/>
      <c r="AQ110" s="49"/>
      <c r="AR110" s="49"/>
      <c r="AS110" s="49"/>
      <c r="AT110" s="49"/>
      <c r="AU110" s="49"/>
      <c r="AV110" s="49"/>
      <c r="AW110" s="49"/>
      <c r="AX110" s="49"/>
      <c r="AY110" s="49"/>
      <c r="AZ110" s="49"/>
      <c r="BA110" s="49"/>
      <c r="BB110" s="49"/>
      <c r="BC110" s="49"/>
      <c r="BD110" s="49"/>
      <c r="BE110" s="49"/>
      <c r="BF110" s="54"/>
      <c r="BG110" s="49" t="s">
        <v>3590</v>
      </c>
      <c r="BH110" s="49"/>
      <c r="BI110" s="70" t="s">
        <v>527</v>
      </c>
      <c r="BJ110" s="85"/>
      <c r="BK110" s="94">
        <v>7</v>
      </c>
      <c r="BL110" s="62">
        <v>270</v>
      </c>
      <c r="BM110" s="62">
        <v>680</v>
      </c>
      <c r="BN110" s="62">
        <v>3800</v>
      </c>
      <c r="BO110" s="101"/>
      <c r="BP110" s="101"/>
      <c r="BQ110" s="101"/>
      <c r="BR110" s="49"/>
      <c r="BS110" s="49"/>
      <c r="BT110" s="49"/>
      <c r="BU110" s="49"/>
      <c r="BV110" s="49"/>
      <c r="BW110" s="49"/>
      <c r="BX110" s="49"/>
      <c r="BY110" s="49"/>
      <c r="BZ110" s="49"/>
      <c r="CA110" s="49"/>
    </row>
    <row r="111" spans="1:79">
      <c r="A111" s="49"/>
      <c r="B111" s="49"/>
      <c r="C111" s="49"/>
      <c r="D111" s="70" t="s">
        <v>3591</v>
      </c>
      <c r="E111" s="70"/>
      <c r="F111" s="70" t="s">
        <v>51</v>
      </c>
      <c r="G111" s="70"/>
      <c r="H111" s="62">
        <v>1</v>
      </c>
      <c r="I111" s="62">
        <v>4</v>
      </c>
      <c r="J111" s="62">
        <v>8</v>
      </c>
      <c r="K111" s="62"/>
      <c r="L111" s="62">
        <v>100</v>
      </c>
      <c r="M111" s="62">
        <v>200</v>
      </c>
      <c r="N111" s="70"/>
      <c r="O111" s="62"/>
      <c r="P111" s="49"/>
      <c r="Q111" s="49"/>
      <c r="R111" s="82" t="s">
        <v>3592</v>
      </c>
      <c r="S111" s="71"/>
      <c r="T111" s="82" t="s">
        <v>3593</v>
      </c>
      <c r="U111" s="62"/>
      <c r="V111" s="62"/>
      <c r="W111" s="62"/>
      <c r="X111" s="62"/>
      <c r="Y111" s="49"/>
      <c r="Z111" s="62"/>
      <c r="AA111" s="62"/>
      <c r="AB111" s="62">
        <v>1</v>
      </c>
      <c r="AC111" s="62">
        <v>2</v>
      </c>
      <c r="AD111" s="62">
        <v>4</v>
      </c>
      <c r="AE111" s="62"/>
      <c r="AF111" s="62">
        <v>150</v>
      </c>
      <c r="AG111" s="62">
        <v>300</v>
      </c>
      <c r="AH111" s="62">
        <v>600</v>
      </c>
      <c r="AI111" s="62"/>
      <c r="AJ111" s="62" t="s">
        <v>3594</v>
      </c>
      <c r="AK111" s="49" t="s">
        <v>3435</v>
      </c>
      <c r="AL111" s="49"/>
      <c r="AM111" s="49"/>
      <c r="AN111" s="49"/>
      <c r="AO111" s="49"/>
      <c r="AP111" s="49"/>
      <c r="AQ111" s="49"/>
      <c r="AR111" s="49"/>
      <c r="AS111" s="49"/>
      <c r="AT111" s="49"/>
      <c r="AU111" s="49"/>
      <c r="AV111" s="49"/>
      <c r="AW111" s="49"/>
      <c r="AX111" s="49"/>
      <c r="AY111" s="49"/>
      <c r="AZ111" s="49"/>
      <c r="BA111" s="49"/>
      <c r="BB111" s="49"/>
      <c r="BC111" s="49"/>
      <c r="BD111" s="49"/>
      <c r="BE111" s="49"/>
      <c r="BF111" s="54"/>
      <c r="BG111" s="49" t="s">
        <v>3595</v>
      </c>
      <c r="BH111" s="49"/>
      <c r="BI111" s="70" t="s">
        <v>3596</v>
      </c>
      <c r="BJ111" s="86"/>
      <c r="BK111" s="49" t="s">
        <v>3597</v>
      </c>
      <c r="BL111" s="62"/>
      <c r="BM111" s="62"/>
      <c r="BN111" s="62"/>
      <c r="BO111" s="49"/>
      <c r="BP111" s="102"/>
      <c r="BQ111" s="49"/>
      <c r="BR111" s="49"/>
      <c r="BS111" s="49"/>
      <c r="BT111" s="49"/>
      <c r="BU111" s="49"/>
      <c r="BV111" s="49"/>
      <c r="BW111" s="49"/>
      <c r="BX111" s="49"/>
      <c r="BY111" s="49"/>
      <c r="BZ111" s="49"/>
      <c r="CA111" s="49"/>
    </row>
    <row r="112" spans="1:79">
      <c r="A112" s="49"/>
      <c r="B112" s="49"/>
      <c r="C112" s="49"/>
      <c r="D112" s="70" t="s">
        <v>3598</v>
      </c>
      <c r="E112" s="70"/>
      <c r="F112" s="70" t="s">
        <v>28</v>
      </c>
      <c r="G112" s="70"/>
      <c r="H112" s="62">
        <v>6</v>
      </c>
      <c r="I112" s="62">
        <v>4</v>
      </c>
      <c r="J112" s="62">
        <v>8</v>
      </c>
      <c r="K112" s="62"/>
      <c r="L112" s="62">
        <v>100</v>
      </c>
      <c r="M112" s="62">
        <v>200</v>
      </c>
      <c r="N112" s="70"/>
      <c r="O112" s="62"/>
      <c r="P112" s="49"/>
      <c r="Q112" s="49"/>
      <c r="R112" s="82" t="s">
        <v>3599</v>
      </c>
      <c r="S112" s="71"/>
      <c r="T112" s="82" t="s">
        <v>3600</v>
      </c>
      <c r="U112" s="62"/>
      <c r="V112" s="62"/>
      <c r="W112" s="79"/>
      <c r="X112" s="62"/>
      <c r="Y112" s="49"/>
      <c r="Z112" s="62"/>
      <c r="AA112" s="62"/>
      <c r="AB112" s="62">
        <v>2</v>
      </c>
      <c r="AC112" s="62">
        <v>4</v>
      </c>
      <c r="AD112" s="62">
        <v>8</v>
      </c>
      <c r="AE112" s="62"/>
      <c r="AF112" s="62">
        <v>200</v>
      </c>
      <c r="AG112" s="62">
        <v>400</v>
      </c>
      <c r="AH112" s="62">
        <v>800</v>
      </c>
      <c r="AI112" s="62"/>
      <c r="AJ112" s="62" t="s">
        <v>3601</v>
      </c>
      <c r="AK112" s="49" t="s">
        <v>3602</v>
      </c>
      <c r="AL112" s="49"/>
      <c r="AM112" s="49"/>
      <c r="AN112" s="49"/>
      <c r="AO112" s="49"/>
      <c r="AP112" s="49"/>
      <c r="AQ112" s="49"/>
      <c r="AR112" s="49"/>
      <c r="AS112" s="49"/>
      <c r="AT112" s="49"/>
      <c r="AU112" s="49"/>
      <c r="AV112" s="49"/>
      <c r="AW112" s="49"/>
      <c r="AX112" s="49"/>
      <c r="AY112" s="49"/>
      <c r="AZ112" s="49"/>
      <c r="BA112" s="49"/>
      <c r="BB112" s="49"/>
      <c r="BC112" s="49"/>
      <c r="BD112" s="49"/>
      <c r="BE112" s="49"/>
      <c r="BF112" s="54"/>
      <c r="BG112" s="49" t="s">
        <v>3603</v>
      </c>
      <c r="BH112" s="49"/>
      <c r="BI112" s="95" t="s">
        <v>493</v>
      </c>
      <c r="BJ112" s="49"/>
      <c r="BK112" s="49" t="s">
        <v>3604</v>
      </c>
      <c r="BL112" s="49"/>
      <c r="BM112" s="49"/>
      <c r="BN112" s="49"/>
      <c r="BO112" s="49"/>
      <c r="BP112" s="49"/>
      <c r="BQ112" s="49"/>
      <c r="BR112" s="49"/>
      <c r="BS112" s="49"/>
      <c r="BT112" s="49"/>
      <c r="BU112" s="49"/>
      <c r="BV112" s="49"/>
      <c r="BW112" s="49"/>
      <c r="BX112" s="49"/>
      <c r="BY112" s="49"/>
      <c r="BZ112" s="49"/>
      <c r="CA112" s="49"/>
    </row>
    <row r="113" spans="1:79">
      <c r="A113" s="49"/>
      <c r="B113" s="49"/>
      <c r="C113" s="49"/>
      <c r="D113" s="70" t="s">
        <v>3605</v>
      </c>
      <c r="E113" s="70"/>
      <c r="F113" s="70" t="s">
        <v>90</v>
      </c>
      <c r="G113" s="70"/>
      <c r="H113" s="62">
        <v>6</v>
      </c>
      <c r="I113" s="62">
        <v>4</v>
      </c>
      <c r="J113" s="62">
        <v>8</v>
      </c>
      <c r="K113" s="62"/>
      <c r="L113" s="62">
        <v>100</v>
      </c>
      <c r="M113" s="62">
        <v>200</v>
      </c>
      <c r="N113" s="70"/>
      <c r="O113" s="62"/>
      <c r="P113" s="49"/>
      <c r="Q113" s="49"/>
      <c r="R113" s="82" t="s">
        <v>3606</v>
      </c>
      <c r="S113" s="71"/>
      <c r="T113" s="82" t="s">
        <v>3607</v>
      </c>
      <c r="U113" s="62"/>
      <c r="V113" s="62"/>
      <c r="W113" s="79"/>
      <c r="X113" s="62"/>
      <c r="Y113" s="49"/>
      <c r="Z113" s="62"/>
      <c r="AA113" s="62"/>
      <c r="AB113" s="62">
        <v>1</v>
      </c>
      <c r="AC113" s="62">
        <v>2</v>
      </c>
      <c r="AD113" s="62">
        <v>4</v>
      </c>
      <c r="AE113" s="62"/>
      <c r="AF113" s="62">
        <v>150</v>
      </c>
      <c r="AG113" s="62">
        <v>300</v>
      </c>
      <c r="AH113" s="62">
        <v>600</v>
      </c>
      <c r="AI113" s="62"/>
      <c r="AJ113" s="62" t="s">
        <v>3608</v>
      </c>
      <c r="AK113" s="49" t="s">
        <v>3609</v>
      </c>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t="s">
        <v>3610</v>
      </c>
      <c r="BH113" s="49"/>
      <c r="BI113" s="49"/>
      <c r="BJ113" s="49"/>
      <c r="BK113" s="49"/>
      <c r="BL113" s="49"/>
      <c r="BM113" s="49"/>
      <c r="BN113" s="49"/>
      <c r="BO113" s="49"/>
      <c r="BP113" s="49"/>
      <c r="BQ113" s="49"/>
      <c r="BR113" s="49"/>
      <c r="BS113" s="49"/>
      <c r="BT113" s="49"/>
      <c r="BU113" s="49"/>
      <c r="BV113" s="49"/>
      <c r="BW113" s="49"/>
      <c r="BX113" s="49"/>
      <c r="BY113" s="49"/>
      <c r="BZ113" s="49"/>
      <c r="CA113" s="49"/>
    </row>
    <row r="114" spans="1:79">
      <c r="A114" s="49"/>
      <c r="B114" s="49"/>
      <c r="C114" s="49"/>
      <c r="D114" s="70" t="s">
        <v>3611</v>
      </c>
      <c r="E114" s="70"/>
      <c r="F114" s="70" t="s">
        <v>4</v>
      </c>
      <c r="G114" s="70"/>
      <c r="H114" s="62">
        <v>30</v>
      </c>
      <c r="I114" s="62">
        <v>4</v>
      </c>
      <c r="J114" s="62">
        <v>8</v>
      </c>
      <c r="K114" s="62"/>
      <c r="L114" s="62">
        <v>100</v>
      </c>
      <c r="M114" s="62">
        <v>200</v>
      </c>
      <c r="N114" s="70"/>
      <c r="O114" s="62"/>
      <c r="P114" s="49"/>
      <c r="Q114" s="49"/>
      <c r="R114" s="82" t="s">
        <v>3612</v>
      </c>
      <c r="S114" s="71"/>
      <c r="T114" s="82" t="s">
        <v>3613</v>
      </c>
      <c r="U114" s="62"/>
      <c r="V114" s="62"/>
      <c r="W114" s="79"/>
      <c r="X114" s="62"/>
      <c r="Y114" s="49"/>
      <c r="Z114" s="62"/>
      <c r="AA114" s="62"/>
      <c r="AB114" s="62">
        <v>3</v>
      </c>
      <c r="AC114" s="62">
        <v>6</v>
      </c>
      <c r="AD114" s="62">
        <v>12</v>
      </c>
      <c r="AE114" s="62"/>
      <c r="AF114" s="62">
        <v>150</v>
      </c>
      <c r="AG114" s="62">
        <v>300</v>
      </c>
      <c r="AH114" s="62">
        <v>600</v>
      </c>
      <c r="AI114" s="62"/>
      <c r="AJ114" s="62" t="s">
        <v>3614</v>
      </c>
      <c r="AK114" s="49" t="s">
        <v>3615</v>
      </c>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t="s">
        <v>3616</v>
      </c>
      <c r="BH114" s="49"/>
      <c r="BI114" s="49"/>
      <c r="BJ114" s="49"/>
      <c r="BK114" s="49"/>
      <c r="BL114" s="49"/>
      <c r="BM114" s="49"/>
      <c r="BN114" s="49"/>
      <c r="BO114" s="49"/>
      <c r="BP114" s="49"/>
      <c r="BQ114" s="49"/>
      <c r="BR114" s="49"/>
      <c r="BS114" s="49"/>
      <c r="BT114" s="49"/>
      <c r="BU114" s="49"/>
      <c r="BV114" s="49"/>
      <c r="BW114" s="49"/>
      <c r="BX114" s="49"/>
      <c r="BY114" s="49"/>
      <c r="BZ114" s="49"/>
      <c r="CA114" s="49"/>
    </row>
    <row r="115" spans="1:79">
      <c r="A115" s="49"/>
      <c r="B115" s="49"/>
      <c r="C115" s="49"/>
      <c r="D115" s="70" t="s">
        <v>3617</v>
      </c>
      <c r="E115" s="70"/>
      <c r="F115" s="70" t="s">
        <v>2752</v>
      </c>
      <c r="G115" s="70"/>
      <c r="H115" s="62">
        <v>3</v>
      </c>
      <c r="I115" s="62">
        <v>4</v>
      </c>
      <c r="J115" s="62">
        <v>8</v>
      </c>
      <c r="K115" s="62"/>
      <c r="L115" s="62">
        <v>100</v>
      </c>
      <c r="M115" s="62">
        <v>200</v>
      </c>
      <c r="N115" s="70"/>
      <c r="O115" s="62"/>
      <c r="P115" s="49"/>
      <c r="Q115" s="49"/>
      <c r="R115" s="82" t="s">
        <v>3618</v>
      </c>
      <c r="S115" s="71"/>
      <c r="T115" s="82" t="s">
        <v>3619</v>
      </c>
      <c r="U115" s="62"/>
      <c r="V115" s="62"/>
      <c r="W115" s="62"/>
      <c r="X115" s="62"/>
      <c r="Y115" s="49"/>
      <c r="Z115" s="62"/>
      <c r="AA115" s="62"/>
      <c r="AB115" s="62">
        <v>1</v>
      </c>
      <c r="AC115" s="62">
        <v>2</v>
      </c>
      <c r="AD115" s="62">
        <v>4</v>
      </c>
      <c r="AE115" s="62"/>
      <c r="AF115" s="62">
        <v>150</v>
      </c>
      <c r="AG115" s="62">
        <v>300</v>
      </c>
      <c r="AH115" s="62">
        <v>600</v>
      </c>
      <c r="AI115" s="62"/>
      <c r="AJ115" s="62" t="s">
        <v>3620</v>
      </c>
      <c r="AK115" s="49" t="s">
        <v>3398</v>
      </c>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t="s">
        <v>3621</v>
      </c>
      <c r="BH115" s="49"/>
      <c r="BI115" s="49"/>
      <c r="BJ115" s="49"/>
      <c r="BK115" s="49"/>
      <c r="BL115" s="49"/>
      <c r="BM115" s="49"/>
      <c r="BN115" s="49"/>
      <c r="BO115" s="49"/>
      <c r="BP115" s="49"/>
      <c r="BQ115" s="49"/>
      <c r="BR115" s="49"/>
      <c r="BS115" s="49"/>
      <c r="BT115" s="49"/>
      <c r="BU115" s="49"/>
      <c r="BV115" s="49"/>
      <c r="BW115" s="49"/>
      <c r="BX115" s="49"/>
      <c r="BY115" s="49"/>
      <c r="BZ115" s="49"/>
      <c r="CA115" s="49"/>
    </row>
    <row r="116" spans="1:79">
      <c r="A116" s="49"/>
      <c r="B116" s="49"/>
      <c r="C116" s="49"/>
      <c r="D116" s="70" t="s">
        <v>3622</v>
      </c>
      <c r="E116" s="70"/>
      <c r="F116" s="70" t="s">
        <v>45</v>
      </c>
      <c r="G116" s="70"/>
      <c r="H116" s="62">
        <v>2</v>
      </c>
      <c r="I116" s="62">
        <v>4</v>
      </c>
      <c r="J116" s="62">
        <v>8</v>
      </c>
      <c r="K116" s="62"/>
      <c r="L116" s="62">
        <v>100</v>
      </c>
      <c r="M116" s="62">
        <v>200</v>
      </c>
      <c r="N116" s="70"/>
      <c r="O116" s="62"/>
      <c r="P116" s="49"/>
      <c r="Q116" s="49"/>
      <c r="R116" s="82" t="s">
        <v>3623</v>
      </c>
      <c r="S116" s="71"/>
      <c r="T116" s="82" t="s">
        <v>3624</v>
      </c>
      <c r="U116" s="62"/>
      <c r="V116" s="62"/>
      <c r="W116" s="79"/>
      <c r="X116" s="62"/>
      <c r="Y116" s="49"/>
      <c r="Z116" s="62"/>
      <c r="AA116" s="62"/>
      <c r="AB116" s="62">
        <v>3</v>
      </c>
      <c r="AC116" s="62">
        <v>6</v>
      </c>
      <c r="AD116" s="62">
        <v>12</v>
      </c>
      <c r="AE116" s="62"/>
      <c r="AF116" s="62">
        <v>150</v>
      </c>
      <c r="AG116" s="62">
        <v>300</v>
      </c>
      <c r="AH116" s="62">
        <v>600</v>
      </c>
      <c r="AI116" s="62"/>
      <c r="AJ116" s="62" t="s">
        <v>3625</v>
      </c>
      <c r="AK116" s="49" t="s">
        <v>3626</v>
      </c>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t="s">
        <v>3627</v>
      </c>
      <c r="BH116" s="49"/>
      <c r="BI116" s="49"/>
      <c r="BJ116" s="49"/>
      <c r="BK116" s="49"/>
      <c r="BL116" s="49"/>
      <c r="BM116" s="49"/>
      <c r="BN116" s="49"/>
      <c r="BO116" s="49"/>
      <c r="BP116" s="49"/>
      <c r="BQ116" s="49"/>
      <c r="BR116" s="49"/>
      <c r="BS116" s="49"/>
      <c r="BT116" s="49"/>
      <c r="BU116" s="49"/>
      <c r="BV116" s="49"/>
      <c r="BW116" s="49"/>
      <c r="BX116" s="49"/>
      <c r="BY116" s="49"/>
      <c r="BZ116" s="49"/>
      <c r="CA116" s="49"/>
    </row>
    <row r="117" spans="1:79">
      <c r="A117" s="49"/>
      <c r="B117" s="49"/>
      <c r="C117" s="49"/>
      <c r="D117" s="70" t="s">
        <v>3628</v>
      </c>
      <c r="E117" s="70"/>
      <c r="F117" s="70" t="s">
        <v>34</v>
      </c>
      <c r="G117" s="70"/>
      <c r="H117" s="62">
        <v>6</v>
      </c>
      <c r="I117" s="62">
        <v>4</v>
      </c>
      <c r="J117" s="62">
        <v>8</v>
      </c>
      <c r="K117" s="62"/>
      <c r="L117" s="62">
        <v>100</v>
      </c>
      <c r="M117" s="62">
        <v>200</v>
      </c>
      <c r="N117" s="70"/>
      <c r="O117" s="62"/>
      <c r="P117" s="49"/>
      <c r="Q117" s="49"/>
      <c r="R117" s="82" t="s">
        <v>3629</v>
      </c>
      <c r="S117" s="71"/>
      <c r="T117" s="82" t="s">
        <v>3630</v>
      </c>
      <c r="U117" s="62"/>
      <c r="V117" s="62"/>
      <c r="W117" s="79"/>
      <c r="X117" s="62"/>
      <c r="Y117" s="49"/>
      <c r="Z117" s="62"/>
      <c r="AA117" s="62"/>
      <c r="AB117" s="62">
        <v>3</v>
      </c>
      <c r="AC117" s="62">
        <v>6</v>
      </c>
      <c r="AD117" s="62">
        <v>12</v>
      </c>
      <c r="AE117" s="62"/>
      <c r="AF117" s="62">
        <v>150</v>
      </c>
      <c r="AG117" s="62">
        <v>300</v>
      </c>
      <c r="AH117" s="62">
        <v>600</v>
      </c>
      <c r="AI117" s="62"/>
      <c r="AJ117" s="62" t="s">
        <v>3631</v>
      </c>
      <c r="AK117" s="49" t="s">
        <v>3632</v>
      </c>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t="s">
        <v>3633</v>
      </c>
      <c r="BH117" s="49"/>
      <c r="BI117" s="49" t="s">
        <v>3634</v>
      </c>
      <c r="BJ117" s="49"/>
      <c r="BK117" s="49" t="s">
        <v>3635</v>
      </c>
      <c r="BL117" s="49"/>
      <c r="BM117" s="49"/>
      <c r="BN117" s="49"/>
      <c r="BO117" s="49"/>
      <c r="BP117" s="49"/>
      <c r="BQ117" s="49"/>
      <c r="BR117" s="49"/>
      <c r="BS117" s="49"/>
      <c r="BT117" s="49"/>
      <c r="BU117" s="49"/>
      <c r="BV117" s="49"/>
      <c r="BW117" s="49"/>
      <c r="BX117" s="49"/>
      <c r="BY117" s="49"/>
      <c r="BZ117" s="49"/>
      <c r="CA117" s="49"/>
    </row>
    <row r="118" spans="1:79">
      <c r="A118" s="49"/>
      <c r="B118" s="49"/>
      <c r="C118" s="49"/>
      <c r="D118" s="70" t="s">
        <v>3636</v>
      </c>
      <c r="E118" s="70"/>
      <c r="F118" s="70" t="s">
        <v>56</v>
      </c>
      <c r="G118" s="70"/>
      <c r="H118" s="62">
        <v>1</v>
      </c>
      <c r="I118" s="62">
        <v>4</v>
      </c>
      <c r="J118" s="62">
        <v>8</v>
      </c>
      <c r="K118" s="62"/>
      <c r="L118" s="62">
        <v>100</v>
      </c>
      <c r="M118" s="62">
        <v>200</v>
      </c>
      <c r="N118" s="70"/>
      <c r="O118" s="62"/>
      <c r="P118" s="49"/>
      <c r="Q118" s="49"/>
      <c r="R118" s="82" t="s">
        <v>3637</v>
      </c>
      <c r="S118" s="71"/>
      <c r="T118" s="82" t="s">
        <v>3638</v>
      </c>
      <c r="U118" s="62"/>
      <c r="V118" s="62"/>
      <c r="W118" s="79"/>
      <c r="X118" s="62"/>
      <c r="Y118" s="49"/>
      <c r="Z118" s="62"/>
      <c r="AA118" s="62"/>
      <c r="AB118" s="62">
        <v>1</v>
      </c>
      <c r="AC118" s="62">
        <v>2</v>
      </c>
      <c r="AD118" s="62">
        <v>4</v>
      </c>
      <c r="AE118" s="62"/>
      <c r="AF118" s="62">
        <v>150</v>
      </c>
      <c r="AG118" s="62">
        <v>300</v>
      </c>
      <c r="AH118" s="62">
        <v>600</v>
      </c>
      <c r="AI118" s="62"/>
      <c r="AJ118" s="62" t="s">
        <v>3639</v>
      </c>
      <c r="AK118" s="49" t="s">
        <v>3640</v>
      </c>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54"/>
      <c r="BH118" s="49"/>
      <c r="BI118" s="75" t="s">
        <v>248</v>
      </c>
      <c r="BJ118" s="96"/>
      <c r="BK118" s="77" t="s">
        <v>243</v>
      </c>
      <c r="BL118" s="77" t="s">
        <v>244</v>
      </c>
      <c r="BM118" s="77" t="s">
        <v>245</v>
      </c>
      <c r="BN118" s="77" t="s">
        <v>3543</v>
      </c>
      <c r="BO118" s="49"/>
      <c r="BP118" s="49"/>
      <c r="BQ118" s="49"/>
      <c r="BR118" s="49"/>
      <c r="BS118" s="49"/>
      <c r="BT118" s="49"/>
      <c r="BU118" s="49"/>
      <c r="BV118" s="49"/>
      <c r="BW118" s="49"/>
      <c r="BX118" s="49"/>
      <c r="BY118" s="49"/>
      <c r="BZ118" s="49"/>
      <c r="CA118" s="49"/>
    </row>
    <row r="119" spans="1:79">
      <c r="A119" s="49"/>
      <c r="B119" s="49"/>
      <c r="C119" s="49"/>
      <c r="D119" s="70" t="s">
        <v>3641</v>
      </c>
      <c r="E119" s="70"/>
      <c r="F119" s="70" t="s">
        <v>101</v>
      </c>
      <c r="G119" s="70"/>
      <c r="H119" s="62">
        <v>2</v>
      </c>
      <c r="I119" s="62">
        <v>4</v>
      </c>
      <c r="J119" s="62">
        <v>8</v>
      </c>
      <c r="K119" s="62"/>
      <c r="L119" s="62">
        <v>100</v>
      </c>
      <c r="M119" s="62">
        <v>200</v>
      </c>
      <c r="N119" s="70"/>
      <c r="O119" s="62"/>
      <c r="P119" s="49"/>
      <c r="Q119" s="49"/>
      <c r="R119" s="82" t="s">
        <v>3642</v>
      </c>
      <c r="S119" s="71"/>
      <c r="T119" s="82" t="s">
        <v>3643</v>
      </c>
      <c r="U119" s="62"/>
      <c r="V119" s="62"/>
      <c r="W119" s="62"/>
      <c r="X119" s="62"/>
      <c r="Y119" s="49"/>
      <c r="Z119" s="62"/>
      <c r="AA119" s="62"/>
      <c r="AB119" s="62">
        <v>3</v>
      </c>
      <c r="AC119" s="62">
        <v>7</v>
      </c>
      <c r="AD119" s="62">
        <v>15</v>
      </c>
      <c r="AE119" s="62"/>
      <c r="AF119" s="62">
        <v>100</v>
      </c>
      <c r="AG119" s="62">
        <v>200</v>
      </c>
      <c r="AH119" s="62">
        <v>400</v>
      </c>
      <c r="AI119" s="62"/>
      <c r="AJ119" s="62" t="s">
        <v>3644</v>
      </c>
      <c r="AK119" s="49" t="s">
        <v>3645</v>
      </c>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t="s">
        <v>402</v>
      </c>
      <c r="BJ119" s="97"/>
      <c r="BK119" s="87">
        <v>1</v>
      </c>
      <c r="BL119" s="62">
        <v>60</v>
      </c>
      <c r="BM119" s="62">
        <v>75</v>
      </c>
      <c r="BN119" s="62">
        <v>1000</v>
      </c>
      <c r="BO119" s="49"/>
      <c r="BP119" s="49"/>
      <c r="BQ119" s="49"/>
      <c r="BR119" s="49"/>
      <c r="BS119" s="49"/>
      <c r="BT119" s="49"/>
      <c r="BU119" s="49"/>
      <c r="BV119" s="49"/>
      <c r="BW119" s="49"/>
      <c r="BX119" s="49"/>
      <c r="BY119" s="49"/>
      <c r="BZ119" s="49"/>
      <c r="CA119" s="49"/>
    </row>
    <row r="120" spans="1:79">
      <c r="A120" s="49"/>
      <c r="B120" s="49"/>
      <c r="C120" s="49"/>
      <c r="D120" s="70" t="s">
        <v>3646</v>
      </c>
      <c r="E120" s="70"/>
      <c r="F120" s="70" t="s">
        <v>12</v>
      </c>
      <c r="G120" s="70"/>
      <c r="H120" s="62">
        <v>2</v>
      </c>
      <c r="I120" s="62">
        <v>4</v>
      </c>
      <c r="J120" s="62">
        <v>8</v>
      </c>
      <c r="K120" s="62"/>
      <c r="L120" s="62">
        <v>100</v>
      </c>
      <c r="M120" s="62">
        <v>200</v>
      </c>
      <c r="N120" s="70"/>
      <c r="O120" s="62"/>
      <c r="P120" s="49"/>
      <c r="Q120" s="49"/>
      <c r="R120" s="82" t="s">
        <v>3647</v>
      </c>
      <c r="S120" s="71"/>
      <c r="T120" s="82" t="s">
        <v>3648</v>
      </c>
      <c r="U120" s="62"/>
      <c r="V120" s="62"/>
      <c r="W120" s="79"/>
      <c r="X120" s="62"/>
      <c r="Y120" s="49"/>
      <c r="Z120" s="62"/>
      <c r="AA120" s="62"/>
      <c r="AB120" s="62">
        <v>2</v>
      </c>
      <c r="AC120" s="62">
        <v>4</v>
      </c>
      <c r="AD120" s="62">
        <v>8</v>
      </c>
      <c r="AE120" s="62"/>
      <c r="AF120" s="62">
        <v>100</v>
      </c>
      <c r="AG120" s="62">
        <v>200</v>
      </c>
      <c r="AH120" s="62">
        <v>400</v>
      </c>
      <c r="AI120" s="62"/>
      <c r="AJ120" s="62" t="s">
        <v>3649</v>
      </c>
      <c r="AK120" s="49" t="s">
        <v>3443</v>
      </c>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t="s">
        <v>691</v>
      </c>
      <c r="BJ120" s="97"/>
      <c r="BK120" s="87">
        <v>2</v>
      </c>
      <c r="BL120" s="62">
        <v>72</v>
      </c>
      <c r="BM120" s="62">
        <v>105</v>
      </c>
      <c r="BN120" s="62">
        <v>1400</v>
      </c>
      <c r="BO120" s="49"/>
      <c r="BP120" s="49"/>
      <c r="BQ120" s="49"/>
      <c r="BR120" s="49"/>
      <c r="BS120" s="49"/>
      <c r="BT120" s="49"/>
      <c r="BU120" s="49"/>
      <c r="BV120" s="49"/>
      <c r="BW120" s="49"/>
      <c r="BX120" s="49"/>
      <c r="BY120" s="49"/>
      <c r="BZ120" s="49"/>
      <c r="CA120" s="49"/>
    </row>
    <row r="121" spans="1:79">
      <c r="A121" s="49"/>
      <c r="B121" s="49"/>
      <c r="C121" s="49"/>
      <c r="D121" s="70" t="s">
        <v>3650</v>
      </c>
      <c r="E121" s="70"/>
      <c r="F121" s="70" t="s">
        <v>5</v>
      </c>
      <c r="G121" s="70"/>
      <c r="H121" s="62">
        <v>2</v>
      </c>
      <c r="I121" s="62">
        <v>4</v>
      </c>
      <c r="J121" s="62">
        <v>8</v>
      </c>
      <c r="K121" s="62"/>
      <c r="L121" s="62">
        <v>100</v>
      </c>
      <c r="M121" s="62">
        <v>200</v>
      </c>
      <c r="N121" s="70"/>
      <c r="O121" s="62"/>
      <c r="P121" s="49"/>
      <c r="Q121" s="49"/>
      <c r="R121" s="82" t="s">
        <v>3651</v>
      </c>
      <c r="S121" s="71"/>
      <c r="T121" s="82" t="s">
        <v>3652</v>
      </c>
      <c r="U121" s="62"/>
      <c r="V121" s="62"/>
      <c r="W121" s="79"/>
      <c r="X121" s="62"/>
      <c r="Y121" s="49"/>
      <c r="Z121" s="62"/>
      <c r="AA121" s="62"/>
      <c r="AB121" s="62">
        <v>1</v>
      </c>
      <c r="AC121" s="62">
        <v>2</v>
      </c>
      <c r="AD121" s="62">
        <v>4</v>
      </c>
      <c r="AE121" s="62"/>
      <c r="AF121" s="62">
        <v>100</v>
      </c>
      <c r="AG121" s="62">
        <v>200</v>
      </c>
      <c r="AH121" s="62">
        <v>400</v>
      </c>
      <c r="AI121" s="62"/>
      <c r="AJ121" s="62" t="s">
        <v>3653</v>
      </c>
      <c r="AK121" s="49" t="s">
        <v>3654</v>
      </c>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67" t="s">
        <v>280</v>
      </c>
      <c r="BJ121" s="98"/>
      <c r="BK121" s="87">
        <v>3</v>
      </c>
      <c r="BL121" s="62">
        <v>86</v>
      </c>
      <c r="BM121" s="62">
        <v>135</v>
      </c>
      <c r="BN121" s="62">
        <v>1800</v>
      </c>
      <c r="BO121" s="49"/>
      <c r="BP121" s="49"/>
      <c r="BQ121" s="49"/>
      <c r="BR121" s="49"/>
      <c r="BS121" s="49"/>
      <c r="BT121" s="49"/>
      <c r="BU121" s="49"/>
      <c r="BV121" s="49"/>
      <c r="BW121" s="49"/>
      <c r="BX121" s="49"/>
      <c r="BY121" s="49"/>
      <c r="BZ121" s="49"/>
      <c r="CA121" s="49"/>
    </row>
    <row r="122" spans="1:79">
      <c r="A122" s="49"/>
      <c r="B122" s="49"/>
      <c r="C122" s="49"/>
      <c r="D122" s="70" t="s">
        <v>3655</v>
      </c>
      <c r="E122" s="70"/>
      <c r="F122" s="70" t="s">
        <v>17</v>
      </c>
      <c r="G122" s="70"/>
      <c r="H122" s="62">
        <v>2</v>
      </c>
      <c r="I122" s="62">
        <v>4</v>
      </c>
      <c r="J122" s="62">
        <v>8</v>
      </c>
      <c r="K122" s="62"/>
      <c r="L122" s="62">
        <v>100</v>
      </c>
      <c r="M122" s="62">
        <v>200</v>
      </c>
      <c r="N122" s="70"/>
      <c r="O122" s="62"/>
      <c r="P122" s="49"/>
      <c r="Q122" s="49"/>
      <c r="R122" s="82" t="s">
        <v>3656</v>
      </c>
      <c r="S122" s="71"/>
      <c r="T122" s="82" t="s">
        <v>3657</v>
      </c>
      <c r="U122" s="62"/>
      <c r="V122" s="62"/>
      <c r="W122" s="79"/>
      <c r="X122" s="62"/>
      <c r="Y122" s="49"/>
      <c r="Z122" s="62"/>
      <c r="AA122" s="62"/>
      <c r="AB122" s="62">
        <v>2</v>
      </c>
      <c r="AC122" s="62">
        <v>4</v>
      </c>
      <c r="AD122" s="62">
        <v>7</v>
      </c>
      <c r="AE122" s="62"/>
      <c r="AF122" s="62">
        <v>150</v>
      </c>
      <c r="AG122" s="62">
        <v>300</v>
      </c>
      <c r="AH122" s="62">
        <v>600</v>
      </c>
      <c r="AI122" s="62"/>
      <c r="AJ122" s="62" t="s">
        <v>3658</v>
      </c>
      <c r="AK122" s="49" t="s">
        <v>3659</v>
      </c>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70" t="s">
        <v>416</v>
      </c>
      <c r="BJ122" s="85"/>
      <c r="BK122" s="99">
        <v>4</v>
      </c>
      <c r="BL122" s="62">
        <v>104</v>
      </c>
      <c r="BM122" s="62">
        <v>188</v>
      </c>
      <c r="BN122" s="62">
        <v>2200</v>
      </c>
      <c r="BO122" s="49"/>
      <c r="BP122" s="49"/>
      <c r="BQ122" s="49"/>
      <c r="BR122" s="49"/>
      <c r="BS122" s="49"/>
      <c r="BT122" s="49"/>
      <c r="BU122" s="49"/>
      <c r="BV122" s="49"/>
      <c r="BW122" s="49"/>
      <c r="BX122" s="49"/>
      <c r="BY122" s="49"/>
      <c r="BZ122" s="49"/>
      <c r="CA122" s="49"/>
    </row>
    <row r="123" spans="1:79">
      <c r="A123" s="49"/>
      <c r="B123" s="49"/>
      <c r="C123" s="49"/>
      <c r="D123" s="70" t="s">
        <v>3660</v>
      </c>
      <c r="E123" s="70"/>
      <c r="F123" s="70" t="s">
        <v>70</v>
      </c>
      <c r="G123" s="70"/>
      <c r="H123" s="62">
        <v>2</v>
      </c>
      <c r="I123" s="62">
        <v>4</v>
      </c>
      <c r="J123" s="62">
        <v>8</v>
      </c>
      <c r="K123" s="62"/>
      <c r="L123" s="62">
        <v>100</v>
      </c>
      <c r="M123" s="62">
        <v>200</v>
      </c>
      <c r="N123" s="70"/>
      <c r="O123" s="62"/>
      <c r="P123" s="49"/>
      <c r="Q123" s="49"/>
      <c r="R123" s="82" t="s">
        <v>3661</v>
      </c>
      <c r="S123" s="71"/>
      <c r="T123" s="82" t="s">
        <v>3662</v>
      </c>
      <c r="U123" s="62"/>
      <c r="V123" s="62"/>
      <c r="W123" s="62"/>
      <c r="X123" s="62"/>
      <c r="Y123" s="49"/>
      <c r="Z123" s="62"/>
      <c r="AA123" s="62"/>
      <c r="AB123" s="62">
        <v>2</v>
      </c>
      <c r="AC123" s="62">
        <v>4</v>
      </c>
      <c r="AD123" s="62">
        <v>8</v>
      </c>
      <c r="AE123" s="62"/>
      <c r="AF123" s="62">
        <v>150</v>
      </c>
      <c r="AG123" s="62">
        <v>300</v>
      </c>
      <c r="AH123" s="62">
        <v>600</v>
      </c>
      <c r="AI123" s="62"/>
      <c r="AJ123" s="62" t="s">
        <v>3663</v>
      </c>
      <c r="AK123" s="49" t="s">
        <v>3664</v>
      </c>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70"/>
      <c r="BJ123" s="86"/>
      <c r="BK123" s="90">
        <v>5</v>
      </c>
      <c r="BL123" s="62">
        <v>125</v>
      </c>
      <c r="BM123" s="62">
        <v>255</v>
      </c>
      <c r="BN123" s="62">
        <v>2600</v>
      </c>
      <c r="BO123" s="49"/>
      <c r="BP123" s="49"/>
      <c r="BQ123" s="49"/>
      <c r="BR123" s="49"/>
      <c r="BS123" s="49"/>
      <c r="BT123" s="49"/>
      <c r="BU123" s="49"/>
      <c r="BV123" s="49"/>
      <c r="BW123" s="49"/>
      <c r="BX123" s="49"/>
      <c r="BY123" s="49"/>
      <c r="BZ123" s="49"/>
      <c r="CA123" s="49"/>
    </row>
    <row r="124" spans="1:79">
      <c r="A124" s="49"/>
      <c r="B124" s="49"/>
      <c r="C124" s="49"/>
      <c r="D124" s="70" t="s">
        <v>3665</v>
      </c>
      <c r="E124" s="70"/>
      <c r="F124" s="70" t="s">
        <v>65</v>
      </c>
      <c r="G124" s="70"/>
      <c r="H124" s="62">
        <v>5</v>
      </c>
      <c r="I124" s="62">
        <v>4</v>
      </c>
      <c r="J124" s="62">
        <v>8</v>
      </c>
      <c r="K124" s="62"/>
      <c r="L124" s="62">
        <v>100</v>
      </c>
      <c r="M124" s="62">
        <v>200</v>
      </c>
      <c r="N124" s="70"/>
      <c r="O124" s="62"/>
      <c r="P124" s="49"/>
      <c r="Q124" s="49"/>
      <c r="R124" s="82" t="s">
        <v>3666</v>
      </c>
      <c r="S124" s="71"/>
      <c r="T124" s="82" t="s">
        <v>3667</v>
      </c>
      <c r="U124" s="62"/>
      <c r="V124" s="62"/>
      <c r="W124" s="79"/>
      <c r="X124" s="62"/>
      <c r="Y124" s="49"/>
      <c r="Z124" s="62"/>
      <c r="AA124" s="62"/>
      <c r="AB124" s="62">
        <v>1</v>
      </c>
      <c r="AC124" s="62">
        <v>2</v>
      </c>
      <c r="AD124" s="62">
        <v>4</v>
      </c>
      <c r="AE124" s="62"/>
      <c r="AF124" s="62">
        <v>150</v>
      </c>
      <c r="AG124" s="62">
        <v>300</v>
      </c>
      <c r="AH124" s="62">
        <v>600</v>
      </c>
      <c r="AI124" s="62"/>
      <c r="AJ124" s="62" t="s">
        <v>3668</v>
      </c>
      <c r="AK124" s="49" t="s">
        <v>3669</v>
      </c>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88"/>
      <c r="BJ124" s="89"/>
      <c r="BK124" s="91">
        <v>6</v>
      </c>
      <c r="BL124" s="62">
        <v>140</v>
      </c>
      <c r="BM124" s="62">
        <v>278</v>
      </c>
      <c r="BN124" s="62">
        <v>3000</v>
      </c>
      <c r="BO124" s="49"/>
      <c r="BP124" s="49"/>
      <c r="BQ124" s="49"/>
      <c r="BR124" s="49"/>
      <c r="BS124" s="49"/>
      <c r="BT124" s="49"/>
      <c r="BU124" s="49"/>
      <c r="BV124" s="49"/>
      <c r="BW124" s="49"/>
      <c r="BX124" s="49"/>
      <c r="BY124" s="49"/>
      <c r="BZ124" s="49"/>
      <c r="CA124" s="49"/>
    </row>
    <row r="125" spans="1:79">
      <c r="A125" s="49"/>
      <c r="B125" s="49"/>
      <c r="C125" s="49"/>
      <c r="D125" s="70" t="s">
        <v>3670</v>
      </c>
      <c r="E125" s="70"/>
      <c r="F125" s="70" t="s">
        <v>109</v>
      </c>
      <c r="G125" s="70"/>
      <c r="H125" s="62">
        <v>5</v>
      </c>
      <c r="I125" s="62">
        <v>4</v>
      </c>
      <c r="J125" s="62">
        <v>8</v>
      </c>
      <c r="K125" s="62"/>
      <c r="L125" s="62">
        <v>100</v>
      </c>
      <c r="M125" s="62">
        <v>200</v>
      </c>
      <c r="N125" s="70"/>
      <c r="O125" s="62"/>
      <c r="P125" s="49"/>
      <c r="Q125" s="49"/>
      <c r="R125" s="82" t="s">
        <v>3671</v>
      </c>
      <c r="S125" s="71"/>
      <c r="T125" s="82" t="s">
        <v>3672</v>
      </c>
      <c r="U125" s="62"/>
      <c r="V125" s="62"/>
      <c r="W125" s="79"/>
      <c r="X125" s="62"/>
      <c r="Y125" s="49"/>
      <c r="Z125" s="62"/>
      <c r="AA125" s="62"/>
      <c r="AB125" s="62">
        <v>1</v>
      </c>
      <c r="AC125" s="62">
        <v>2</v>
      </c>
      <c r="AD125" s="62">
        <v>4</v>
      </c>
      <c r="AE125" s="62"/>
      <c r="AF125" s="62">
        <v>100</v>
      </c>
      <c r="AG125" s="62">
        <v>200</v>
      </c>
      <c r="AH125" s="62">
        <v>400</v>
      </c>
      <c r="AI125" s="62"/>
      <c r="AJ125" s="62" t="s">
        <v>3673</v>
      </c>
      <c r="AK125" s="49" t="s">
        <v>3674</v>
      </c>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70" t="s">
        <v>422</v>
      </c>
      <c r="BJ125" s="85"/>
      <c r="BK125" s="92">
        <v>7</v>
      </c>
      <c r="BL125" s="62">
        <v>152</v>
      </c>
      <c r="BM125" s="62">
        <v>300</v>
      </c>
      <c r="BN125" s="62">
        <v>3400</v>
      </c>
      <c r="BO125" s="49"/>
      <c r="BP125" s="49"/>
      <c r="BQ125" s="49"/>
      <c r="BR125" s="49"/>
      <c r="BS125" s="49"/>
      <c r="BT125" s="49"/>
      <c r="BU125" s="49"/>
      <c r="BV125" s="49"/>
      <c r="BW125" s="49"/>
      <c r="BX125" s="49"/>
      <c r="BY125" s="49"/>
      <c r="BZ125" s="49"/>
      <c r="CA125" s="49"/>
    </row>
    <row r="126" spans="1:79">
      <c r="A126" s="49"/>
      <c r="B126" s="49"/>
      <c r="C126" s="49"/>
      <c r="D126" s="70" t="s">
        <v>3675</v>
      </c>
      <c r="E126" s="70"/>
      <c r="F126" s="70" t="s">
        <v>16</v>
      </c>
      <c r="G126" s="70"/>
      <c r="H126" s="62">
        <v>6</v>
      </c>
      <c r="I126" s="62">
        <v>4</v>
      </c>
      <c r="J126" s="62">
        <v>8</v>
      </c>
      <c r="K126" s="62"/>
      <c r="L126" s="62">
        <v>100</v>
      </c>
      <c r="M126" s="62">
        <v>200</v>
      </c>
      <c r="N126" s="70"/>
      <c r="O126" s="62"/>
      <c r="P126" s="49"/>
      <c r="Q126" s="49"/>
      <c r="R126" s="82" t="s">
        <v>3676</v>
      </c>
      <c r="S126" s="71"/>
      <c r="T126" s="82" t="s">
        <v>3677</v>
      </c>
      <c r="U126" s="62"/>
      <c r="V126" s="62"/>
      <c r="W126" s="79"/>
      <c r="X126" s="62"/>
      <c r="Y126" s="49"/>
      <c r="Z126" s="62"/>
      <c r="AA126" s="62"/>
      <c r="AB126" s="62">
        <v>1</v>
      </c>
      <c r="AC126" s="62">
        <v>2</v>
      </c>
      <c r="AD126" s="62">
        <v>4</v>
      </c>
      <c r="AE126" s="62"/>
      <c r="AF126" s="62">
        <v>150</v>
      </c>
      <c r="AG126" s="62">
        <v>300</v>
      </c>
      <c r="AH126" s="62">
        <v>600</v>
      </c>
      <c r="AI126" s="62"/>
      <c r="AJ126" s="62" t="s">
        <v>3678</v>
      </c>
      <c r="AK126" s="49" t="s">
        <v>3679</v>
      </c>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70" t="s">
        <v>431</v>
      </c>
      <c r="BJ126" s="86"/>
      <c r="BK126" s="93">
        <v>8</v>
      </c>
      <c r="BL126" s="62">
        <v>168</v>
      </c>
      <c r="BM126" s="62">
        <v>322</v>
      </c>
      <c r="BN126" s="62">
        <v>3800</v>
      </c>
      <c r="BO126" s="49"/>
      <c r="BP126" s="49"/>
      <c r="BQ126" s="49"/>
      <c r="BR126" s="49"/>
      <c r="BS126" s="49"/>
      <c r="BT126" s="49"/>
      <c r="BU126" s="49"/>
      <c r="BV126" s="49"/>
      <c r="BW126" s="49"/>
      <c r="BX126" s="49"/>
      <c r="BY126" s="49"/>
      <c r="BZ126" s="49"/>
      <c r="CA126" s="49"/>
    </row>
    <row r="127" spans="1:79">
      <c r="A127" s="49"/>
      <c r="B127" s="49"/>
      <c r="C127" s="49"/>
      <c r="D127" s="70" t="s">
        <v>3680</v>
      </c>
      <c r="E127" s="70"/>
      <c r="F127" s="70" t="s">
        <v>35</v>
      </c>
      <c r="G127" s="70"/>
      <c r="H127" s="62">
        <v>1</v>
      </c>
      <c r="I127" s="62">
        <v>4</v>
      </c>
      <c r="J127" s="62">
        <v>8</v>
      </c>
      <c r="K127" s="62"/>
      <c r="L127" s="62">
        <v>100</v>
      </c>
      <c r="M127" s="62">
        <v>200</v>
      </c>
      <c r="N127" s="70"/>
      <c r="O127" s="62"/>
      <c r="P127" s="49"/>
      <c r="Q127" s="49"/>
      <c r="R127" s="82" t="s">
        <v>3681</v>
      </c>
      <c r="S127" s="71"/>
      <c r="T127" s="82" t="s">
        <v>3682</v>
      </c>
      <c r="U127" s="62"/>
      <c r="V127" s="62"/>
      <c r="W127" s="62"/>
      <c r="X127" s="62"/>
      <c r="Y127" s="49"/>
      <c r="Z127" s="62"/>
      <c r="AA127" s="62"/>
      <c r="AB127" s="62">
        <v>1</v>
      </c>
      <c r="AC127" s="62">
        <v>2</v>
      </c>
      <c r="AD127" s="62">
        <v>4</v>
      </c>
      <c r="AE127" s="62"/>
      <c r="AF127" s="62">
        <v>100</v>
      </c>
      <c r="AG127" s="62">
        <v>200</v>
      </c>
      <c r="AH127" s="62">
        <v>400</v>
      </c>
      <c r="AI127" s="62"/>
      <c r="AJ127" s="62" t="s">
        <v>3683</v>
      </c>
      <c r="AK127" s="49" t="s">
        <v>3684</v>
      </c>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95" t="s">
        <v>428</v>
      </c>
      <c r="BJ127" s="49"/>
      <c r="BK127" s="94">
        <v>9</v>
      </c>
      <c r="BL127" s="62">
        <v>184</v>
      </c>
      <c r="BM127" s="62">
        <v>345</v>
      </c>
      <c r="BN127" s="62">
        <v>4200</v>
      </c>
      <c r="BO127" s="49"/>
      <c r="BP127" s="49"/>
      <c r="BQ127" s="49"/>
      <c r="BR127" s="49"/>
      <c r="BS127" s="49"/>
      <c r="BT127" s="49"/>
      <c r="BU127" s="49"/>
      <c r="BV127" s="49"/>
      <c r="BW127" s="49"/>
      <c r="BX127" s="49"/>
      <c r="BY127" s="49"/>
      <c r="BZ127" s="49"/>
      <c r="CA127" s="49"/>
    </row>
    <row r="128" spans="1:79">
      <c r="A128" s="49"/>
      <c r="B128" s="49"/>
      <c r="C128" s="49"/>
      <c r="D128" s="70" t="s">
        <v>3685</v>
      </c>
      <c r="E128" s="70"/>
      <c r="F128" s="70" t="s">
        <v>66</v>
      </c>
      <c r="G128" s="70"/>
      <c r="H128" s="62">
        <v>2</v>
      </c>
      <c r="I128" s="62">
        <v>4</v>
      </c>
      <c r="J128" s="62">
        <v>8</v>
      </c>
      <c r="K128" s="62"/>
      <c r="L128" s="62">
        <v>100</v>
      </c>
      <c r="M128" s="62">
        <v>200</v>
      </c>
      <c r="N128" s="70"/>
      <c r="O128" s="62"/>
      <c r="P128" s="49"/>
      <c r="Q128" s="49"/>
      <c r="R128" s="82" t="s">
        <v>3686</v>
      </c>
      <c r="S128" s="71"/>
      <c r="T128" s="82" t="s">
        <v>3687</v>
      </c>
      <c r="U128" s="62"/>
      <c r="V128" s="62"/>
      <c r="W128" s="79"/>
      <c r="X128" s="62"/>
      <c r="Y128" s="49"/>
      <c r="Z128" s="62"/>
      <c r="AA128" s="62"/>
      <c r="AB128" s="62">
        <v>1</v>
      </c>
      <c r="AC128" s="62">
        <v>2</v>
      </c>
      <c r="AD128" s="62">
        <v>4</v>
      </c>
      <c r="AE128" s="62"/>
      <c r="AF128" s="62">
        <v>100</v>
      </c>
      <c r="AG128" s="62">
        <v>200</v>
      </c>
      <c r="AH128" s="62">
        <v>400</v>
      </c>
      <c r="AI128" s="62"/>
      <c r="AJ128" s="62" t="s">
        <v>3688</v>
      </c>
      <c r="AK128" s="49" t="s">
        <v>3689</v>
      </c>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100">
        <v>10</v>
      </c>
      <c r="BL128" s="62">
        <v>200</v>
      </c>
      <c r="BM128" s="62">
        <v>367</v>
      </c>
      <c r="BN128" s="62">
        <v>4600</v>
      </c>
      <c r="BO128" s="49"/>
      <c r="BP128" s="49"/>
      <c r="BQ128" s="49"/>
      <c r="BR128" s="49"/>
      <c r="BS128" s="49"/>
      <c r="BT128" s="49"/>
      <c r="BU128" s="49"/>
      <c r="BV128" s="49"/>
      <c r="BW128" s="49"/>
      <c r="BX128" s="49"/>
      <c r="BY128" s="49"/>
      <c r="BZ128" s="49"/>
      <c r="CA128" s="49"/>
    </row>
    <row r="129" spans="1:79">
      <c r="A129" s="49"/>
      <c r="B129" s="49"/>
      <c r="C129" s="49"/>
      <c r="D129" s="70" t="s">
        <v>3690</v>
      </c>
      <c r="E129" s="70"/>
      <c r="F129" s="70" t="s">
        <v>11</v>
      </c>
      <c r="G129" s="70"/>
      <c r="H129" s="62">
        <v>30</v>
      </c>
      <c r="I129" s="62">
        <v>4</v>
      </c>
      <c r="J129" s="62">
        <v>8</v>
      </c>
      <c r="K129" s="62"/>
      <c r="L129" s="62">
        <v>100</v>
      </c>
      <c r="M129" s="62">
        <v>200</v>
      </c>
      <c r="N129" s="70"/>
      <c r="O129" s="62"/>
      <c r="P129" s="49"/>
      <c r="Q129" s="49"/>
      <c r="R129" s="82" t="s">
        <v>3691</v>
      </c>
      <c r="S129" s="71"/>
      <c r="T129" s="82" t="s">
        <v>3692</v>
      </c>
      <c r="U129" s="62"/>
      <c r="V129" s="62"/>
      <c r="W129" s="79"/>
      <c r="X129" s="62"/>
      <c r="Y129" s="49"/>
      <c r="Z129" s="62"/>
      <c r="AA129" s="62"/>
      <c r="AB129" s="62">
        <v>1</v>
      </c>
      <c r="AC129" s="62">
        <v>2</v>
      </c>
      <c r="AD129" s="62">
        <v>4</v>
      </c>
      <c r="AE129" s="62"/>
      <c r="AF129" s="62">
        <v>150</v>
      </c>
      <c r="AG129" s="62">
        <v>300</v>
      </c>
      <c r="AH129" s="62">
        <v>600</v>
      </c>
      <c r="AI129" s="62"/>
      <c r="AJ129" s="62" t="s">
        <v>3693</v>
      </c>
      <c r="AK129" s="49" t="s">
        <v>3694</v>
      </c>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row>
    <row r="130" spans="1:79">
      <c r="A130" s="49"/>
      <c r="B130" s="49"/>
      <c r="C130" s="49"/>
      <c r="D130" s="70" t="s">
        <v>3695</v>
      </c>
      <c r="E130" s="70"/>
      <c r="F130" s="70" t="s">
        <v>22</v>
      </c>
      <c r="G130" s="70"/>
      <c r="H130" s="62">
        <v>30</v>
      </c>
      <c r="I130" s="62">
        <v>4</v>
      </c>
      <c r="J130" s="62">
        <v>8</v>
      </c>
      <c r="K130" s="62"/>
      <c r="L130" s="62">
        <v>100</v>
      </c>
      <c r="M130" s="62">
        <v>200</v>
      </c>
      <c r="N130" s="70"/>
      <c r="O130" s="62"/>
      <c r="P130" s="49"/>
      <c r="Q130" s="49"/>
      <c r="R130" s="82" t="s">
        <v>3696</v>
      </c>
      <c r="S130" s="71"/>
      <c r="T130" s="82" t="s">
        <v>3697</v>
      </c>
      <c r="U130" s="62"/>
      <c r="V130" s="62"/>
      <c r="W130" s="79"/>
      <c r="X130" s="62"/>
      <c r="Y130" s="49"/>
      <c r="Z130" s="62"/>
      <c r="AA130" s="62"/>
      <c r="AB130" s="62">
        <v>1</v>
      </c>
      <c r="AC130" s="62">
        <v>2</v>
      </c>
      <c r="AD130" s="62">
        <v>4</v>
      </c>
      <c r="AE130" s="62"/>
      <c r="AF130" s="62">
        <v>150</v>
      </c>
      <c r="AG130" s="62">
        <v>300</v>
      </c>
      <c r="AH130" s="62">
        <v>600</v>
      </c>
      <c r="AI130" s="62"/>
      <c r="AJ130" s="62" t="s">
        <v>3698</v>
      </c>
      <c r="AK130" s="49" t="s">
        <v>3699</v>
      </c>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row>
    <row r="131" spans="1:79">
      <c r="A131" s="49"/>
      <c r="B131" s="49"/>
      <c r="C131" s="49"/>
      <c r="D131" s="70" t="s">
        <v>3700</v>
      </c>
      <c r="E131" s="70"/>
      <c r="F131" s="70" t="s">
        <v>96</v>
      </c>
      <c r="G131" s="70"/>
      <c r="H131" s="62">
        <v>1</v>
      </c>
      <c r="I131" s="62">
        <v>4</v>
      </c>
      <c r="J131" s="62">
        <v>8</v>
      </c>
      <c r="K131" s="62"/>
      <c r="L131" s="62">
        <v>100</v>
      </c>
      <c r="M131" s="62">
        <v>200</v>
      </c>
      <c r="N131" s="70"/>
      <c r="O131" s="62"/>
      <c r="P131" s="49"/>
      <c r="Q131" s="49"/>
      <c r="R131" s="82" t="s">
        <v>3701</v>
      </c>
      <c r="S131" s="71"/>
      <c r="T131" s="82" t="s">
        <v>3702</v>
      </c>
      <c r="U131" s="62"/>
      <c r="V131" s="62"/>
      <c r="W131" s="79"/>
      <c r="X131" s="62"/>
      <c r="Y131" s="49"/>
      <c r="Z131" s="62"/>
      <c r="AA131" s="62"/>
      <c r="AB131" s="62">
        <v>1</v>
      </c>
      <c r="AC131" s="62">
        <v>2</v>
      </c>
      <c r="AD131" s="62">
        <v>4</v>
      </c>
      <c r="AE131" s="62"/>
      <c r="AF131" s="62">
        <v>150</v>
      </c>
      <c r="AG131" s="62">
        <v>300</v>
      </c>
      <c r="AH131" s="62">
        <v>600</v>
      </c>
      <c r="AI131" s="49"/>
      <c r="AJ131" s="62" t="s">
        <v>3703</v>
      </c>
      <c r="AK131" s="49" t="s">
        <v>3704</v>
      </c>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t="s">
        <v>3705</v>
      </c>
      <c r="BJ131" s="49"/>
      <c r="BK131" s="49" t="s">
        <v>3706</v>
      </c>
      <c r="BL131" s="49"/>
      <c r="BM131" s="49"/>
      <c r="BN131" s="49"/>
      <c r="BO131" s="49"/>
      <c r="BP131" s="49"/>
      <c r="BQ131" s="49"/>
      <c r="BR131" s="49"/>
      <c r="BS131" s="49"/>
      <c r="BT131" s="49"/>
      <c r="BU131" s="49"/>
      <c r="BV131" s="49"/>
      <c r="BW131" s="49"/>
      <c r="BX131" s="49"/>
      <c r="BY131" s="49"/>
      <c r="BZ131" s="49"/>
      <c r="CA131" s="49"/>
    </row>
    <row r="132" spans="1:79">
      <c r="A132" s="49"/>
      <c r="B132" s="49"/>
      <c r="C132" s="49"/>
      <c r="D132" s="70" t="s">
        <v>3707</v>
      </c>
      <c r="E132" s="70"/>
      <c r="F132" s="70" t="s">
        <v>114</v>
      </c>
      <c r="G132" s="70"/>
      <c r="H132" s="62">
        <v>2</v>
      </c>
      <c r="I132" s="62">
        <v>4</v>
      </c>
      <c r="J132" s="62">
        <v>8</v>
      </c>
      <c r="K132" s="62"/>
      <c r="L132" s="62">
        <v>100</v>
      </c>
      <c r="M132" s="62">
        <v>200</v>
      </c>
      <c r="N132" s="70"/>
      <c r="O132" s="62"/>
      <c r="P132" s="49"/>
      <c r="Q132" s="49"/>
      <c r="R132" s="82" t="s">
        <v>3708</v>
      </c>
      <c r="S132" s="71"/>
      <c r="T132" s="82" t="s">
        <v>3709</v>
      </c>
      <c r="U132" s="62"/>
      <c r="V132" s="62"/>
      <c r="W132" s="79"/>
      <c r="X132" s="62"/>
      <c r="Y132" s="49"/>
      <c r="Z132" s="62"/>
      <c r="AA132" s="62"/>
      <c r="AB132" s="62">
        <v>1</v>
      </c>
      <c r="AC132" s="62">
        <v>2</v>
      </c>
      <c r="AD132" s="62">
        <v>4</v>
      </c>
      <c r="AE132" s="62"/>
      <c r="AF132" s="62">
        <v>150</v>
      </c>
      <c r="AG132" s="62">
        <v>300</v>
      </c>
      <c r="AH132" s="62">
        <v>600</v>
      </c>
      <c r="AI132" s="49"/>
      <c r="AJ132" s="62" t="s">
        <v>3710</v>
      </c>
      <c r="AK132" s="49" t="s">
        <v>3510</v>
      </c>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84" t="s">
        <v>249</v>
      </c>
      <c r="BJ132" s="85"/>
      <c r="BK132" s="65" t="s">
        <v>243</v>
      </c>
      <c r="BL132" s="65" t="s">
        <v>244</v>
      </c>
      <c r="BM132" s="65" t="s">
        <v>245</v>
      </c>
      <c r="BN132" s="65" t="s">
        <v>644</v>
      </c>
      <c r="BO132" s="65" t="s">
        <v>3543</v>
      </c>
      <c r="BP132" s="101"/>
      <c r="BQ132" s="101"/>
      <c r="BR132" s="49"/>
      <c r="BS132" s="49"/>
      <c r="BT132" s="49"/>
      <c r="BU132" s="49"/>
      <c r="BV132" s="49"/>
      <c r="BW132" s="49"/>
      <c r="BX132" s="49"/>
      <c r="BY132" s="49"/>
      <c r="BZ132" s="49"/>
      <c r="CA132" s="49"/>
    </row>
    <row r="133" spans="1:79">
      <c r="A133" s="49"/>
      <c r="B133" s="49"/>
      <c r="C133" s="49"/>
      <c r="D133" s="70" t="s">
        <v>3711</v>
      </c>
      <c r="E133" s="70"/>
      <c r="F133" s="70" t="s">
        <v>40</v>
      </c>
      <c r="G133" s="70"/>
      <c r="H133" s="62">
        <v>6</v>
      </c>
      <c r="I133" s="62">
        <v>4</v>
      </c>
      <c r="J133" s="62">
        <v>8</v>
      </c>
      <c r="K133" s="62"/>
      <c r="L133" s="62">
        <v>100</v>
      </c>
      <c r="M133" s="62">
        <v>200</v>
      </c>
      <c r="N133" s="70"/>
      <c r="O133" s="62"/>
      <c r="P133" s="49"/>
      <c r="Q133" s="49"/>
      <c r="R133" s="70"/>
      <c r="S133" s="49"/>
      <c r="T133" s="49"/>
      <c r="U133" s="62"/>
      <c r="V133" s="62"/>
      <c r="W133" s="79"/>
      <c r="X133" s="62"/>
      <c r="Y133" s="49"/>
      <c r="Z133" s="62"/>
      <c r="AA133" s="62"/>
      <c r="AB133" s="62"/>
      <c r="AC133" s="62"/>
      <c r="AD133" s="62"/>
      <c r="AE133" s="62"/>
      <c r="AF133" s="76"/>
      <c r="AG133" s="62"/>
      <c r="AH133" s="62"/>
      <c r="AI133" s="62"/>
      <c r="AJ133" s="62" t="s">
        <v>3712</v>
      </c>
      <c r="AK133" s="49" t="s">
        <v>3411</v>
      </c>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70" t="s">
        <v>834</v>
      </c>
      <c r="BJ133" s="86"/>
      <c r="BK133" s="87">
        <v>1</v>
      </c>
      <c r="BL133" s="62">
        <v>577</v>
      </c>
      <c r="BM133" s="62">
        <v>31</v>
      </c>
      <c r="BN133" s="62">
        <f>BM133*20</f>
        <v>620</v>
      </c>
      <c r="BO133" s="62">
        <v>180</v>
      </c>
      <c r="BP133" s="101"/>
      <c r="BQ133" s="101"/>
      <c r="BR133" s="49"/>
      <c r="BS133" s="49"/>
      <c r="BT133" s="49"/>
      <c r="BU133" s="49"/>
      <c r="BV133" s="49"/>
      <c r="BW133" s="49"/>
      <c r="BX133" s="49"/>
      <c r="BY133" s="49"/>
      <c r="BZ133" s="49"/>
      <c r="CA133" s="49"/>
    </row>
    <row r="134" spans="1:79">
      <c r="A134" s="49"/>
      <c r="B134" s="49"/>
      <c r="C134" s="49"/>
      <c r="D134" s="70" t="s">
        <v>3713</v>
      </c>
      <c r="E134" s="70"/>
      <c r="F134" s="70" t="s">
        <v>57</v>
      </c>
      <c r="G134" s="70"/>
      <c r="H134" s="62">
        <v>1</v>
      </c>
      <c r="I134" s="62">
        <v>4</v>
      </c>
      <c r="J134" s="62">
        <v>8</v>
      </c>
      <c r="K134" s="62"/>
      <c r="L134" s="62">
        <v>100</v>
      </c>
      <c r="M134" s="62">
        <v>200</v>
      </c>
      <c r="N134" s="70"/>
      <c r="O134" s="62"/>
      <c r="P134" s="49"/>
      <c r="Q134" s="49"/>
      <c r="R134" s="70"/>
      <c r="S134" s="49"/>
      <c r="T134" s="49"/>
      <c r="U134" s="62"/>
      <c r="V134" s="62"/>
      <c r="W134" s="79"/>
      <c r="X134" s="62"/>
      <c r="Y134" s="49"/>
      <c r="Z134" s="62"/>
      <c r="AA134" s="62"/>
      <c r="AB134" s="62"/>
      <c r="AC134" s="62"/>
      <c r="AD134" s="62"/>
      <c r="AE134" s="62"/>
      <c r="AF134" s="76"/>
      <c r="AG134" s="62"/>
      <c r="AH134" s="62"/>
      <c r="AI134" s="62"/>
      <c r="AJ134" s="62" t="s">
        <v>3714</v>
      </c>
      <c r="AK134" s="49" t="s">
        <v>3715</v>
      </c>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70" t="s">
        <v>272</v>
      </c>
      <c r="BJ134" s="86"/>
      <c r="BK134" s="87">
        <v>2</v>
      </c>
      <c r="BL134" s="62">
        <v>762</v>
      </c>
      <c r="BM134" s="62">
        <v>43</v>
      </c>
      <c r="BN134" s="62">
        <f t="shared" ref="BN134:BN140" si="0">BM134*20</f>
        <v>860</v>
      </c>
      <c r="BO134" s="62">
        <v>320</v>
      </c>
      <c r="BP134" s="101"/>
      <c r="BQ134" s="101"/>
      <c r="BR134" s="49"/>
      <c r="BS134" s="49"/>
      <c r="BT134" s="49"/>
      <c r="BU134" s="49"/>
      <c r="BV134" s="49"/>
      <c r="BW134" s="49"/>
      <c r="BX134" s="49"/>
      <c r="BY134" s="49"/>
      <c r="BZ134" s="49"/>
      <c r="CA134" s="49"/>
    </row>
    <row r="135" spans="1:79">
      <c r="A135" s="49"/>
      <c r="B135" s="49"/>
      <c r="C135" s="49"/>
      <c r="D135" s="70" t="s">
        <v>3716</v>
      </c>
      <c r="E135" s="70"/>
      <c r="F135" s="70" t="s">
        <v>62</v>
      </c>
      <c r="G135" s="70"/>
      <c r="H135" s="62">
        <v>4</v>
      </c>
      <c r="I135" s="62">
        <v>4</v>
      </c>
      <c r="J135" s="62">
        <v>8</v>
      </c>
      <c r="K135" s="62"/>
      <c r="L135" s="62">
        <v>100</v>
      </c>
      <c r="M135" s="62">
        <v>200</v>
      </c>
      <c r="N135" s="70"/>
      <c r="O135" s="62"/>
      <c r="P135" s="49"/>
      <c r="Q135" s="49"/>
      <c r="R135" s="70"/>
      <c r="S135" s="49"/>
      <c r="T135" s="49"/>
      <c r="U135" s="62"/>
      <c r="V135" s="62"/>
      <c r="W135" s="62"/>
      <c r="X135" s="62"/>
      <c r="Y135" s="49"/>
      <c r="Z135" s="62"/>
      <c r="AA135" s="62"/>
      <c r="AB135" s="62"/>
      <c r="AC135" s="62"/>
      <c r="AD135" s="62"/>
      <c r="AE135" s="62"/>
      <c r="AF135" s="76"/>
      <c r="AG135" s="62"/>
      <c r="AH135" s="62"/>
      <c r="AI135" s="62"/>
      <c r="AJ135" s="62" t="s">
        <v>3717</v>
      </c>
      <c r="AK135" s="49" t="s">
        <v>3718</v>
      </c>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88" t="s">
        <v>279</v>
      </c>
      <c r="BJ135" s="89"/>
      <c r="BK135" s="99">
        <v>3</v>
      </c>
      <c r="BL135" s="62">
        <v>1122</v>
      </c>
      <c r="BM135" s="62">
        <v>63</v>
      </c>
      <c r="BN135" s="62">
        <f t="shared" si="0"/>
        <v>1260</v>
      </c>
      <c r="BO135" s="62">
        <v>440</v>
      </c>
      <c r="BP135" s="101"/>
      <c r="BQ135" s="101"/>
      <c r="BR135" s="49"/>
      <c r="BS135" s="49"/>
      <c r="BT135" s="49"/>
      <c r="BU135" s="49"/>
      <c r="BV135" s="49"/>
      <c r="BW135" s="49"/>
      <c r="BX135" s="49"/>
      <c r="BY135" s="49"/>
      <c r="BZ135" s="49"/>
      <c r="CA135" s="49"/>
    </row>
    <row r="136" spans="1:79">
      <c r="A136" s="49"/>
      <c r="B136" s="49"/>
      <c r="C136" s="49"/>
      <c r="D136" s="70" t="s">
        <v>3719</v>
      </c>
      <c r="E136" s="70"/>
      <c r="F136" s="70" t="s">
        <v>23</v>
      </c>
      <c r="G136" s="70"/>
      <c r="H136" s="62">
        <v>1</v>
      </c>
      <c r="I136" s="62">
        <v>4</v>
      </c>
      <c r="J136" s="62">
        <v>8</v>
      </c>
      <c r="K136" s="62"/>
      <c r="L136" s="62">
        <v>100</v>
      </c>
      <c r="M136" s="62">
        <v>200</v>
      </c>
      <c r="N136" s="70"/>
      <c r="O136" s="62"/>
      <c r="P136" s="49"/>
      <c r="Q136" s="49"/>
      <c r="R136" s="62"/>
      <c r="S136" s="62"/>
      <c r="T136" s="62"/>
      <c r="U136" s="62"/>
      <c r="V136" s="62"/>
      <c r="W136" s="62"/>
      <c r="X136" s="62"/>
      <c r="Y136" s="49"/>
      <c r="Z136" s="62"/>
      <c r="AA136" s="62"/>
      <c r="AB136" s="62"/>
      <c r="AC136" s="62"/>
      <c r="AD136" s="62"/>
      <c r="AE136" s="62"/>
      <c r="AF136" s="76"/>
      <c r="AG136" s="62"/>
      <c r="AH136" s="62"/>
      <c r="AI136" s="62"/>
      <c r="AJ136" s="62" t="s">
        <v>3720</v>
      </c>
      <c r="AK136" s="49" t="s">
        <v>3721</v>
      </c>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70" t="s">
        <v>662</v>
      </c>
      <c r="BJ136" s="85"/>
      <c r="BK136" s="90">
        <v>4</v>
      </c>
      <c r="BL136" s="62">
        <v>1591</v>
      </c>
      <c r="BM136" s="62">
        <v>96</v>
      </c>
      <c r="BN136" s="62">
        <f t="shared" si="0"/>
        <v>1920</v>
      </c>
      <c r="BO136" s="62">
        <v>560</v>
      </c>
      <c r="BP136" s="101"/>
      <c r="BQ136" s="101"/>
      <c r="BR136" s="49"/>
      <c r="BS136" s="49"/>
      <c r="BT136" s="49"/>
      <c r="BU136" s="49"/>
      <c r="BV136" s="49"/>
      <c r="BW136" s="49"/>
      <c r="BX136" s="49"/>
      <c r="BY136" s="49"/>
      <c r="BZ136" s="49"/>
      <c r="CA136" s="49"/>
    </row>
    <row r="137" spans="1:79">
      <c r="A137" s="49"/>
      <c r="B137" s="49"/>
      <c r="C137" s="49"/>
      <c r="D137" s="70" t="s">
        <v>3722</v>
      </c>
      <c r="E137" s="70"/>
      <c r="F137" s="70" t="s">
        <v>29</v>
      </c>
      <c r="G137" s="70"/>
      <c r="H137" s="62">
        <v>2</v>
      </c>
      <c r="I137" s="62">
        <v>4</v>
      </c>
      <c r="J137" s="62">
        <v>8</v>
      </c>
      <c r="K137" s="62"/>
      <c r="L137" s="62">
        <v>100</v>
      </c>
      <c r="M137" s="62">
        <v>200</v>
      </c>
      <c r="N137" s="70"/>
      <c r="O137" s="62"/>
      <c r="P137" s="49"/>
      <c r="Q137" s="49"/>
      <c r="R137" s="62"/>
      <c r="S137" s="62"/>
      <c r="T137" s="62"/>
      <c r="U137" s="62"/>
      <c r="V137" s="62"/>
      <c r="W137" s="71"/>
      <c r="X137" s="49"/>
      <c r="Y137" s="49"/>
      <c r="Z137" s="49"/>
      <c r="AA137" s="49"/>
      <c r="AB137" s="62"/>
      <c r="AC137" s="62"/>
      <c r="AD137" s="62"/>
      <c r="AE137" s="62"/>
      <c r="AF137" s="76"/>
      <c r="AG137" s="62"/>
      <c r="AH137" s="62"/>
      <c r="AI137" s="62"/>
      <c r="AJ137" s="62" t="s">
        <v>3723</v>
      </c>
      <c r="AK137" s="49" t="s">
        <v>3724</v>
      </c>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70" t="s">
        <v>287</v>
      </c>
      <c r="BJ137" s="86"/>
      <c r="BK137" s="91">
        <v>5</v>
      </c>
      <c r="BL137" s="62">
        <v>2120</v>
      </c>
      <c r="BM137" s="62">
        <v>120</v>
      </c>
      <c r="BN137" s="62">
        <f t="shared" si="0"/>
        <v>2400</v>
      </c>
      <c r="BO137" s="62">
        <v>750</v>
      </c>
      <c r="BP137" s="101"/>
      <c r="BQ137" s="101"/>
      <c r="BR137" s="49"/>
      <c r="BS137" s="49"/>
      <c r="BT137" s="49"/>
      <c r="BU137" s="49"/>
      <c r="BV137" s="49"/>
      <c r="BW137" s="49"/>
      <c r="BX137" s="49"/>
      <c r="BY137" s="49"/>
      <c r="BZ137" s="49"/>
      <c r="CA137" s="49"/>
    </row>
    <row r="138" spans="1:79">
      <c r="A138" s="49"/>
      <c r="B138" s="49"/>
      <c r="C138" s="49"/>
      <c r="D138" s="70" t="s">
        <v>3725</v>
      </c>
      <c r="E138" s="70"/>
      <c r="F138" s="70" t="s">
        <v>76</v>
      </c>
      <c r="G138" s="70"/>
      <c r="H138" s="62">
        <v>2</v>
      </c>
      <c r="I138" s="62">
        <v>4</v>
      </c>
      <c r="J138" s="62">
        <v>8</v>
      </c>
      <c r="K138" s="62"/>
      <c r="L138" s="62">
        <v>100</v>
      </c>
      <c r="M138" s="62">
        <v>200</v>
      </c>
      <c r="N138" s="70"/>
      <c r="O138" s="62"/>
      <c r="P138" s="49"/>
      <c r="Q138" s="49"/>
      <c r="R138" s="611" t="s">
        <v>3726</v>
      </c>
      <c r="S138" s="611"/>
      <c r="T138" s="611"/>
      <c r="U138" s="62"/>
      <c r="V138" s="62"/>
      <c r="W138" s="71"/>
      <c r="X138" s="49"/>
      <c r="Y138" s="49"/>
      <c r="Z138" s="49"/>
      <c r="AA138" s="49"/>
      <c r="AB138" s="62"/>
      <c r="AC138" s="62"/>
      <c r="AD138" s="62"/>
      <c r="AE138" s="62"/>
      <c r="AF138" s="76"/>
      <c r="AG138" s="62"/>
      <c r="AH138" s="62"/>
      <c r="AI138" s="62"/>
      <c r="AJ138" s="62" t="s">
        <v>3727</v>
      </c>
      <c r="AK138" s="49" t="s">
        <v>3728</v>
      </c>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88"/>
      <c r="BJ138" s="89"/>
      <c r="BK138" s="92">
        <v>6</v>
      </c>
      <c r="BL138" s="62">
        <v>2653</v>
      </c>
      <c r="BM138" s="62">
        <v>149</v>
      </c>
      <c r="BN138" s="62">
        <f t="shared" si="0"/>
        <v>2980</v>
      </c>
      <c r="BO138" s="62">
        <v>875</v>
      </c>
      <c r="BP138" s="101"/>
      <c r="BQ138" s="101"/>
      <c r="BR138" s="49"/>
      <c r="BS138" s="49"/>
      <c r="BT138" s="49"/>
      <c r="BU138" s="49"/>
      <c r="BV138" s="49"/>
      <c r="BW138" s="49"/>
      <c r="BX138" s="49"/>
      <c r="BY138" s="49"/>
      <c r="BZ138" s="49"/>
      <c r="CA138" s="49"/>
    </row>
    <row r="139" spans="1:79">
      <c r="A139" s="49"/>
      <c r="B139" s="49"/>
      <c r="C139" s="49"/>
      <c r="D139" s="70" t="s">
        <v>3729</v>
      </c>
      <c r="E139" s="70"/>
      <c r="F139" s="70" t="s">
        <v>146</v>
      </c>
      <c r="G139" s="70"/>
      <c r="H139" s="62">
        <v>8</v>
      </c>
      <c r="I139" s="62">
        <v>4</v>
      </c>
      <c r="J139" s="62">
        <v>8</v>
      </c>
      <c r="K139" s="62"/>
      <c r="L139" s="62">
        <v>100</v>
      </c>
      <c r="M139" s="62">
        <v>200</v>
      </c>
      <c r="N139" s="70"/>
      <c r="O139" s="62"/>
      <c r="P139" s="49"/>
      <c r="Q139" s="49"/>
      <c r="R139" s="612"/>
      <c r="S139" s="612"/>
      <c r="T139" s="612"/>
      <c r="U139" s="72"/>
      <c r="V139" s="66"/>
      <c r="W139" s="73"/>
      <c r="X139" s="67"/>
      <c r="Y139" s="67"/>
      <c r="Z139" s="67"/>
      <c r="AA139" s="67"/>
      <c r="AB139" s="67"/>
      <c r="AC139" s="67"/>
      <c r="AD139" s="67"/>
      <c r="AE139" s="67"/>
      <c r="AF139" s="67"/>
      <c r="AG139" s="67"/>
      <c r="AH139" s="67"/>
      <c r="AI139" s="62"/>
      <c r="AJ139" s="62" t="s">
        <v>3730</v>
      </c>
      <c r="AK139" s="49" t="s">
        <v>3731</v>
      </c>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70" t="s">
        <v>566</v>
      </c>
      <c r="BJ139" s="85"/>
      <c r="BK139" s="93">
        <v>7</v>
      </c>
      <c r="BL139" s="62">
        <v>3301</v>
      </c>
      <c r="BM139" s="62">
        <v>178</v>
      </c>
      <c r="BN139" s="62">
        <f t="shared" si="0"/>
        <v>3560</v>
      </c>
      <c r="BO139" s="62">
        <v>1000</v>
      </c>
      <c r="BP139" s="101"/>
      <c r="BQ139" s="101"/>
      <c r="BR139" s="49"/>
      <c r="BS139" s="49"/>
      <c r="BT139" s="49"/>
      <c r="BU139" s="49"/>
      <c r="BV139" s="49"/>
      <c r="BW139" s="49"/>
      <c r="BX139" s="49"/>
      <c r="BY139" s="49"/>
      <c r="BZ139" s="49"/>
      <c r="CA139" s="49"/>
    </row>
    <row r="140" spans="1:79">
      <c r="A140" s="49"/>
      <c r="B140" s="49"/>
      <c r="C140" s="49"/>
      <c r="D140" s="70" t="s">
        <v>3732</v>
      </c>
      <c r="E140" s="70"/>
      <c r="F140" s="70" t="s">
        <v>3733</v>
      </c>
      <c r="G140" s="70"/>
      <c r="H140" s="62">
        <v>2</v>
      </c>
      <c r="I140" s="62">
        <v>4</v>
      </c>
      <c r="J140" s="62">
        <v>8</v>
      </c>
      <c r="K140" s="62"/>
      <c r="L140" s="62">
        <v>100</v>
      </c>
      <c r="M140" s="62">
        <v>200</v>
      </c>
      <c r="N140" s="70"/>
      <c r="O140" s="62"/>
      <c r="P140" s="49"/>
      <c r="Q140" s="49"/>
      <c r="R140" s="68"/>
      <c r="S140" s="68"/>
      <c r="T140" s="68"/>
      <c r="U140" s="68"/>
      <c r="V140" s="68"/>
      <c r="W140" s="74"/>
      <c r="X140" s="75"/>
      <c r="Y140" s="75"/>
      <c r="Z140" s="75"/>
      <c r="AA140" s="75"/>
      <c r="AB140" s="75"/>
      <c r="AC140" s="75"/>
      <c r="AD140" s="75"/>
      <c r="AE140" s="75"/>
      <c r="AF140" s="75"/>
      <c r="AG140" s="75"/>
      <c r="AH140" s="75"/>
      <c r="AI140" s="62"/>
      <c r="AJ140" s="62" t="s">
        <v>3734</v>
      </c>
      <c r="AK140" s="49" t="s">
        <v>3735</v>
      </c>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70" t="s">
        <v>3736</v>
      </c>
      <c r="BJ140" s="86"/>
      <c r="BK140" s="94">
        <v>8</v>
      </c>
      <c r="BL140" s="62">
        <v>3550</v>
      </c>
      <c r="BM140" s="62">
        <v>192</v>
      </c>
      <c r="BN140" s="62">
        <f t="shared" si="0"/>
        <v>3840</v>
      </c>
      <c r="BO140" s="62">
        <v>1000</v>
      </c>
      <c r="BP140" s="102"/>
      <c r="BQ140" s="49"/>
      <c r="BR140" s="49"/>
      <c r="BS140" s="49"/>
      <c r="BT140" s="49"/>
      <c r="BU140" s="49"/>
      <c r="BV140" s="49"/>
      <c r="BW140" s="49"/>
      <c r="BX140" s="49"/>
      <c r="BY140" s="49"/>
      <c r="BZ140" s="49"/>
      <c r="CA140" s="49"/>
    </row>
    <row r="141" spans="1:79">
      <c r="A141" s="49"/>
      <c r="B141" s="49"/>
      <c r="C141" s="49"/>
      <c r="D141" s="70" t="s">
        <v>3737</v>
      </c>
      <c r="E141" s="70"/>
      <c r="F141" s="70" t="s">
        <v>150</v>
      </c>
      <c r="G141" s="70"/>
      <c r="H141" s="62">
        <v>2</v>
      </c>
      <c r="I141" s="62">
        <v>4</v>
      </c>
      <c r="J141" s="62">
        <v>8</v>
      </c>
      <c r="K141" s="62"/>
      <c r="L141" s="62">
        <v>100</v>
      </c>
      <c r="M141" s="62">
        <v>200</v>
      </c>
      <c r="N141" s="70"/>
      <c r="O141" s="62"/>
      <c r="P141" s="49"/>
      <c r="Q141" s="49"/>
      <c r="R141" s="62"/>
      <c r="S141" s="62"/>
      <c r="T141" s="62"/>
      <c r="U141" s="62"/>
      <c r="V141" s="62"/>
      <c r="W141" s="71"/>
      <c r="X141" s="49"/>
      <c r="Y141" s="49"/>
      <c r="Z141" s="49"/>
      <c r="AA141" s="49"/>
      <c r="AB141" s="599" t="s">
        <v>2776</v>
      </c>
      <c r="AC141" s="599"/>
      <c r="AD141" s="599"/>
      <c r="AE141" s="49"/>
      <c r="AF141" s="599" t="s">
        <v>3160</v>
      </c>
      <c r="AG141" s="599"/>
      <c r="AH141" s="599"/>
      <c r="AI141" s="62"/>
      <c r="AJ141" s="62" t="s">
        <v>3738</v>
      </c>
      <c r="AK141" s="49" t="s">
        <v>3739</v>
      </c>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95" t="s">
        <v>324</v>
      </c>
      <c r="BJ141" s="49"/>
      <c r="BK141" s="49"/>
      <c r="BL141" s="49"/>
      <c r="BM141" s="49"/>
      <c r="BN141" s="49"/>
      <c r="BO141" s="49"/>
      <c r="BP141" s="49"/>
      <c r="BQ141" s="49"/>
      <c r="BR141" s="49"/>
      <c r="BS141" s="49"/>
      <c r="BT141" s="49"/>
      <c r="BU141" s="49"/>
      <c r="BV141" s="49"/>
      <c r="BW141" s="49"/>
      <c r="BX141" s="49"/>
      <c r="BY141" s="49"/>
      <c r="BZ141" s="49"/>
      <c r="CA141" s="49"/>
    </row>
    <row r="142" spans="1:79">
      <c r="A142" s="49"/>
      <c r="B142" s="49"/>
      <c r="C142" s="49"/>
      <c r="D142" s="70" t="s">
        <v>3740</v>
      </c>
      <c r="E142" s="70"/>
      <c r="F142" s="70" t="s">
        <v>147</v>
      </c>
      <c r="G142" s="70"/>
      <c r="H142" s="62">
        <v>1</v>
      </c>
      <c r="I142" s="62">
        <v>4</v>
      </c>
      <c r="J142" s="62">
        <v>8</v>
      </c>
      <c r="K142" s="62"/>
      <c r="L142" s="62">
        <v>100</v>
      </c>
      <c r="M142" s="62">
        <v>200</v>
      </c>
      <c r="N142" s="70"/>
      <c r="O142" s="62"/>
      <c r="P142" s="49"/>
      <c r="Q142" s="49"/>
      <c r="R142" s="603" t="s">
        <v>3167</v>
      </c>
      <c r="S142" s="603"/>
      <c r="T142" s="603"/>
      <c r="U142" s="72"/>
      <c r="V142" s="72"/>
      <c r="W142" s="72"/>
      <c r="X142" s="72"/>
      <c r="Y142" s="72"/>
      <c r="Z142" s="72"/>
      <c r="AA142" s="49"/>
      <c r="AB142" s="66" t="s">
        <v>3096</v>
      </c>
      <c r="AC142" s="66" t="s">
        <v>3085</v>
      </c>
      <c r="AD142" s="66" t="s">
        <v>3104</v>
      </c>
      <c r="AE142" s="49"/>
      <c r="AF142" s="66" t="s">
        <v>3096</v>
      </c>
      <c r="AG142" s="66" t="s">
        <v>3085</v>
      </c>
      <c r="AH142" s="66" t="s">
        <v>3104</v>
      </c>
      <c r="AI142" s="62"/>
      <c r="AJ142" s="62" t="s">
        <v>3741</v>
      </c>
      <c r="AK142" s="49" t="s">
        <v>3742</v>
      </c>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row>
    <row r="143" spans="1:79">
      <c r="A143" s="49"/>
      <c r="B143" s="49"/>
      <c r="C143" s="49"/>
      <c r="D143" s="70" t="s">
        <v>3743</v>
      </c>
      <c r="E143" s="70"/>
      <c r="F143" s="70" t="s">
        <v>141</v>
      </c>
      <c r="G143" s="70"/>
      <c r="H143" s="62">
        <v>4</v>
      </c>
      <c r="I143" s="62">
        <v>4</v>
      </c>
      <c r="J143" s="62">
        <v>8</v>
      </c>
      <c r="K143" s="62"/>
      <c r="L143" s="62">
        <v>100</v>
      </c>
      <c r="M143" s="62">
        <v>200</v>
      </c>
      <c r="N143" s="70"/>
      <c r="O143" s="62"/>
      <c r="P143" s="49"/>
      <c r="Q143" s="49"/>
      <c r="R143" s="82" t="s">
        <v>3725</v>
      </c>
      <c r="S143" s="82"/>
      <c r="T143" s="82" t="s">
        <v>3744</v>
      </c>
      <c r="U143" s="70"/>
      <c r="V143" s="70"/>
      <c r="W143" s="70"/>
      <c r="X143" s="70"/>
      <c r="Y143" s="70"/>
      <c r="Z143" s="70"/>
      <c r="AA143" s="62"/>
      <c r="AB143" s="62" t="s">
        <v>3173</v>
      </c>
      <c r="AC143" s="62">
        <v>1</v>
      </c>
      <c r="AD143" s="62" t="s">
        <v>3173</v>
      </c>
      <c r="AE143" s="62"/>
      <c r="AF143" s="62" t="s">
        <v>3173</v>
      </c>
      <c r="AG143" s="62">
        <v>150</v>
      </c>
      <c r="AH143" s="62" t="s">
        <v>3173</v>
      </c>
      <c r="AI143" s="62"/>
      <c r="AJ143" s="62" t="s">
        <v>3745</v>
      </c>
      <c r="AK143" s="49" t="s">
        <v>3746</v>
      </c>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row>
    <row r="144" spans="1:79">
      <c r="A144" s="49"/>
      <c r="B144" s="49"/>
      <c r="C144" s="49"/>
      <c r="D144" s="70" t="s">
        <v>3747</v>
      </c>
      <c r="E144" s="70"/>
      <c r="F144" s="70" t="s">
        <v>160</v>
      </c>
      <c r="G144" s="70"/>
      <c r="H144" s="62">
        <v>4</v>
      </c>
      <c r="I144" s="62">
        <v>4</v>
      </c>
      <c r="J144" s="62">
        <v>8</v>
      </c>
      <c r="K144" s="62"/>
      <c r="L144" s="62">
        <v>100</v>
      </c>
      <c r="M144" s="62">
        <v>200</v>
      </c>
      <c r="N144" s="70"/>
      <c r="O144" s="62"/>
      <c r="P144" s="49"/>
      <c r="Q144" s="49"/>
      <c r="R144" s="82" t="s">
        <v>3680</v>
      </c>
      <c r="S144" s="82"/>
      <c r="T144" s="82" t="s">
        <v>3748</v>
      </c>
      <c r="U144" s="70"/>
      <c r="V144" s="70"/>
      <c r="W144" s="70"/>
      <c r="X144" s="70"/>
      <c r="Y144" s="70"/>
      <c r="Z144" s="70"/>
      <c r="AA144" s="62"/>
      <c r="AB144" s="62" t="s">
        <v>3173</v>
      </c>
      <c r="AC144" s="62">
        <v>1</v>
      </c>
      <c r="AD144" s="62" t="s">
        <v>3173</v>
      </c>
      <c r="AE144" s="62"/>
      <c r="AF144" s="62" t="s">
        <v>3173</v>
      </c>
      <c r="AG144" s="62">
        <v>150</v>
      </c>
      <c r="AH144" s="62" t="s">
        <v>3173</v>
      </c>
      <c r="AI144" s="62"/>
      <c r="AJ144" s="62" t="s">
        <v>3749</v>
      </c>
      <c r="AK144" s="49" t="s">
        <v>3750</v>
      </c>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t="s">
        <v>1781</v>
      </c>
      <c r="BJ144" s="49"/>
      <c r="BK144" s="49" t="s">
        <v>3751</v>
      </c>
      <c r="BL144" s="49"/>
      <c r="BM144" s="49"/>
      <c r="BN144" s="49"/>
      <c r="BO144" s="49"/>
      <c r="BP144" s="49" t="s">
        <v>1782</v>
      </c>
      <c r="BQ144" s="49"/>
      <c r="BR144" s="49"/>
      <c r="BS144" s="49"/>
      <c r="BT144" s="49"/>
      <c r="BU144" s="49"/>
      <c r="BV144" s="49"/>
      <c r="BW144" s="49"/>
      <c r="BX144" s="49"/>
      <c r="BY144" s="49"/>
      <c r="BZ144" s="49"/>
      <c r="CA144" s="49"/>
    </row>
    <row r="145" spans="1:79">
      <c r="A145" s="49"/>
      <c r="B145" s="49"/>
      <c r="C145" s="49"/>
      <c r="D145" s="70" t="s">
        <v>3752</v>
      </c>
      <c r="E145" s="70"/>
      <c r="F145" s="70" t="s">
        <v>140</v>
      </c>
      <c r="G145" s="70"/>
      <c r="H145" s="62">
        <v>4</v>
      </c>
      <c r="I145" s="62">
        <v>4</v>
      </c>
      <c r="J145" s="62">
        <v>8</v>
      </c>
      <c r="K145" s="62"/>
      <c r="L145" s="62">
        <v>100</v>
      </c>
      <c r="M145" s="62">
        <v>200</v>
      </c>
      <c r="N145" s="70"/>
      <c r="O145" s="62"/>
      <c r="P145" s="49"/>
      <c r="Q145" s="49"/>
      <c r="R145" s="82" t="s">
        <v>3716</v>
      </c>
      <c r="S145" s="82"/>
      <c r="T145" s="82" t="s">
        <v>3753</v>
      </c>
      <c r="U145" s="70"/>
      <c r="V145" s="70"/>
      <c r="W145" s="70"/>
      <c r="X145" s="70"/>
      <c r="Y145" s="70"/>
      <c r="Z145" s="70"/>
      <c r="AA145" s="62"/>
      <c r="AB145" s="62" t="s">
        <v>3173</v>
      </c>
      <c r="AC145" s="62">
        <v>1</v>
      </c>
      <c r="AD145" s="62" t="s">
        <v>3173</v>
      </c>
      <c r="AE145" s="62"/>
      <c r="AF145" s="62" t="s">
        <v>3173</v>
      </c>
      <c r="AG145" s="62">
        <v>150</v>
      </c>
      <c r="AH145" s="62" t="s">
        <v>3173</v>
      </c>
      <c r="AI145" s="62"/>
      <c r="AJ145" s="62" t="s">
        <v>3754</v>
      </c>
      <c r="AK145" s="49" t="s">
        <v>3755</v>
      </c>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84" t="s">
        <v>352</v>
      </c>
      <c r="BJ145" s="85"/>
      <c r="BK145" s="65" t="s">
        <v>238</v>
      </c>
      <c r="BL145" s="65" t="s">
        <v>244</v>
      </c>
      <c r="BM145" s="65" t="s">
        <v>353</v>
      </c>
      <c r="BN145" s="65" t="s">
        <v>355</v>
      </c>
      <c r="BO145" s="65" t="s">
        <v>3543</v>
      </c>
      <c r="BP145" s="108" t="s">
        <v>244</v>
      </c>
      <c r="BQ145" s="65" t="s">
        <v>245</v>
      </c>
      <c r="BR145" s="49"/>
      <c r="BS145" s="49"/>
      <c r="BT145" s="49"/>
      <c r="BU145" s="49"/>
      <c r="BV145" s="49"/>
      <c r="BW145" s="49"/>
      <c r="BX145" s="49"/>
      <c r="BY145" s="49"/>
      <c r="BZ145" s="49"/>
      <c r="CA145" s="49"/>
    </row>
    <row r="146" spans="1:79">
      <c r="A146" s="49"/>
      <c r="B146" s="49"/>
      <c r="C146" s="49"/>
      <c r="D146" s="70" t="s">
        <v>3756</v>
      </c>
      <c r="E146" s="70"/>
      <c r="F146" s="70" t="s">
        <v>155</v>
      </c>
      <c r="G146" s="70"/>
      <c r="H146" s="62">
        <v>2</v>
      </c>
      <c r="I146" s="62">
        <v>4</v>
      </c>
      <c r="J146" s="62">
        <v>8</v>
      </c>
      <c r="K146" s="62"/>
      <c r="L146" s="62">
        <v>100</v>
      </c>
      <c r="M146" s="62">
        <v>200</v>
      </c>
      <c r="N146" s="70"/>
      <c r="O146" s="62"/>
      <c r="P146" s="49"/>
      <c r="Q146" s="49"/>
      <c r="R146" s="82" t="s">
        <v>3722</v>
      </c>
      <c r="S146" s="82"/>
      <c r="T146" s="82" t="s">
        <v>3757</v>
      </c>
      <c r="U146" s="70"/>
      <c r="V146" s="70"/>
      <c r="W146" s="70"/>
      <c r="X146" s="70"/>
      <c r="Y146" s="70"/>
      <c r="Z146" s="70"/>
      <c r="AA146" s="62"/>
      <c r="AB146" s="62" t="s">
        <v>3173</v>
      </c>
      <c r="AC146" s="62">
        <v>6</v>
      </c>
      <c r="AD146" s="62" t="s">
        <v>3173</v>
      </c>
      <c r="AE146" s="62"/>
      <c r="AF146" s="62" t="s">
        <v>3173</v>
      </c>
      <c r="AG146" s="62">
        <v>1650</v>
      </c>
      <c r="AH146" s="62" t="s">
        <v>3173</v>
      </c>
      <c r="AI146" s="62"/>
      <c r="AJ146" s="62" t="s">
        <v>3758</v>
      </c>
      <c r="AK146" s="49" t="s">
        <v>3759</v>
      </c>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70" t="s">
        <v>260</v>
      </c>
      <c r="BJ146" s="86"/>
      <c r="BK146" s="87">
        <v>1</v>
      </c>
      <c r="BL146" s="62">
        <v>90</v>
      </c>
      <c r="BM146" s="62">
        <v>115</v>
      </c>
      <c r="BN146" s="62">
        <f>BM146*4</f>
        <v>460</v>
      </c>
      <c r="BO146" s="62">
        <v>250</v>
      </c>
      <c r="BP146" s="109">
        <v>37</v>
      </c>
      <c r="BQ146" s="62">
        <v>9</v>
      </c>
      <c r="BR146" s="49"/>
      <c r="BS146" s="49"/>
      <c r="BT146" s="49"/>
      <c r="BU146" s="49"/>
      <c r="BV146" s="49"/>
      <c r="BW146" s="49"/>
      <c r="BX146" s="49"/>
      <c r="BY146" s="49"/>
      <c r="BZ146" s="49"/>
      <c r="CA146" s="49"/>
    </row>
    <row r="147" spans="1:79">
      <c r="A147" s="49"/>
      <c r="B147" s="49"/>
      <c r="C147" s="49"/>
      <c r="D147" s="70" t="s">
        <v>3760</v>
      </c>
      <c r="E147" s="70"/>
      <c r="F147" s="70" t="s">
        <v>144</v>
      </c>
      <c r="G147" s="70"/>
      <c r="H147" s="62">
        <v>2</v>
      </c>
      <c r="I147" s="62">
        <v>4</v>
      </c>
      <c r="J147" s="62">
        <v>8</v>
      </c>
      <c r="K147" s="62"/>
      <c r="L147" s="62">
        <v>100</v>
      </c>
      <c r="M147" s="62">
        <v>200</v>
      </c>
      <c r="N147" s="70"/>
      <c r="O147" s="62"/>
      <c r="P147" s="49"/>
      <c r="Q147" s="49"/>
      <c r="R147" s="82" t="s">
        <v>3685</v>
      </c>
      <c r="S147" s="82"/>
      <c r="T147" s="82" t="s">
        <v>3761</v>
      </c>
      <c r="U147" s="70"/>
      <c r="V147" s="70"/>
      <c r="W147" s="70"/>
      <c r="X147" s="70"/>
      <c r="Y147" s="70"/>
      <c r="Z147" s="70"/>
      <c r="AA147" s="62"/>
      <c r="AB147" s="62" t="s">
        <v>3173</v>
      </c>
      <c r="AC147" s="62">
        <v>1</v>
      </c>
      <c r="AD147" s="62" t="s">
        <v>3173</v>
      </c>
      <c r="AE147" s="62"/>
      <c r="AF147" s="62" t="s">
        <v>3173</v>
      </c>
      <c r="AG147" s="62">
        <v>150</v>
      </c>
      <c r="AH147" s="62" t="s">
        <v>3173</v>
      </c>
      <c r="AI147" s="62"/>
      <c r="AJ147" s="62" t="s">
        <v>3762</v>
      </c>
      <c r="AK147" s="49" t="s">
        <v>3763</v>
      </c>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70"/>
      <c r="BJ147" s="86"/>
      <c r="BK147" s="87">
        <v>2</v>
      </c>
      <c r="BL147" s="62">
        <v>111</v>
      </c>
      <c r="BM147" s="62">
        <v>142</v>
      </c>
      <c r="BN147" s="62">
        <f t="shared" ref="BN147:BN148" si="1">BM147*4</f>
        <v>568</v>
      </c>
      <c r="BO147" s="62">
        <v>250</v>
      </c>
      <c r="BP147" s="109">
        <v>46</v>
      </c>
      <c r="BQ147" s="62">
        <v>11</v>
      </c>
      <c r="BR147" s="49"/>
      <c r="BS147" s="49"/>
      <c r="BT147" s="49"/>
      <c r="BU147" s="49"/>
      <c r="BV147" s="49"/>
      <c r="BW147" s="49"/>
      <c r="BX147" s="49"/>
      <c r="BY147" s="49"/>
      <c r="BZ147" s="49"/>
      <c r="CA147" s="49"/>
    </row>
    <row r="148" spans="1:79">
      <c r="A148" s="49"/>
      <c r="B148" s="49"/>
      <c r="C148" s="49"/>
      <c r="D148" s="70" t="s">
        <v>3764</v>
      </c>
      <c r="E148" s="70"/>
      <c r="F148" s="70" t="s">
        <v>158</v>
      </c>
      <c r="G148" s="70"/>
      <c r="H148" s="62">
        <v>1</v>
      </c>
      <c r="I148" s="62">
        <v>4</v>
      </c>
      <c r="J148" s="62">
        <v>8</v>
      </c>
      <c r="K148" s="62"/>
      <c r="L148" s="62">
        <v>100</v>
      </c>
      <c r="M148" s="62">
        <v>200</v>
      </c>
      <c r="N148" s="70"/>
      <c r="O148" s="62"/>
      <c r="P148" s="49"/>
      <c r="Q148" s="49"/>
      <c r="R148" s="82" t="s">
        <v>3646</v>
      </c>
      <c r="S148" s="82"/>
      <c r="T148" s="82" t="s">
        <v>3765</v>
      </c>
      <c r="U148" s="70"/>
      <c r="V148" s="70"/>
      <c r="W148" s="70"/>
      <c r="X148" s="70"/>
      <c r="Y148" s="70"/>
      <c r="Z148" s="70"/>
      <c r="AA148" s="62"/>
      <c r="AB148" s="62" t="s">
        <v>3173</v>
      </c>
      <c r="AC148" s="62">
        <v>1</v>
      </c>
      <c r="AD148" s="62" t="s">
        <v>3173</v>
      </c>
      <c r="AE148" s="62"/>
      <c r="AF148" s="62" t="s">
        <v>3173</v>
      </c>
      <c r="AG148" s="62">
        <v>150</v>
      </c>
      <c r="AH148" s="62" t="s">
        <v>3173</v>
      </c>
      <c r="AI148" s="62"/>
      <c r="AJ148" s="62" t="s">
        <v>3766</v>
      </c>
      <c r="AK148" s="49" t="s">
        <v>3767</v>
      </c>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88" t="s">
        <v>700</v>
      </c>
      <c r="BJ148" s="89"/>
      <c r="BK148" s="87">
        <v>3</v>
      </c>
      <c r="BL148" s="62">
        <v>132</v>
      </c>
      <c r="BM148" s="62">
        <v>168</v>
      </c>
      <c r="BN148" s="62">
        <f t="shared" si="1"/>
        <v>672</v>
      </c>
      <c r="BO148" s="62">
        <v>250</v>
      </c>
      <c r="BP148" s="109">
        <v>55</v>
      </c>
      <c r="BQ148" s="62">
        <v>13</v>
      </c>
      <c r="BR148" s="49"/>
      <c r="BS148" s="49"/>
      <c r="BT148" s="49"/>
      <c r="BU148" s="49"/>
      <c r="BV148" s="49"/>
      <c r="BW148" s="49"/>
      <c r="BX148" s="49"/>
      <c r="BY148" s="49"/>
      <c r="BZ148" s="49"/>
      <c r="CA148" s="49"/>
    </row>
    <row r="149" spans="1:79">
      <c r="A149" s="49"/>
      <c r="B149" s="49"/>
      <c r="C149" s="49"/>
      <c r="D149" s="70" t="s">
        <v>3768</v>
      </c>
      <c r="E149" s="70"/>
      <c r="F149" s="70" t="s">
        <v>152</v>
      </c>
      <c r="G149" s="70"/>
      <c r="H149" s="62">
        <v>2</v>
      </c>
      <c r="I149" s="62">
        <v>4</v>
      </c>
      <c r="J149" s="62">
        <v>8</v>
      </c>
      <c r="K149" s="62"/>
      <c r="L149" s="62">
        <v>100</v>
      </c>
      <c r="M149" s="62">
        <v>200</v>
      </c>
      <c r="N149" s="70"/>
      <c r="O149" s="62"/>
      <c r="P149" s="49"/>
      <c r="Q149" s="49"/>
      <c r="R149" s="82" t="s">
        <v>3769</v>
      </c>
      <c r="S149" s="82"/>
      <c r="T149" s="82" t="s">
        <v>3770</v>
      </c>
      <c r="U149" s="70"/>
      <c r="V149" s="70"/>
      <c r="W149" s="70"/>
      <c r="X149" s="70"/>
      <c r="Y149" s="70"/>
      <c r="Z149" s="70"/>
      <c r="AA149" s="62"/>
      <c r="AB149" s="62" t="s">
        <v>3173</v>
      </c>
      <c r="AC149" s="62">
        <v>1</v>
      </c>
      <c r="AD149" s="62" t="s">
        <v>3173</v>
      </c>
      <c r="AE149" s="62"/>
      <c r="AF149" s="62" t="s">
        <v>3173</v>
      </c>
      <c r="AG149" s="62">
        <v>150</v>
      </c>
      <c r="AH149" s="62" t="s">
        <v>3173</v>
      </c>
      <c r="AI149" s="49"/>
      <c r="AJ149" s="62" t="s">
        <v>3771</v>
      </c>
      <c r="AK149" s="49" t="s">
        <v>3132</v>
      </c>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70" t="s">
        <v>287</v>
      </c>
      <c r="BJ149" s="85"/>
      <c r="BK149" s="87">
        <v>4</v>
      </c>
      <c r="BL149" s="62">
        <v>153</v>
      </c>
      <c r="BM149" s="62">
        <v>195</v>
      </c>
      <c r="BN149" s="62">
        <v>780</v>
      </c>
      <c r="BO149" s="62">
        <v>250</v>
      </c>
      <c r="BP149" s="109">
        <v>63</v>
      </c>
      <c r="BQ149" s="62">
        <v>15</v>
      </c>
      <c r="BR149" s="49"/>
      <c r="BS149" s="49"/>
      <c r="BT149" s="49"/>
      <c r="BU149" s="49"/>
      <c r="BV149" s="49"/>
      <c r="BW149" s="49"/>
      <c r="BX149" s="49"/>
      <c r="BY149" s="49"/>
      <c r="BZ149" s="49"/>
      <c r="CA149" s="49"/>
    </row>
    <row r="150" spans="1:79">
      <c r="A150" s="49"/>
      <c r="B150" s="49"/>
      <c r="C150" s="49"/>
      <c r="D150" s="70"/>
      <c r="E150" s="70"/>
      <c r="F150" s="70"/>
      <c r="G150" s="70"/>
      <c r="H150" s="70"/>
      <c r="I150" s="70"/>
      <c r="J150" s="70"/>
      <c r="K150" s="70"/>
      <c r="L150" s="70"/>
      <c r="M150" s="70"/>
      <c r="N150" s="70"/>
      <c r="O150" s="62"/>
      <c r="P150" s="49"/>
      <c r="Q150" s="49"/>
      <c r="R150" s="82" t="s">
        <v>3719</v>
      </c>
      <c r="S150" s="82"/>
      <c r="T150" s="82" t="s">
        <v>3772</v>
      </c>
      <c r="U150" s="70"/>
      <c r="V150" s="70"/>
      <c r="W150" s="70"/>
      <c r="X150" s="70"/>
      <c r="Y150" s="70"/>
      <c r="Z150" s="70"/>
      <c r="AA150" s="62"/>
      <c r="AB150" s="62" t="s">
        <v>3173</v>
      </c>
      <c r="AC150" s="62">
        <v>1</v>
      </c>
      <c r="AD150" s="62" t="s">
        <v>3173</v>
      </c>
      <c r="AE150" s="62"/>
      <c r="AF150" s="62" t="s">
        <v>3173</v>
      </c>
      <c r="AG150" s="62">
        <v>150</v>
      </c>
      <c r="AH150" s="62" t="s">
        <v>3173</v>
      </c>
      <c r="AI150" s="49"/>
      <c r="AJ150" s="62" t="s">
        <v>3773</v>
      </c>
      <c r="AK150" s="49" t="s">
        <v>3774</v>
      </c>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70"/>
      <c r="BJ150" s="86"/>
      <c r="BK150" s="87">
        <v>5</v>
      </c>
      <c r="BL150" s="62">
        <v>174</v>
      </c>
      <c r="BM150" s="62">
        <v>222</v>
      </c>
      <c r="BN150" s="62">
        <v>888</v>
      </c>
      <c r="BO150" s="62">
        <v>250</v>
      </c>
      <c r="BP150" s="109">
        <v>72</v>
      </c>
      <c r="BQ150" s="62">
        <v>17</v>
      </c>
      <c r="BR150" s="49"/>
      <c r="BS150" s="49"/>
      <c r="BT150" s="49"/>
      <c r="BU150" s="49"/>
      <c r="BV150" s="49"/>
      <c r="BW150" s="49"/>
      <c r="BX150" s="49"/>
      <c r="BY150" s="49"/>
      <c r="BZ150" s="49"/>
      <c r="CA150" s="49"/>
    </row>
    <row r="151" spans="1:79">
      <c r="A151" s="49"/>
      <c r="B151" s="49"/>
      <c r="C151" s="49"/>
      <c r="D151" s="70"/>
      <c r="E151" s="70"/>
      <c r="F151" s="70"/>
      <c r="G151" s="70"/>
      <c r="H151" s="70"/>
      <c r="I151" s="70"/>
      <c r="J151" s="70"/>
      <c r="K151" s="70"/>
      <c r="L151" s="70"/>
      <c r="M151" s="70"/>
      <c r="N151" s="70"/>
      <c r="O151" s="62"/>
      <c r="P151" s="49"/>
      <c r="Q151" s="49"/>
      <c r="R151" s="82" t="s">
        <v>3650</v>
      </c>
      <c r="S151" s="82"/>
      <c r="T151" s="82" t="s">
        <v>3775</v>
      </c>
      <c r="U151" s="70"/>
      <c r="V151" s="70"/>
      <c r="W151" s="70"/>
      <c r="X151" s="70"/>
      <c r="Y151" s="70"/>
      <c r="Z151" s="70"/>
      <c r="AA151" s="62"/>
      <c r="AB151" s="62" t="s">
        <v>3173</v>
      </c>
      <c r="AC151" s="62">
        <v>1</v>
      </c>
      <c r="AD151" s="62" t="s">
        <v>3173</v>
      </c>
      <c r="AE151" s="62"/>
      <c r="AF151" s="62" t="s">
        <v>3173</v>
      </c>
      <c r="AG151" s="62">
        <v>150</v>
      </c>
      <c r="AH151" s="62" t="s">
        <v>3173</v>
      </c>
      <c r="AI151" s="62"/>
      <c r="AJ151" s="62" t="s">
        <v>3776</v>
      </c>
      <c r="AK151" s="49" t="s">
        <v>3440</v>
      </c>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t="s">
        <v>3777</v>
      </c>
      <c r="BJ151" s="86"/>
      <c r="BK151" s="87">
        <v>6</v>
      </c>
      <c r="BL151" s="62">
        <v>195</v>
      </c>
      <c r="BM151" s="62">
        <v>249</v>
      </c>
      <c r="BN151" s="62">
        <v>996</v>
      </c>
      <c r="BO151" s="62">
        <v>250</v>
      </c>
      <c r="BP151" s="109">
        <v>81</v>
      </c>
      <c r="BQ151" s="62">
        <v>19</v>
      </c>
      <c r="BR151" s="49"/>
      <c r="BS151" s="49"/>
      <c r="BT151" s="49"/>
      <c r="BU151" s="49"/>
      <c r="BV151" s="49"/>
      <c r="BW151" s="49"/>
      <c r="BX151" s="49"/>
      <c r="BY151" s="49"/>
      <c r="BZ151" s="49"/>
      <c r="CA151" s="49"/>
    </row>
    <row r="152" spans="1:79">
      <c r="A152" s="49"/>
      <c r="B152" s="49"/>
      <c r="C152" s="49"/>
      <c r="D152" s="611" t="s">
        <v>3778</v>
      </c>
      <c r="E152" s="611"/>
      <c r="F152" s="611"/>
      <c r="G152" s="70" t="s">
        <v>3779</v>
      </c>
      <c r="H152" s="62"/>
      <c r="I152" s="71"/>
      <c r="J152" s="49"/>
      <c r="K152" s="49"/>
      <c r="L152" s="49"/>
      <c r="M152" s="49"/>
      <c r="N152" s="62"/>
      <c r="O152" s="62"/>
      <c r="P152" s="49"/>
      <c r="Q152" s="49"/>
      <c r="R152" s="82" t="s">
        <v>3713</v>
      </c>
      <c r="S152" s="82"/>
      <c r="T152" s="82" t="s">
        <v>3780</v>
      </c>
      <c r="U152" s="70"/>
      <c r="V152" s="70"/>
      <c r="W152" s="70"/>
      <c r="X152" s="70"/>
      <c r="Y152" s="70"/>
      <c r="Z152" s="70"/>
      <c r="AA152" s="62"/>
      <c r="AB152" s="62" t="s">
        <v>3173</v>
      </c>
      <c r="AC152" s="62">
        <v>1</v>
      </c>
      <c r="AD152" s="62" t="s">
        <v>3173</v>
      </c>
      <c r="AE152" s="62"/>
      <c r="AF152" s="62" t="s">
        <v>3173</v>
      </c>
      <c r="AG152" s="62">
        <v>150</v>
      </c>
      <c r="AH152" s="62" t="s">
        <v>3173</v>
      </c>
      <c r="AI152" s="49"/>
      <c r="AJ152" s="62" t="s">
        <v>3781</v>
      </c>
      <c r="AK152" s="49" t="s">
        <v>3782</v>
      </c>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84" t="s">
        <v>422</v>
      </c>
      <c r="BJ152" s="85"/>
      <c r="BK152" s="87">
        <v>7</v>
      </c>
      <c r="BL152" s="62">
        <v>216</v>
      </c>
      <c r="BM152" s="62">
        <v>276</v>
      </c>
      <c r="BN152" s="62">
        <v>1104</v>
      </c>
      <c r="BO152" s="62">
        <v>250</v>
      </c>
      <c r="BP152" s="109">
        <v>90</v>
      </c>
      <c r="BQ152" s="62">
        <v>21</v>
      </c>
      <c r="BR152" s="49"/>
      <c r="BS152" s="49"/>
      <c r="BT152" s="49"/>
      <c r="BU152" s="49"/>
      <c r="BV152" s="49"/>
      <c r="BW152" s="49"/>
      <c r="BX152" s="49"/>
      <c r="BY152" s="49"/>
      <c r="BZ152" s="49"/>
      <c r="CA152" s="49"/>
    </row>
    <row r="153" spans="1:79">
      <c r="A153" s="49"/>
      <c r="B153" s="49"/>
      <c r="C153" s="49"/>
      <c r="D153" s="612"/>
      <c r="E153" s="612"/>
      <c r="F153" s="612"/>
      <c r="G153" s="72" t="s">
        <v>3783</v>
      </c>
      <c r="H153" s="66"/>
      <c r="I153" s="73"/>
      <c r="J153" s="67"/>
      <c r="K153" s="67"/>
      <c r="L153" s="67"/>
      <c r="M153" s="67"/>
      <c r="N153" s="67"/>
      <c r="O153" s="62"/>
      <c r="P153" s="49"/>
      <c r="Q153" s="49"/>
      <c r="R153" s="82" t="s">
        <v>3655</v>
      </c>
      <c r="S153" s="82"/>
      <c r="T153" s="82" t="s">
        <v>3784</v>
      </c>
      <c r="U153" s="70"/>
      <c r="V153" s="70"/>
      <c r="W153" s="70"/>
      <c r="X153" s="70"/>
      <c r="Y153" s="70"/>
      <c r="Z153" s="70"/>
      <c r="AA153" s="62"/>
      <c r="AB153" s="62" t="s">
        <v>3173</v>
      </c>
      <c r="AC153" s="62">
        <v>1</v>
      </c>
      <c r="AD153" s="62" t="s">
        <v>3173</v>
      </c>
      <c r="AE153" s="62"/>
      <c r="AF153" s="62" t="s">
        <v>3173</v>
      </c>
      <c r="AG153" s="62">
        <v>150</v>
      </c>
      <c r="AH153" s="62" t="s">
        <v>3173</v>
      </c>
      <c r="AI153" s="49"/>
      <c r="AJ153" s="62" t="s">
        <v>3785</v>
      </c>
      <c r="AK153" s="49" t="s">
        <v>3786</v>
      </c>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70" t="s">
        <v>3787</v>
      </c>
      <c r="BJ153" s="86"/>
      <c r="BK153" s="99">
        <v>8</v>
      </c>
      <c r="BL153" s="62">
        <v>237</v>
      </c>
      <c r="BM153" s="62">
        <v>303</v>
      </c>
      <c r="BN153" s="62">
        <v>1212</v>
      </c>
      <c r="BO153" s="62">
        <v>250</v>
      </c>
      <c r="BP153" s="109">
        <v>98</v>
      </c>
      <c r="BQ153" s="62">
        <v>23</v>
      </c>
      <c r="BR153" s="49"/>
      <c r="BS153" s="49"/>
      <c r="BT153" s="49"/>
      <c r="BU153" s="49"/>
      <c r="BV153" s="49"/>
      <c r="BW153" s="49"/>
      <c r="BX153" s="49"/>
      <c r="BY153" s="49"/>
      <c r="BZ153" s="49"/>
      <c r="CA153" s="49"/>
    </row>
    <row r="154" spans="1:79">
      <c r="A154" s="49"/>
      <c r="B154" s="49"/>
      <c r="C154" s="49"/>
      <c r="D154" s="68" t="s">
        <v>3536</v>
      </c>
      <c r="E154" s="68" t="s">
        <v>3537</v>
      </c>
      <c r="F154" s="68"/>
      <c r="G154" s="68"/>
      <c r="H154" s="68"/>
      <c r="I154" s="74"/>
      <c r="J154" s="75"/>
      <c r="K154" s="75"/>
      <c r="L154" s="75"/>
      <c r="M154" s="75"/>
      <c r="N154" s="75"/>
      <c r="O154" s="62"/>
      <c r="P154" s="49"/>
      <c r="Q154" s="49"/>
      <c r="R154" s="82" t="s">
        <v>3660</v>
      </c>
      <c r="S154" s="82"/>
      <c r="T154" s="82" t="s">
        <v>3788</v>
      </c>
      <c r="U154" s="70"/>
      <c r="V154" s="70"/>
      <c r="W154" s="70"/>
      <c r="X154" s="70"/>
      <c r="Y154" s="70"/>
      <c r="Z154" s="70"/>
      <c r="AA154" s="62"/>
      <c r="AB154" s="62" t="s">
        <v>3173</v>
      </c>
      <c r="AC154" s="62">
        <v>1</v>
      </c>
      <c r="AD154" s="62" t="s">
        <v>3173</v>
      </c>
      <c r="AE154" s="62"/>
      <c r="AF154" s="62" t="s">
        <v>3173</v>
      </c>
      <c r="AG154" s="62">
        <v>150</v>
      </c>
      <c r="AH154" s="62" t="s">
        <v>3173</v>
      </c>
      <c r="AI154" s="62"/>
      <c r="AJ154" s="62" t="s">
        <v>3789</v>
      </c>
      <c r="AK154" s="49" t="s">
        <v>3790</v>
      </c>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95" t="s">
        <v>324</v>
      </c>
      <c r="BJ154" s="49"/>
      <c r="BK154" s="103">
        <v>9</v>
      </c>
      <c r="BL154" s="62">
        <v>258</v>
      </c>
      <c r="BM154" s="62">
        <v>330</v>
      </c>
      <c r="BN154" s="62">
        <v>1320</v>
      </c>
      <c r="BO154" s="62">
        <v>250</v>
      </c>
      <c r="BP154" s="109">
        <v>107</v>
      </c>
      <c r="BQ154" s="62">
        <v>25</v>
      </c>
      <c r="BR154" s="49"/>
      <c r="BS154" s="49"/>
      <c r="BT154" s="49"/>
      <c r="BU154" s="49"/>
      <c r="BV154" s="49"/>
      <c r="BW154" s="49"/>
      <c r="BX154" s="49"/>
      <c r="BY154" s="49"/>
      <c r="BZ154" s="49"/>
      <c r="CA154" s="49"/>
    </row>
    <row r="155" spans="1:79">
      <c r="A155" s="49"/>
      <c r="B155" s="49"/>
      <c r="C155" s="49"/>
      <c r="D155" s="70"/>
      <c r="E155" s="70"/>
      <c r="F155" s="70"/>
      <c r="G155" s="70"/>
      <c r="H155" s="70"/>
      <c r="I155" s="70"/>
      <c r="J155" s="70"/>
      <c r="K155" s="70"/>
      <c r="L155" s="70"/>
      <c r="M155" s="70"/>
      <c r="N155" s="70"/>
      <c r="O155" s="62"/>
      <c r="P155" s="49"/>
      <c r="Q155" s="49"/>
      <c r="R155" s="82" t="s">
        <v>3791</v>
      </c>
      <c r="S155" s="82"/>
      <c r="T155" s="82" t="s">
        <v>3792</v>
      </c>
      <c r="U155" s="70"/>
      <c r="V155" s="70"/>
      <c r="W155" s="70"/>
      <c r="X155" s="70"/>
      <c r="Y155" s="70"/>
      <c r="Z155" s="70"/>
      <c r="AA155" s="62"/>
      <c r="AB155" s="62">
        <v>1</v>
      </c>
      <c r="AC155" s="62" t="s">
        <v>3173</v>
      </c>
      <c r="AD155" s="62" t="s">
        <v>3173</v>
      </c>
      <c r="AE155" s="62"/>
      <c r="AF155" s="62">
        <v>150</v>
      </c>
      <c r="AG155" s="62" t="s">
        <v>3173</v>
      </c>
      <c r="AH155" s="62" t="s">
        <v>3173</v>
      </c>
      <c r="AI155" s="62"/>
      <c r="AJ155" s="62" t="s">
        <v>3793</v>
      </c>
      <c r="AK155" s="49" t="s">
        <v>3794</v>
      </c>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104">
        <v>10</v>
      </c>
      <c r="BL155" s="62">
        <v>279</v>
      </c>
      <c r="BM155" s="62">
        <v>357</v>
      </c>
      <c r="BN155" s="62">
        <v>1428</v>
      </c>
      <c r="BO155" s="62">
        <v>250</v>
      </c>
      <c r="BP155" s="109">
        <v>116</v>
      </c>
      <c r="BQ155" s="62">
        <v>27</v>
      </c>
      <c r="BR155" s="49"/>
      <c r="BS155" s="49"/>
      <c r="BT155" s="49"/>
      <c r="BU155" s="49"/>
      <c r="BV155" s="49"/>
      <c r="BW155" s="49"/>
      <c r="BX155" s="49"/>
      <c r="BY155" s="49"/>
      <c r="BZ155" s="49"/>
      <c r="CA155" s="49"/>
    </row>
    <row r="156" spans="1:79">
      <c r="A156" s="49"/>
      <c r="B156" s="49"/>
      <c r="C156" s="49"/>
      <c r="D156" s="605" t="s">
        <v>3167</v>
      </c>
      <c r="E156" s="605"/>
      <c r="F156" s="605"/>
      <c r="G156" s="49"/>
      <c r="H156" s="605" t="s">
        <v>3549</v>
      </c>
      <c r="I156" s="605"/>
      <c r="J156" s="605"/>
      <c r="K156" s="70"/>
      <c r="L156" s="605" t="s">
        <v>3160</v>
      </c>
      <c r="M156" s="605"/>
      <c r="N156" s="70"/>
      <c r="O156" s="62"/>
      <c r="P156" s="49"/>
      <c r="Q156" s="49"/>
      <c r="R156" s="82" t="s">
        <v>3795</v>
      </c>
      <c r="S156" s="82"/>
      <c r="T156" s="82" t="s">
        <v>3796</v>
      </c>
      <c r="U156" s="70"/>
      <c r="V156" s="70"/>
      <c r="W156" s="70"/>
      <c r="X156" s="70"/>
      <c r="Y156" s="70"/>
      <c r="Z156" s="70"/>
      <c r="AA156" s="62"/>
      <c r="AB156" s="62">
        <v>1</v>
      </c>
      <c r="AC156" s="62" t="s">
        <v>3173</v>
      </c>
      <c r="AD156" s="62" t="s">
        <v>3173</v>
      </c>
      <c r="AE156" s="62"/>
      <c r="AF156" s="62">
        <v>150</v>
      </c>
      <c r="AG156" s="62" t="s">
        <v>3173</v>
      </c>
      <c r="AH156" s="62" t="s">
        <v>3173</v>
      </c>
      <c r="AI156" s="62"/>
      <c r="AJ156" s="62" t="s">
        <v>3797</v>
      </c>
      <c r="AK156" s="49" t="s">
        <v>3798</v>
      </c>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97"/>
      <c r="BK156" s="93">
        <v>11</v>
      </c>
      <c r="BL156" s="62">
        <v>300</v>
      </c>
      <c r="BM156" s="62">
        <v>384</v>
      </c>
      <c r="BN156" s="62">
        <v>1536</v>
      </c>
      <c r="BO156" s="62">
        <v>250</v>
      </c>
      <c r="BP156" s="109">
        <v>125</v>
      </c>
      <c r="BQ156" s="62">
        <v>30</v>
      </c>
      <c r="BR156" s="49"/>
      <c r="BS156" s="49"/>
      <c r="BT156" s="49"/>
      <c r="BU156" s="49"/>
      <c r="BV156" s="49"/>
      <c r="BW156" s="49"/>
      <c r="BX156" s="49"/>
      <c r="BY156" s="49"/>
      <c r="BZ156" s="49"/>
      <c r="CA156" s="49"/>
    </row>
    <row r="157" spans="1:79">
      <c r="A157" s="49"/>
      <c r="B157" s="49"/>
      <c r="C157" s="49"/>
      <c r="D157" s="68" t="s">
        <v>3555</v>
      </c>
      <c r="E157" s="75"/>
      <c r="F157" s="68" t="s">
        <v>3556</v>
      </c>
      <c r="G157" s="62"/>
      <c r="H157" s="68" t="s">
        <v>3557</v>
      </c>
      <c r="I157" s="68" t="s">
        <v>3558</v>
      </c>
      <c r="J157" s="62" t="s">
        <v>3559</v>
      </c>
      <c r="K157" s="70"/>
      <c r="L157" s="62" t="s">
        <v>3558</v>
      </c>
      <c r="M157" s="62" t="s">
        <v>3559</v>
      </c>
      <c r="N157" s="62"/>
      <c r="O157" s="62"/>
      <c r="P157" s="49"/>
      <c r="Q157" s="49"/>
      <c r="R157" s="82" t="s">
        <v>3799</v>
      </c>
      <c r="S157" s="82"/>
      <c r="T157" s="82" t="s">
        <v>3800</v>
      </c>
      <c r="U157" s="70"/>
      <c r="V157" s="70"/>
      <c r="W157" s="70"/>
      <c r="X157" s="70"/>
      <c r="Y157" s="70"/>
      <c r="Z157" s="70"/>
      <c r="AA157" s="62"/>
      <c r="AB157" s="62">
        <v>1</v>
      </c>
      <c r="AC157" s="62" t="s">
        <v>3173</v>
      </c>
      <c r="AD157" s="62" t="s">
        <v>3173</v>
      </c>
      <c r="AE157" s="62"/>
      <c r="AF157" s="62">
        <v>150</v>
      </c>
      <c r="AG157" s="62" t="s">
        <v>3173</v>
      </c>
      <c r="AH157" s="62" t="s">
        <v>3173</v>
      </c>
      <c r="AI157" s="62"/>
      <c r="AJ157" s="62" t="s">
        <v>3801</v>
      </c>
      <c r="AK157" s="49" t="s">
        <v>3802</v>
      </c>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97"/>
      <c r="BK157" s="49" t="s">
        <v>3803</v>
      </c>
      <c r="BL157" s="49"/>
      <c r="BM157" s="49"/>
      <c r="BN157" s="49"/>
      <c r="BO157" s="49"/>
      <c r="BP157" s="49"/>
      <c r="BQ157" s="49"/>
      <c r="BR157" s="49"/>
      <c r="BS157" s="49"/>
      <c r="BT157" s="49"/>
      <c r="BU157" s="49"/>
      <c r="BV157" s="49"/>
      <c r="BW157" s="49"/>
      <c r="BX157" s="49"/>
      <c r="BY157" s="49"/>
      <c r="BZ157" s="49"/>
      <c r="CA157" s="49"/>
    </row>
    <row r="158" spans="1:79">
      <c r="A158" s="49"/>
      <c r="B158" s="49"/>
      <c r="C158" s="49"/>
      <c r="D158" s="70" t="s">
        <v>3799</v>
      </c>
      <c r="E158" s="70"/>
      <c r="F158" s="70" t="s">
        <v>4</v>
      </c>
      <c r="G158" s="70"/>
      <c r="H158" s="62">
        <v>30</v>
      </c>
      <c r="I158" s="62">
        <v>10</v>
      </c>
      <c r="J158" s="62">
        <v>20</v>
      </c>
      <c r="K158" s="62"/>
      <c r="L158" s="62">
        <v>100</v>
      </c>
      <c r="M158" s="62">
        <v>200</v>
      </c>
      <c r="N158" s="70"/>
      <c r="O158" s="62"/>
      <c r="P158" s="49"/>
      <c r="Q158" s="49"/>
      <c r="R158" s="82" t="s">
        <v>3804</v>
      </c>
      <c r="S158" s="82"/>
      <c r="T158" s="82" t="s">
        <v>3805</v>
      </c>
      <c r="U158" s="70"/>
      <c r="V158" s="70"/>
      <c r="W158" s="70"/>
      <c r="X158" s="70"/>
      <c r="Y158" s="70"/>
      <c r="Z158" s="70"/>
      <c r="AA158" s="62"/>
      <c r="AB158" s="62">
        <v>1</v>
      </c>
      <c r="AC158" s="62" t="s">
        <v>3173</v>
      </c>
      <c r="AD158" s="62" t="s">
        <v>3173</v>
      </c>
      <c r="AE158" s="62"/>
      <c r="AF158" s="62">
        <v>150</v>
      </c>
      <c r="AG158" s="62" t="s">
        <v>3173</v>
      </c>
      <c r="AH158" s="62" t="s">
        <v>3173</v>
      </c>
      <c r="AI158" s="62"/>
      <c r="AJ158" s="62" t="s">
        <v>3806</v>
      </c>
      <c r="AK158" s="49" t="s">
        <v>3807</v>
      </c>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row>
    <row r="159" spans="1:79">
      <c r="A159" s="49"/>
      <c r="B159" s="49"/>
      <c r="C159" s="49"/>
      <c r="D159" s="70" t="s">
        <v>3791</v>
      </c>
      <c r="E159" s="70"/>
      <c r="F159" s="70" t="s">
        <v>11</v>
      </c>
      <c r="G159" s="70"/>
      <c r="H159" s="62">
        <v>30</v>
      </c>
      <c r="I159" s="62">
        <v>10</v>
      </c>
      <c r="J159" s="62">
        <v>20</v>
      </c>
      <c r="K159" s="62"/>
      <c r="L159" s="62">
        <v>100</v>
      </c>
      <c r="M159" s="62">
        <v>200</v>
      </c>
      <c r="N159" s="70"/>
      <c r="O159" s="62"/>
      <c r="P159" s="49"/>
      <c r="Q159" s="49"/>
      <c r="R159" s="82" t="s">
        <v>3808</v>
      </c>
      <c r="S159" s="82"/>
      <c r="T159" s="82" t="s">
        <v>3809</v>
      </c>
      <c r="U159" s="70"/>
      <c r="V159" s="70"/>
      <c r="W159" s="70"/>
      <c r="X159" s="70"/>
      <c r="Y159" s="70"/>
      <c r="Z159" s="70"/>
      <c r="AA159" s="62"/>
      <c r="AB159" s="62">
        <v>1</v>
      </c>
      <c r="AC159" s="62" t="s">
        <v>3173</v>
      </c>
      <c r="AD159" s="62" t="s">
        <v>3173</v>
      </c>
      <c r="AE159" s="62"/>
      <c r="AF159" s="62">
        <v>150</v>
      </c>
      <c r="AG159" s="62" t="s">
        <v>3173</v>
      </c>
      <c r="AH159" s="62" t="s">
        <v>3173</v>
      </c>
      <c r="AI159" s="62"/>
      <c r="AJ159" s="62" t="s">
        <v>3810</v>
      </c>
      <c r="AK159" s="49" t="s">
        <v>3811</v>
      </c>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t="s">
        <v>3812</v>
      </c>
      <c r="BJ159" s="49"/>
      <c r="BK159" s="49" t="s">
        <v>3813</v>
      </c>
      <c r="BL159" s="49"/>
      <c r="BM159" s="49"/>
      <c r="BN159" s="49"/>
      <c r="BO159" s="49"/>
      <c r="BP159" s="49"/>
      <c r="BQ159" s="49"/>
      <c r="BR159" s="49"/>
      <c r="BS159" s="49"/>
      <c r="BT159" s="49"/>
      <c r="BU159" s="49"/>
      <c r="BV159" s="49"/>
      <c r="BW159" s="49"/>
      <c r="BX159" s="49"/>
      <c r="BY159" s="49"/>
      <c r="BZ159" s="49"/>
      <c r="CA159" s="49"/>
    </row>
    <row r="160" spans="1:79">
      <c r="A160" s="49"/>
      <c r="B160" s="49"/>
      <c r="C160" s="49"/>
      <c r="D160" s="70" t="s">
        <v>3814</v>
      </c>
      <c r="E160" s="70"/>
      <c r="F160" s="70" t="s">
        <v>22</v>
      </c>
      <c r="G160" s="70"/>
      <c r="H160" s="62">
        <v>30</v>
      </c>
      <c r="I160" s="62">
        <v>10</v>
      </c>
      <c r="J160" s="62">
        <v>40</v>
      </c>
      <c r="K160" s="62"/>
      <c r="L160" s="62">
        <v>100</v>
      </c>
      <c r="M160" s="62">
        <v>200</v>
      </c>
      <c r="N160" s="70"/>
      <c r="O160" s="62"/>
      <c r="P160" s="49"/>
      <c r="Q160" s="49"/>
      <c r="R160" s="82" t="s">
        <v>3815</v>
      </c>
      <c r="S160" s="82"/>
      <c r="T160" s="82" t="s">
        <v>3816</v>
      </c>
      <c r="U160" s="70"/>
      <c r="V160" s="70"/>
      <c r="W160" s="70"/>
      <c r="X160" s="70"/>
      <c r="Y160" s="70"/>
      <c r="Z160" s="70"/>
      <c r="AA160" s="62"/>
      <c r="AB160" s="62">
        <v>1</v>
      </c>
      <c r="AC160" s="62" t="s">
        <v>3173</v>
      </c>
      <c r="AD160" s="62" t="s">
        <v>3173</v>
      </c>
      <c r="AE160" s="62"/>
      <c r="AF160" s="62">
        <v>150</v>
      </c>
      <c r="AG160" s="62" t="s">
        <v>3173</v>
      </c>
      <c r="AH160" s="62" t="s">
        <v>3173</v>
      </c>
      <c r="AI160" s="62"/>
      <c r="AJ160" s="62" t="s">
        <v>3817</v>
      </c>
      <c r="AK160" s="49" t="s">
        <v>3818</v>
      </c>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84" t="s">
        <v>249</v>
      </c>
      <c r="BJ160" s="96"/>
      <c r="BK160" s="77" t="s">
        <v>243</v>
      </c>
      <c r="BL160" s="77" t="s">
        <v>244</v>
      </c>
      <c r="BM160" s="77" t="s">
        <v>245</v>
      </c>
      <c r="BN160" s="77" t="s">
        <v>3543</v>
      </c>
      <c r="BO160" s="49"/>
      <c r="BP160" s="49"/>
      <c r="BQ160" s="49"/>
      <c r="BR160" s="49"/>
      <c r="BS160" s="49"/>
      <c r="BT160" s="49"/>
      <c r="BU160" s="49"/>
      <c r="BV160" s="49"/>
      <c r="BW160" s="49"/>
      <c r="BX160" s="49"/>
      <c r="BY160" s="49"/>
      <c r="BZ160" s="49"/>
      <c r="CA160" s="49"/>
    </row>
    <row r="161" spans="1:79">
      <c r="A161" s="49"/>
      <c r="B161" s="49"/>
      <c r="C161" s="49"/>
      <c r="D161" s="70" t="s">
        <v>3819</v>
      </c>
      <c r="E161" s="70"/>
      <c r="F161" s="70" t="s">
        <v>16</v>
      </c>
      <c r="G161" s="70"/>
      <c r="H161" s="62">
        <v>6</v>
      </c>
      <c r="I161" s="62">
        <v>10</v>
      </c>
      <c r="J161" s="62">
        <v>20</v>
      </c>
      <c r="K161" s="62"/>
      <c r="L161" s="62">
        <v>100</v>
      </c>
      <c r="M161" s="62">
        <v>200</v>
      </c>
      <c r="N161" s="70"/>
      <c r="O161" s="62"/>
      <c r="P161" s="49"/>
      <c r="Q161" s="49"/>
      <c r="R161" s="82" t="s">
        <v>3820</v>
      </c>
      <c r="S161" s="82"/>
      <c r="T161" s="82" t="s">
        <v>3821</v>
      </c>
      <c r="U161" s="70"/>
      <c r="V161" s="70"/>
      <c r="W161" s="70"/>
      <c r="X161" s="70"/>
      <c r="Y161" s="70"/>
      <c r="Z161" s="70"/>
      <c r="AA161" s="62"/>
      <c r="AB161" s="62">
        <v>1</v>
      </c>
      <c r="AC161" s="62" t="s">
        <v>3173</v>
      </c>
      <c r="AD161" s="62" t="s">
        <v>3173</v>
      </c>
      <c r="AE161" s="62"/>
      <c r="AF161" s="62">
        <v>150</v>
      </c>
      <c r="AG161" s="62" t="s">
        <v>3173</v>
      </c>
      <c r="AH161" s="62" t="s">
        <v>3173</v>
      </c>
      <c r="AI161" s="62"/>
      <c r="AJ161" s="62" t="s">
        <v>3822</v>
      </c>
      <c r="AK161" s="49" t="s">
        <v>3823</v>
      </c>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t="s">
        <v>402</v>
      </c>
      <c r="BJ161" s="97"/>
      <c r="BK161" s="87">
        <v>1</v>
      </c>
      <c r="BL161" s="62">
        <v>75</v>
      </c>
      <c r="BM161" s="62">
        <v>40</v>
      </c>
      <c r="BN161" s="62">
        <v>800</v>
      </c>
      <c r="BO161" s="49"/>
      <c r="BP161" s="49"/>
      <c r="BQ161" s="49"/>
      <c r="BR161" s="49"/>
      <c r="BS161" s="49"/>
      <c r="BT161" s="49"/>
      <c r="BU161" s="49"/>
      <c r="BV161" s="49"/>
      <c r="BW161" s="49"/>
      <c r="BX161" s="49"/>
      <c r="BY161" s="49"/>
      <c r="BZ161" s="49"/>
      <c r="CA161" s="49"/>
    </row>
    <row r="162" spans="1:79">
      <c r="A162" s="49"/>
      <c r="B162" s="49"/>
      <c r="C162" s="49"/>
      <c r="D162" s="70" t="s">
        <v>3824</v>
      </c>
      <c r="E162" s="70"/>
      <c r="F162" s="70" t="s">
        <v>28</v>
      </c>
      <c r="G162" s="70"/>
      <c r="H162" s="62">
        <v>6</v>
      </c>
      <c r="I162" s="62">
        <v>10</v>
      </c>
      <c r="J162" s="62">
        <v>40</v>
      </c>
      <c r="K162" s="62"/>
      <c r="L162" s="62">
        <v>100</v>
      </c>
      <c r="M162" s="62">
        <v>200</v>
      </c>
      <c r="N162" s="70"/>
      <c r="O162" s="62"/>
      <c r="P162" s="49"/>
      <c r="Q162" s="49"/>
      <c r="R162" s="82" t="s">
        <v>3819</v>
      </c>
      <c r="S162" s="82"/>
      <c r="T162" s="82" t="s">
        <v>3825</v>
      </c>
      <c r="U162" s="70"/>
      <c r="V162" s="70"/>
      <c r="W162" s="70"/>
      <c r="X162" s="70"/>
      <c r="Y162" s="70"/>
      <c r="Z162" s="70"/>
      <c r="AA162" s="62"/>
      <c r="AB162" s="62">
        <v>1</v>
      </c>
      <c r="AC162" s="62" t="s">
        <v>3173</v>
      </c>
      <c r="AD162" s="62" t="s">
        <v>3173</v>
      </c>
      <c r="AE162" s="62"/>
      <c r="AF162" s="62">
        <v>150</v>
      </c>
      <c r="AG162" s="62" t="s">
        <v>3173</v>
      </c>
      <c r="AH162" s="62" t="s">
        <v>3173</v>
      </c>
      <c r="AI162" s="62"/>
      <c r="AJ162" s="62" t="s">
        <v>3826</v>
      </c>
      <c r="AK162" s="49" t="s">
        <v>3827</v>
      </c>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t="s">
        <v>405</v>
      </c>
      <c r="BJ162" s="97"/>
      <c r="BK162" s="87">
        <v>2</v>
      </c>
      <c r="BL162" s="62">
        <v>90</v>
      </c>
      <c r="BM162" s="62">
        <v>56</v>
      </c>
      <c r="BN162" s="62">
        <v>1120</v>
      </c>
      <c r="BO162" s="49"/>
      <c r="BP162" s="49"/>
      <c r="BQ162" s="49"/>
      <c r="BR162" s="49"/>
      <c r="BS162" s="49"/>
      <c r="BT162" s="49"/>
      <c r="BU162" s="49"/>
      <c r="BV162" s="49"/>
      <c r="BW162" s="49"/>
      <c r="BX162" s="49"/>
      <c r="BY162" s="49"/>
      <c r="BZ162" s="49"/>
      <c r="CA162" s="49"/>
    </row>
    <row r="163" spans="1:79">
      <c r="A163" s="49"/>
      <c r="B163" s="49"/>
      <c r="C163" s="49"/>
      <c r="D163" s="70" t="s">
        <v>3828</v>
      </c>
      <c r="E163" s="70"/>
      <c r="F163" s="70" t="s">
        <v>34</v>
      </c>
      <c r="G163" s="70"/>
      <c r="H163" s="62">
        <v>6</v>
      </c>
      <c r="I163" s="62">
        <v>10</v>
      </c>
      <c r="J163" s="62">
        <v>40</v>
      </c>
      <c r="K163" s="62"/>
      <c r="L163" s="62">
        <v>100</v>
      </c>
      <c r="M163" s="62">
        <v>200</v>
      </c>
      <c r="N163" s="70"/>
      <c r="O163" s="62"/>
      <c r="P163" s="49"/>
      <c r="Q163" s="49"/>
      <c r="R163" s="82" t="s">
        <v>3814</v>
      </c>
      <c r="S163" s="82"/>
      <c r="T163" s="82" t="s">
        <v>3829</v>
      </c>
      <c r="U163" s="70"/>
      <c r="V163" s="70"/>
      <c r="W163" s="70"/>
      <c r="X163" s="70"/>
      <c r="Y163" s="70"/>
      <c r="Z163" s="70"/>
      <c r="AA163" s="62"/>
      <c r="AB163" s="62">
        <v>1</v>
      </c>
      <c r="AC163" s="62" t="s">
        <v>3173</v>
      </c>
      <c r="AD163" s="62" t="s">
        <v>3173</v>
      </c>
      <c r="AE163" s="62"/>
      <c r="AF163" s="62">
        <v>150</v>
      </c>
      <c r="AG163" s="62" t="s">
        <v>3173</v>
      </c>
      <c r="AH163" s="62" t="s">
        <v>3173</v>
      </c>
      <c r="AI163" s="62"/>
      <c r="AJ163" s="62" t="s">
        <v>3830</v>
      </c>
      <c r="AK163" s="49" t="s">
        <v>3831</v>
      </c>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67" t="s">
        <v>279</v>
      </c>
      <c r="BJ163" s="98"/>
      <c r="BK163" s="87">
        <v>3</v>
      </c>
      <c r="BL163" s="62">
        <v>108</v>
      </c>
      <c r="BM163" s="62">
        <v>72</v>
      </c>
      <c r="BN163" s="62">
        <v>1440</v>
      </c>
      <c r="BO163" s="49"/>
      <c r="BP163" s="49"/>
      <c r="BQ163" s="49"/>
      <c r="BR163" s="49"/>
      <c r="BS163" s="49"/>
      <c r="BT163" s="49"/>
      <c r="BU163" s="49"/>
      <c r="BV163" s="49"/>
      <c r="BW163" s="49"/>
      <c r="BX163" s="49"/>
      <c r="BY163" s="49"/>
      <c r="BZ163" s="49"/>
      <c r="CA163" s="49"/>
    </row>
    <row r="164" spans="1:79">
      <c r="A164" s="49"/>
      <c r="B164" s="49"/>
      <c r="C164" s="49"/>
      <c r="D164" s="70" t="s">
        <v>3832</v>
      </c>
      <c r="E164" s="70"/>
      <c r="F164" s="70" t="s">
        <v>40</v>
      </c>
      <c r="G164" s="70"/>
      <c r="H164" s="62">
        <v>6</v>
      </c>
      <c r="I164" s="62">
        <v>10</v>
      </c>
      <c r="J164" s="62">
        <v>20</v>
      </c>
      <c r="K164" s="62"/>
      <c r="L164" s="62">
        <v>100</v>
      </c>
      <c r="M164" s="62">
        <v>200</v>
      </c>
      <c r="N164" s="70"/>
      <c r="O164" s="62"/>
      <c r="P164" s="49"/>
      <c r="Q164" s="49"/>
      <c r="R164" s="82" t="s">
        <v>3833</v>
      </c>
      <c r="S164" s="82"/>
      <c r="T164" s="82" t="s">
        <v>3834</v>
      </c>
      <c r="U164" s="70"/>
      <c r="V164" s="70"/>
      <c r="W164" s="70"/>
      <c r="X164" s="70"/>
      <c r="Y164" s="70"/>
      <c r="Z164" s="70"/>
      <c r="AA164" s="62"/>
      <c r="AB164" s="62">
        <v>1</v>
      </c>
      <c r="AC164" s="62" t="s">
        <v>3173</v>
      </c>
      <c r="AD164" s="62" t="s">
        <v>3173</v>
      </c>
      <c r="AE164" s="62"/>
      <c r="AF164" s="62">
        <v>150</v>
      </c>
      <c r="AG164" s="62" t="s">
        <v>3173</v>
      </c>
      <c r="AH164" s="62" t="s">
        <v>3173</v>
      </c>
      <c r="AI164" s="62"/>
      <c r="AJ164" s="62" t="s">
        <v>3835</v>
      </c>
      <c r="AK164" s="49" t="s">
        <v>3836</v>
      </c>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70" t="s">
        <v>416</v>
      </c>
      <c r="BJ164" s="85"/>
      <c r="BK164" s="99">
        <v>4</v>
      </c>
      <c r="BL164" s="62">
        <v>130</v>
      </c>
      <c r="BM164" s="62">
        <v>100</v>
      </c>
      <c r="BN164" s="62">
        <v>1760</v>
      </c>
      <c r="BO164" s="49"/>
      <c r="BP164" s="49"/>
      <c r="BQ164" s="49"/>
      <c r="BR164" s="49"/>
      <c r="BS164" s="49"/>
      <c r="BT164" s="49"/>
      <c r="BU164" s="49"/>
      <c r="BV164" s="49"/>
      <c r="BW164" s="49"/>
      <c r="BX164" s="49"/>
      <c r="BY164" s="49"/>
      <c r="BZ164" s="49"/>
      <c r="CA164" s="49"/>
    </row>
    <row r="165" spans="1:79">
      <c r="A165" s="49"/>
      <c r="B165" s="49"/>
      <c r="C165" s="49"/>
      <c r="D165" s="70" t="s">
        <v>3837</v>
      </c>
      <c r="E165" s="70"/>
      <c r="F165" s="70" t="s">
        <v>45</v>
      </c>
      <c r="G165" s="70"/>
      <c r="H165" s="62">
        <v>2</v>
      </c>
      <c r="I165" s="62">
        <v>10</v>
      </c>
      <c r="J165" s="62">
        <v>40</v>
      </c>
      <c r="K165" s="62"/>
      <c r="L165" s="62">
        <v>100</v>
      </c>
      <c r="M165" s="62">
        <v>200</v>
      </c>
      <c r="N165" s="70"/>
      <c r="O165" s="62"/>
      <c r="P165" s="49"/>
      <c r="Q165" s="49"/>
      <c r="R165" s="82" t="s">
        <v>3838</v>
      </c>
      <c r="S165" s="82"/>
      <c r="T165" s="82" t="s">
        <v>3839</v>
      </c>
      <c r="U165" s="70"/>
      <c r="V165" s="70"/>
      <c r="W165" s="70"/>
      <c r="X165" s="70"/>
      <c r="Y165" s="70"/>
      <c r="Z165" s="70"/>
      <c r="AA165" s="62"/>
      <c r="AB165" s="62">
        <v>1</v>
      </c>
      <c r="AC165" s="62" t="s">
        <v>3173</v>
      </c>
      <c r="AD165" s="62" t="s">
        <v>3173</v>
      </c>
      <c r="AE165" s="62"/>
      <c r="AF165" s="62">
        <v>150</v>
      </c>
      <c r="AG165" s="62" t="s">
        <v>3173</v>
      </c>
      <c r="AH165" s="62" t="s">
        <v>3173</v>
      </c>
      <c r="AI165" s="62"/>
      <c r="AJ165" s="62" t="s">
        <v>3840</v>
      </c>
      <c r="AK165" s="49" t="s">
        <v>3841</v>
      </c>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70"/>
      <c r="BJ165" s="86"/>
      <c r="BK165" s="90">
        <v>5</v>
      </c>
      <c r="BL165" s="62">
        <v>156</v>
      </c>
      <c r="BM165" s="62">
        <v>136</v>
      </c>
      <c r="BN165" s="62">
        <v>2080</v>
      </c>
      <c r="BO165" s="49"/>
      <c r="BP165" s="49"/>
      <c r="BQ165" s="49"/>
      <c r="BR165" s="49"/>
      <c r="BS165" s="49"/>
      <c r="BT165" s="49"/>
      <c r="BU165" s="49"/>
      <c r="BV165" s="49"/>
      <c r="BW165" s="49"/>
      <c r="BX165" s="49"/>
      <c r="BY165" s="49"/>
      <c r="BZ165" s="49"/>
      <c r="CA165" s="49"/>
    </row>
    <row r="166" spans="1:79">
      <c r="A166" s="49"/>
      <c r="B166" s="49"/>
      <c r="C166" s="49"/>
      <c r="D166" s="70" t="s">
        <v>3842</v>
      </c>
      <c r="E166" s="70"/>
      <c r="F166" s="70" t="s">
        <v>87</v>
      </c>
      <c r="G166" s="70"/>
      <c r="H166" s="62">
        <v>15</v>
      </c>
      <c r="I166" s="62">
        <v>10</v>
      </c>
      <c r="J166" s="62">
        <v>40</v>
      </c>
      <c r="K166" s="62"/>
      <c r="L166" s="62">
        <v>100</v>
      </c>
      <c r="M166" s="62">
        <v>200</v>
      </c>
      <c r="N166" s="70"/>
      <c r="O166" s="62"/>
      <c r="P166" s="49"/>
      <c r="Q166" s="49"/>
      <c r="R166" s="82" t="s">
        <v>3837</v>
      </c>
      <c r="S166" s="82"/>
      <c r="T166" s="82" t="s">
        <v>3843</v>
      </c>
      <c r="U166" s="70"/>
      <c r="V166" s="70"/>
      <c r="W166" s="70"/>
      <c r="X166" s="70"/>
      <c r="Y166" s="70"/>
      <c r="Z166" s="70"/>
      <c r="AA166" s="62"/>
      <c r="AB166" s="62">
        <v>1</v>
      </c>
      <c r="AC166" s="62" t="s">
        <v>3173</v>
      </c>
      <c r="AD166" s="62" t="s">
        <v>3173</v>
      </c>
      <c r="AE166" s="62"/>
      <c r="AF166" s="62">
        <v>150</v>
      </c>
      <c r="AG166" s="62" t="s">
        <v>3173</v>
      </c>
      <c r="AH166" s="62" t="s">
        <v>3173</v>
      </c>
      <c r="AI166" s="62"/>
      <c r="AJ166" s="62" t="s">
        <v>3844</v>
      </c>
      <c r="AK166" s="49" t="s">
        <v>3845</v>
      </c>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88"/>
      <c r="BJ166" s="89"/>
      <c r="BK166" s="91">
        <v>6</v>
      </c>
      <c r="BL166" s="62">
        <v>175</v>
      </c>
      <c r="BM166" s="62">
        <v>148</v>
      </c>
      <c r="BN166" s="62">
        <v>2400</v>
      </c>
      <c r="BO166" s="49"/>
      <c r="BP166" s="49"/>
      <c r="BQ166" s="49"/>
      <c r="BR166" s="49"/>
      <c r="BS166" s="49"/>
      <c r="BT166" s="49"/>
      <c r="BU166" s="49"/>
      <c r="BV166" s="49"/>
      <c r="BW166" s="49"/>
      <c r="BX166" s="49"/>
      <c r="BY166" s="49"/>
      <c r="BZ166" s="49"/>
      <c r="CA166" s="49"/>
    </row>
    <row r="167" spans="1:79">
      <c r="A167" s="49"/>
      <c r="B167" s="49"/>
      <c r="C167" s="49"/>
      <c r="D167" s="70" t="s">
        <v>3846</v>
      </c>
      <c r="E167" s="70"/>
      <c r="F167" s="70" t="s">
        <v>90</v>
      </c>
      <c r="G167" s="70"/>
      <c r="H167" s="62">
        <v>6</v>
      </c>
      <c r="I167" s="62">
        <v>10</v>
      </c>
      <c r="J167" s="62">
        <v>20</v>
      </c>
      <c r="K167" s="62"/>
      <c r="L167" s="62">
        <v>100</v>
      </c>
      <c r="M167" s="62">
        <v>200</v>
      </c>
      <c r="N167" s="70"/>
      <c r="O167" s="62"/>
      <c r="P167" s="49"/>
      <c r="Q167" s="49"/>
      <c r="R167" s="82" t="s">
        <v>3846</v>
      </c>
      <c r="S167" s="82"/>
      <c r="T167" s="82" t="s">
        <v>3847</v>
      </c>
      <c r="U167" s="70"/>
      <c r="V167" s="70"/>
      <c r="W167" s="70"/>
      <c r="X167" s="70"/>
      <c r="Y167" s="70"/>
      <c r="Z167" s="70"/>
      <c r="AA167" s="62"/>
      <c r="AB167" s="62">
        <v>1</v>
      </c>
      <c r="AC167" s="62" t="s">
        <v>3173</v>
      </c>
      <c r="AD167" s="62" t="s">
        <v>3173</v>
      </c>
      <c r="AE167" s="62"/>
      <c r="AF167" s="62">
        <v>150</v>
      </c>
      <c r="AG167" s="62" t="s">
        <v>3173</v>
      </c>
      <c r="AH167" s="62" t="s">
        <v>3173</v>
      </c>
      <c r="AI167" s="62"/>
      <c r="AJ167" s="62" t="s">
        <v>3848</v>
      </c>
      <c r="AK167" s="49" t="s">
        <v>3849</v>
      </c>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70" t="s">
        <v>422</v>
      </c>
      <c r="BJ167" s="85"/>
      <c r="BK167" s="92">
        <v>7</v>
      </c>
      <c r="BL167" s="62">
        <v>190</v>
      </c>
      <c r="BM167" s="62">
        <v>160</v>
      </c>
      <c r="BN167" s="62">
        <v>2720</v>
      </c>
      <c r="BO167" s="49"/>
      <c r="BP167" s="49"/>
      <c r="BQ167" s="49"/>
      <c r="BR167" s="49"/>
      <c r="BS167" s="49"/>
      <c r="BT167" s="49"/>
      <c r="BU167" s="49"/>
      <c r="BV167" s="49"/>
      <c r="BW167" s="49"/>
      <c r="BX167" s="49"/>
      <c r="BY167" s="49"/>
      <c r="BZ167" s="49"/>
      <c r="CA167" s="49"/>
    </row>
    <row r="168" spans="1:79">
      <c r="A168" s="49"/>
      <c r="B168" s="49"/>
      <c r="C168" s="49"/>
      <c r="D168" s="70" t="s">
        <v>3808</v>
      </c>
      <c r="E168" s="70"/>
      <c r="F168" s="70" t="s">
        <v>51</v>
      </c>
      <c r="G168" s="70"/>
      <c r="H168" s="62">
        <v>1</v>
      </c>
      <c r="I168" s="62">
        <v>10</v>
      </c>
      <c r="J168" s="62">
        <v>40</v>
      </c>
      <c r="K168" s="62"/>
      <c r="L168" s="62">
        <v>100</v>
      </c>
      <c r="M168" s="62">
        <v>200</v>
      </c>
      <c r="N168" s="70"/>
      <c r="O168" s="62"/>
      <c r="P168" s="49"/>
      <c r="Q168" s="49"/>
      <c r="R168" s="82" t="s">
        <v>3850</v>
      </c>
      <c r="S168" s="82"/>
      <c r="T168" s="82" t="s">
        <v>3851</v>
      </c>
      <c r="U168" s="70"/>
      <c r="V168" s="70"/>
      <c r="W168" s="70"/>
      <c r="X168" s="70"/>
      <c r="Y168" s="70"/>
      <c r="Z168" s="70"/>
      <c r="AA168" s="62"/>
      <c r="AB168" s="62">
        <v>1</v>
      </c>
      <c r="AC168" s="62" t="s">
        <v>3173</v>
      </c>
      <c r="AD168" s="62" t="s">
        <v>3173</v>
      </c>
      <c r="AE168" s="62"/>
      <c r="AF168" s="62">
        <v>150</v>
      </c>
      <c r="AG168" s="62" t="s">
        <v>3173</v>
      </c>
      <c r="AH168" s="62" t="s">
        <v>3173</v>
      </c>
      <c r="AI168" s="62"/>
      <c r="AJ168" s="62" t="s">
        <v>3852</v>
      </c>
      <c r="AK168" s="49" t="s">
        <v>3853</v>
      </c>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70" t="s">
        <v>3787</v>
      </c>
      <c r="BJ168" s="86"/>
      <c r="BK168" s="93">
        <v>8</v>
      </c>
      <c r="BL168" s="62">
        <v>210</v>
      </c>
      <c r="BM168" s="62">
        <v>172</v>
      </c>
      <c r="BN168" s="62">
        <v>3040</v>
      </c>
      <c r="BO168" s="49"/>
      <c r="BP168" s="49"/>
      <c r="BQ168" s="49"/>
      <c r="BR168" s="49"/>
      <c r="BS168" s="49"/>
      <c r="BT168" s="49"/>
      <c r="BU168" s="49"/>
      <c r="BV168" s="49"/>
      <c r="BW168" s="49"/>
      <c r="BX168" s="49"/>
      <c r="BY168" s="49"/>
      <c r="BZ168" s="49"/>
      <c r="CA168" s="49"/>
    </row>
    <row r="169" spans="1:79">
      <c r="A169" s="49"/>
      <c r="B169" s="49"/>
      <c r="C169" s="49"/>
      <c r="D169" s="70" t="s">
        <v>3854</v>
      </c>
      <c r="E169" s="70"/>
      <c r="F169" s="70" t="s">
        <v>56</v>
      </c>
      <c r="G169" s="70"/>
      <c r="H169" s="62">
        <v>1</v>
      </c>
      <c r="I169" s="62">
        <v>10</v>
      </c>
      <c r="J169" s="62">
        <v>20</v>
      </c>
      <c r="K169" s="62"/>
      <c r="L169" s="62">
        <v>100</v>
      </c>
      <c r="M169" s="62">
        <v>200</v>
      </c>
      <c r="N169" s="70"/>
      <c r="O169" s="62"/>
      <c r="P169" s="49"/>
      <c r="Q169" s="49"/>
      <c r="R169" s="82" t="s">
        <v>3855</v>
      </c>
      <c r="S169" s="82"/>
      <c r="T169" s="82" t="s">
        <v>3856</v>
      </c>
      <c r="U169" s="70"/>
      <c r="V169" s="70"/>
      <c r="W169" s="70"/>
      <c r="X169" s="70"/>
      <c r="Y169" s="70"/>
      <c r="Z169" s="70"/>
      <c r="AA169" s="62"/>
      <c r="AB169" s="62">
        <v>1</v>
      </c>
      <c r="AC169" s="62" t="s">
        <v>3173</v>
      </c>
      <c r="AD169" s="62" t="s">
        <v>3173</v>
      </c>
      <c r="AE169" s="62"/>
      <c r="AF169" s="62">
        <v>150</v>
      </c>
      <c r="AG169" s="62" t="s">
        <v>3173</v>
      </c>
      <c r="AH169" s="62" t="s">
        <v>3173</v>
      </c>
      <c r="AI169" s="62"/>
      <c r="AJ169" s="62" t="s">
        <v>3857</v>
      </c>
      <c r="AK169" s="49" t="s">
        <v>3858</v>
      </c>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95" t="s">
        <v>428</v>
      </c>
      <c r="BJ169" s="49"/>
      <c r="BK169" s="105">
        <v>9</v>
      </c>
      <c r="BL169" s="62">
        <v>230</v>
      </c>
      <c r="BM169" s="62">
        <v>184</v>
      </c>
      <c r="BN169" s="62">
        <v>3360</v>
      </c>
      <c r="BO169" s="49"/>
      <c r="BP169" s="49"/>
      <c r="BQ169" s="49"/>
      <c r="BR169" s="49"/>
      <c r="BS169" s="49"/>
      <c r="BT169" s="49"/>
      <c r="BU169" s="49"/>
      <c r="BV169" s="49"/>
      <c r="BW169" s="49"/>
      <c r="BX169" s="49"/>
      <c r="BY169" s="49"/>
      <c r="BZ169" s="49"/>
      <c r="CA169" s="49"/>
    </row>
    <row r="170" spans="1:79">
      <c r="A170" s="49"/>
      <c r="B170" s="49"/>
      <c r="C170" s="49"/>
      <c r="D170" s="70" t="s">
        <v>3859</v>
      </c>
      <c r="E170" s="70"/>
      <c r="F170" s="70" t="s">
        <v>2752</v>
      </c>
      <c r="G170" s="70"/>
      <c r="H170" s="62">
        <v>3</v>
      </c>
      <c r="I170" s="62">
        <v>10</v>
      </c>
      <c r="J170" s="62">
        <v>20</v>
      </c>
      <c r="K170" s="62"/>
      <c r="L170" s="62">
        <v>100</v>
      </c>
      <c r="M170" s="62">
        <v>200</v>
      </c>
      <c r="N170" s="70"/>
      <c r="O170" s="62"/>
      <c r="P170" s="49"/>
      <c r="Q170" s="49"/>
      <c r="R170" s="82" t="s">
        <v>3828</v>
      </c>
      <c r="S170" s="82"/>
      <c r="T170" s="82" t="s">
        <v>3860</v>
      </c>
      <c r="U170" s="70"/>
      <c r="V170" s="70"/>
      <c r="W170" s="70"/>
      <c r="X170" s="70"/>
      <c r="Y170" s="70"/>
      <c r="Z170" s="70"/>
      <c r="AA170" s="62"/>
      <c r="AB170" s="62">
        <v>1</v>
      </c>
      <c r="AC170" s="62" t="s">
        <v>3173</v>
      </c>
      <c r="AD170" s="62" t="s">
        <v>3173</v>
      </c>
      <c r="AE170" s="62"/>
      <c r="AF170" s="62">
        <v>150</v>
      </c>
      <c r="AG170" s="62" t="s">
        <v>3173</v>
      </c>
      <c r="AH170" s="62" t="s">
        <v>3173</v>
      </c>
      <c r="AI170" s="62"/>
      <c r="AJ170" s="62" t="s">
        <v>3861</v>
      </c>
      <c r="AK170" s="49" t="s">
        <v>3862</v>
      </c>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106">
        <v>10</v>
      </c>
      <c r="BL170" s="62">
        <v>250</v>
      </c>
      <c r="BM170" s="62">
        <v>196</v>
      </c>
      <c r="BN170" s="62">
        <v>3680</v>
      </c>
      <c r="BO170" s="49"/>
      <c r="BP170" s="49"/>
      <c r="BQ170" s="49"/>
      <c r="BR170" s="49"/>
      <c r="BS170" s="49"/>
      <c r="BT170" s="49"/>
      <c r="BU170" s="49"/>
      <c r="BV170" s="49"/>
      <c r="BW170" s="49"/>
      <c r="BX170" s="49"/>
      <c r="BY170" s="49"/>
      <c r="BZ170" s="49"/>
      <c r="CA170" s="49"/>
    </row>
    <row r="171" spans="1:79">
      <c r="A171" s="49"/>
      <c r="B171" s="49"/>
      <c r="C171" s="49"/>
      <c r="D171" s="70" t="s">
        <v>3833</v>
      </c>
      <c r="E171" s="70"/>
      <c r="F171" s="70" t="s">
        <v>96</v>
      </c>
      <c r="G171" s="70"/>
      <c r="H171" s="62">
        <v>1</v>
      </c>
      <c r="I171" s="62">
        <v>10</v>
      </c>
      <c r="J171" s="62">
        <v>20</v>
      </c>
      <c r="K171" s="62"/>
      <c r="L171" s="62">
        <v>100</v>
      </c>
      <c r="M171" s="62">
        <v>200</v>
      </c>
      <c r="N171" s="70"/>
      <c r="O171" s="62"/>
      <c r="P171" s="49"/>
      <c r="Q171" s="49"/>
      <c r="R171" s="82" t="s">
        <v>3863</v>
      </c>
      <c r="S171" s="82"/>
      <c r="T171" s="82" t="s">
        <v>3864</v>
      </c>
      <c r="U171" s="70"/>
      <c r="V171" s="70"/>
      <c r="W171" s="70"/>
      <c r="X171" s="70"/>
      <c r="Y171" s="70"/>
      <c r="Z171" s="70"/>
      <c r="AA171" s="62"/>
      <c r="AB171" s="62">
        <v>1</v>
      </c>
      <c r="AC171" s="62" t="s">
        <v>3173</v>
      </c>
      <c r="AD171" s="62" t="s">
        <v>3173</v>
      </c>
      <c r="AE171" s="62"/>
      <c r="AF171" s="62">
        <v>150</v>
      </c>
      <c r="AG171" s="62" t="s">
        <v>3173</v>
      </c>
      <c r="AH171" s="62" t="s">
        <v>3173</v>
      </c>
      <c r="AI171" s="62"/>
      <c r="AJ171" s="62" t="s">
        <v>3865</v>
      </c>
      <c r="AK171" s="49" t="s">
        <v>3866</v>
      </c>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107" t="s">
        <v>3867</v>
      </c>
      <c r="BL171" s="49"/>
      <c r="BM171" s="49"/>
      <c r="BN171" s="49"/>
      <c r="BO171" s="49"/>
      <c r="BP171" s="49"/>
      <c r="BQ171" s="49"/>
      <c r="BR171" s="49"/>
      <c r="BS171" s="49"/>
      <c r="BT171" s="49"/>
      <c r="BU171" s="49"/>
      <c r="BV171" s="49"/>
      <c r="BW171" s="49"/>
      <c r="BX171" s="49"/>
      <c r="BY171" s="49"/>
      <c r="BZ171" s="49"/>
      <c r="CA171" s="49"/>
    </row>
    <row r="172" spans="1:79">
      <c r="A172" s="49"/>
      <c r="B172" s="49"/>
      <c r="C172" s="49"/>
      <c r="D172" s="70" t="s">
        <v>3868</v>
      </c>
      <c r="E172" s="70"/>
      <c r="F172" s="70" t="s">
        <v>101</v>
      </c>
      <c r="G172" s="70"/>
      <c r="H172" s="62">
        <v>2</v>
      </c>
      <c r="I172" s="62">
        <v>10</v>
      </c>
      <c r="J172" s="62">
        <v>20</v>
      </c>
      <c r="K172" s="62"/>
      <c r="L172" s="62">
        <v>100</v>
      </c>
      <c r="M172" s="62">
        <v>200</v>
      </c>
      <c r="N172" s="70"/>
      <c r="O172" s="62"/>
      <c r="P172" s="49"/>
      <c r="Q172" s="49"/>
      <c r="R172" s="82" t="s">
        <v>3842</v>
      </c>
      <c r="S172" s="82"/>
      <c r="T172" s="82" t="s">
        <v>3869</v>
      </c>
      <c r="U172" s="70"/>
      <c r="V172" s="70"/>
      <c r="W172" s="70"/>
      <c r="X172" s="70"/>
      <c r="Y172" s="70"/>
      <c r="Z172" s="70"/>
      <c r="AA172" s="62"/>
      <c r="AB172" s="62">
        <v>1</v>
      </c>
      <c r="AC172" s="62" t="s">
        <v>3173</v>
      </c>
      <c r="AD172" s="62" t="s">
        <v>3173</v>
      </c>
      <c r="AE172" s="62"/>
      <c r="AF172" s="62">
        <v>150</v>
      </c>
      <c r="AG172" s="62" t="s">
        <v>3173</v>
      </c>
      <c r="AH172" s="62" t="s">
        <v>3173</v>
      </c>
      <c r="AI172" s="62"/>
      <c r="AJ172" s="62" t="s">
        <v>3870</v>
      </c>
      <c r="AK172" s="49" t="s">
        <v>3871</v>
      </c>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row>
    <row r="173" spans="1:79">
      <c r="A173" s="49"/>
      <c r="B173" s="49"/>
      <c r="C173" s="49"/>
      <c r="D173" s="70" t="s">
        <v>3855</v>
      </c>
      <c r="E173" s="70"/>
      <c r="F173" s="70" t="s">
        <v>105</v>
      </c>
      <c r="G173" s="70"/>
      <c r="H173" s="62">
        <v>1</v>
      </c>
      <c r="I173" s="62">
        <v>10</v>
      </c>
      <c r="J173" s="62">
        <v>20</v>
      </c>
      <c r="K173" s="62"/>
      <c r="L173" s="62">
        <v>100</v>
      </c>
      <c r="M173" s="62">
        <v>200</v>
      </c>
      <c r="N173" s="70"/>
      <c r="O173" s="62"/>
      <c r="P173" s="49"/>
      <c r="Q173" s="49"/>
      <c r="R173" s="82" t="s">
        <v>3854</v>
      </c>
      <c r="S173" s="82"/>
      <c r="T173" s="82" t="s">
        <v>3872</v>
      </c>
      <c r="U173" s="70"/>
      <c r="V173" s="70"/>
      <c r="W173" s="70"/>
      <c r="X173" s="70"/>
      <c r="Y173" s="70"/>
      <c r="Z173" s="70"/>
      <c r="AA173" s="62"/>
      <c r="AB173" s="62">
        <v>1</v>
      </c>
      <c r="AC173" s="62" t="s">
        <v>3173</v>
      </c>
      <c r="AD173" s="62" t="s">
        <v>3173</v>
      </c>
      <c r="AE173" s="62"/>
      <c r="AF173" s="62">
        <v>150</v>
      </c>
      <c r="AG173" s="62" t="s">
        <v>3173</v>
      </c>
      <c r="AH173" s="62" t="s">
        <v>3173</v>
      </c>
      <c r="AI173" s="62"/>
      <c r="AJ173" s="62" t="s">
        <v>3873</v>
      </c>
      <c r="AK173" s="49" t="s">
        <v>3874</v>
      </c>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row>
    <row r="174" spans="1:79">
      <c r="A174" s="49"/>
      <c r="B174" s="49"/>
      <c r="C174" s="49"/>
      <c r="D174" s="70" t="s">
        <v>3795</v>
      </c>
      <c r="E174" s="70"/>
      <c r="F174" s="70" t="s">
        <v>61</v>
      </c>
      <c r="G174" s="70"/>
      <c r="H174" s="62">
        <v>3</v>
      </c>
      <c r="I174" s="62">
        <v>10</v>
      </c>
      <c r="J174" s="62">
        <v>20</v>
      </c>
      <c r="K174" s="62"/>
      <c r="L174" s="62">
        <v>100</v>
      </c>
      <c r="M174" s="62">
        <v>200</v>
      </c>
      <c r="N174" s="70"/>
      <c r="O174" s="62"/>
      <c r="P174" s="49"/>
      <c r="Q174" s="49"/>
      <c r="R174" s="82" t="s">
        <v>3859</v>
      </c>
      <c r="S174" s="82"/>
      <c r="T174" s="82" t="s">
        <v>3875</v>
      </c>
      <c r="U174" s="70"/>
      <c r="V174" s="70"/>
      <c r="W174" s="70"/>
      <c r="X174" s="70"/>
      <c r="Y174" s="70"/>
      <c r="Z174" s="70"/>
      <c r="AA174" s="62"/>
      <c r="AB174" s="62">
        <v>1</v>
      </c>
      <c r="AC174" s="62" t="s">
        <v>3173</v>
      </c>
      <c r="AD174" s="62" t="s">
        <v>3173</v>
      </c>
      <c r="AE174" s="62"/>
      <c r="AF174" s="62">
        <v>150</v>
      </c>
      <c r="AG174" s="62" t="s">
        <v>3173</v>
      </c>
      <c r="AH174" s="62" t="s">
        <v>3173</v>
      </c>
      <c r="AI174" s="62"/>
      <c r="AJ174" s="62" t="s">
        <v>3876</v>
      </c>
      <c r="AK174" s="49" t="s">
        <v>3877</v>
      </c>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t="s">
        <v>3878</v>
      </c>
      <c r="BJ174" s="49"/>
      <c r="BK174" s="49" t="s">
        <v>3879</v>
      </c>
      <c r="BL174" s="49"/>
      <c r="BM174" s="49"/>
      <c r="BN174" s="49"/>
      <c r="BO174" s="49"/>
      <c r="BP174" s="49"/>
      <c r="BQ174" s="49"/>
      <c r="BR174" s="49"/>
      <c r="BS174" s="49"/>
      <c r="BT174" s="49"/>
      <c r="BU174" s="49"/>
      <c r="BV174" s="49"/>
      <c r="BW174" s="49"/>
      <c r="BX174" s="49"/>
      <c r="BY174" s="49"/>
      <c r="BZ174" s="49"/>
      <c r="CA174" s="49"/>
    </row>
    <row r="175" spans="1:79">
      <c r="A175" s="49"/>
      <c r="B175" s="49"/>
      <c r="C175" s="49"/>
      <c r="D175" s="70" t="s">
        <v>3804</v>
      </c>
      <c r="E175" s="70"/>
      <c r="F175" s="70" t="s">
        <v>109</v>
      </c>
      <c r="G175" s="70"/>
      <c r="H175" s="62">
        <v>4</v>
      </c>
      <c r="I175" s="62">
        <v>10</v>
      </c>
      <c r="J175" s="62">
        <v>20</v>
      </c>
      <c r="K175" s="62"/>
      <c r="L175" s="62">
        <v>100</v>
      </c>
      <c r="M175" s="62">
        <v>200</v>
      </c>
      <c r="N175" s="70"/>
      <c r="O175" s="62"/>
      <c r="P175" s="49"/>
      <c r="Q175" s="49"/>
      <c r="R175" s="82" t="s">
        <v>3824</v>
      </c>
      <c r="S175" s="82"/>
      <c r="T175" s="82" t="s">
        <v>3880</v>
      </c>
      <c r="U175" s="70"/>
      <c r="V175" s="70"/>
      <c r="W175" s="70"/>
      <c r="X175" s="70"/>
      <c r="Y175" s="70"/>
      <c r="Z175" s="70"/>
      <c r="AA175" s="62"/>
      <c r="AB175" s="62">
        <v>1</v>
      </c>
      <c r="AC175" s="62" t="s">
        <v>3173</v>
      </c>
      <c r="AD175" s="62" t="s">
        <v>3173</v>
      </c>
      <c r="AE175" s="62"/>
      <c r="AF175" s="62">
        <v>150</v>
      </c>
      <c r="AG175" s="62" t="s">
        <v>3173</v>
      </c>
      <c r="AH175" s="62" t="s">
        <v>3173</v>
      </c>
      <c r="AI175" s="62"/>
      <c r="AJ175" s="62" t="s">
        <v>3881</v>
      </c>
      <c r="AK175" s="49" t="s">
        <v>3882</v>
      </c>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84" t="s">
        <v>242</v>
      </c>
      <c r="BJ175" s="85"/>
      <c r="BK175" s="77" t="s">
        <v>243</v>
      </c>
      <c r="BL175" s="77" t="s">
        <v>3883</v>
      </c>
      <c r="BM175" s="77" t="s">
        <v>3884</v>
      </c>
      <c r="BN175" s="77" t="s">
        <v>245</v>
      </c>
      <c r="BO175" s="77" t="s">
        <v>3543</v>
      </c>
      <c r="BP175" s="49"/>
      <c r="BQ175" s="49"/>
      <c r="BR175" s="49"/>
      <c r="BS175" s="49"/>
      <c r="BT175" s="49"/>
      <c r="BU175" s="49"/>
      <c r="BV175" s="49"/>
      <c r="BW175" s="49"/>
      <c r="BX175" s="49"/>
      <c r="BY175" s="49"/>
      <c r="BZ175" s="49"/>
      <c r="CA175" s="49"/>
    </row>
    <row r="176" spans="1:79">
      <c r="A176" s="49"/>
      <c r="B176" s="49"/>
      <c r="C176" s="49"/>
      <c r="D176" s="70" t="s">
        <v>3863</v>
      </c>
      <c r="E176" s="70"/>
      <c r="F176" s="70" t="s">
        <v>65</v>
      </c>
      <c r="G176" s="70"/>
      <c r="H176" s="62">
        <v>4</v>
      </c>
      <c r="I176" s="62">
        <v>10</v>
      </c>
      <c r="J176" s="62">
        <v>20</v>
      </c>
      <c r="K176" s="62"/>
      <c r="L176" s="62">
        <v>100</v>
      </c>
      <c r="M176" s="62">
        <v>200</v>
      </c>
      <c r="N176" s="70"/>
      <c r="O176" s="62"/>
      <c r="P176" s="49"/>
      <c r="Q176" s="49"/>
      <c r="R176" s="82" t="s">
        <v>3868</v>
      </c>
      <c r="S176" s="82"/>
      <c r="T176" s="82" t="s">
        <v>3885</v>
      </c>
      <c r="U176" s="70"/>
      <c r="V176" s="70"/>
      <c r="W176" s="70"/>
      <c r="X176" s="70"/>
      <c r="Y176" s="70"/>
      <c r="Z176" s="70"/>
      <c r="AA176" s="62"/>
      <c r="AB176" s="62">
        <v>1</v>
      </c>
      <c r="AC176" s="62" t="s">
        <v>3173</v>
      </c>
      <c r="AD176" s="62" t="s">
        <v>3173</v>
      </c>
      <c r="AE176" s="62"/>
      <c r="AF176" s="62">
        <v>150</v>
      </c>
      <c r="AG176" s="62" t="s">
        <v>3173</v>
      </c>
      <c r="AH176" s="62" t="s">
        <v>3173</v>
      </c>
      <c r="AI176" s="62"/>
      <c r="AJ176" s="62" t="s">
        <v>3886</v>
      </c>
      <c r="AK176" s="49" t="s">
        <v>3887</v>
      </c>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70" t="s">
        <v>258</v>
      </c>
      <c r="BJ176" s="86"/>
      <c r="BK176" s="87">
        <v>1</v>
      </c>
      <c r="BL176" s="62">
        <v>15</v>
      </c>
      <c r="BM176" s="62">
        <v>45</v>
      </c>
      <c r="BN176" s="62">
        <v>8</v>
      </c>
      <c r="BO176" s="62">
        <v>25</v>
      </c>
      <c r="BP176" s="49"/>
      <c r="BQ176" s="49"/>
      <c r="BR176" s="49"/>
      <c r="BS176" s="49"/>
      <c r="BT176" s="49"/>
      <c r="BU176" s="49"/>
      <c r="BV176" s="49"/>
      <c r="BW176" s="49"/>
      <c r="BX176" s="49"/>
      <c r="BY176" s="49"/>
      <c r="BZ176" s="49"/>
      <c r="CA176" s="49"/>
    </row>
    <row r="177" spans="1:79">
      <c r="A177" s="49"/>
      <c r="B177" s="49"/>
      <c r="C177" s="49"/>
      <c r="D177" s="70" t="s">
        <v>3888</v>
      </c>
      <c r="E177" s="70"/>
      <c r="F177" s="70" t="s">
        <v>140</v>
      </c>
      <c r="G177" s="70"/>
      <c r="H177" s="62">
        <v>4</v>
      </c>
      <c r="I177" s="62">
        <v>20</v>
      </c>
      <c r="J177" s="62">
        <v>40</v>
      </c>
      <c r="K177" s="62"/>
      <c r="L177" s="62">
        <v>100</v>
      </c>
      <c r="M177" s="62">
        <v>200</v>
      </c>
      <c r="N177" s="70"/>
      <c r="O177" s="62"/>
      <c r="P177" s="49"/>
      <c r="Q177" s="49"/>
      <c r="R177" s="82" t="s">
        <v>3832</v>
      </c>
      <c r="S177" s="82"/>
      <c r="T177" s="82" t="s">
        <v>3889</v>
      </c>
      <c r="U177" s="70"/>
      <c r="V177" s="70"/>
      <c r="W177" s="70"/>
      <c r="X177" s="70"/>
      <c r="Y177" s="70"/>
      <c r="Z177" s="70"/>
      <c r="AA177" s="62"/>
      <c r="AB177" s="62">
        <v>1</v>
      </c>
      <c r="AC177" s="62" t="s">
        <v>3173</v>
      </c>
      <c r="AD177" s="62" t="s">
        <v>3173</v>
      </c>
      <c r="AE177" s="62"/>
      <c r="AF177" s="62">
        <v>150</v>
      </c>
      <c r="AG177" s="62" t="s">
        <v>3173</v>
      </c>
      <c r="AH177" s="62" t="s">
        <v>3173</v>
      </c>
      <c r="AI177" s="62"/>
      <c r="AJ177" s="62" t="s">
        <v>3890</v>
      </c>
      <c r="AK177" s="49" t="s">
        <v>3891</v>
      </c>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70" t="s">
        <v>272</v>
      </c>
      <c r="BJ177" s="86"/>
      <c r="BK177" s="87">
        <v>2</v>
      </c>
      <c r="BL177" s="62">
        <v>18</v>
      </c>
      <c r="BM177" s="62">
        <v>54</v>
      </c>
      <c r="BN177" s="62">
        <v>11</v>
      </c>
      <c r="BO177" s="62">
        <v>40</v>
      </c>
      <c r="BP177" s="49"/>
      <c r="BQ177" s="49"/>
      <c r="BR177" s="49"/>
      <c r="BS177" s="49"/>
      <c r="BT177" s="49"/>
      <c r="BU177" s="49"/>
      <c r="BV177" s="49"/>
      <c r="BW177" s="49"/>
      <c r="BX177" s="49"/>
      <c r="BY177" s="49"/>
      <c r="BZ177" s="49"/>
      <c r="CA177" s="49"/>
    </row>
    <row r="178" spans="1:79">
      <c r="A178" s="49"/>
      <c r="B178" s="49"/>
      <c r="C178" s="49"/>
      <c r="D178" s="70" t="s">
        <v>3892</v>
      </c>
      <c r="E178" s="70"/>
      <c r="F178" s="70" t="s">
        <v>141</v>
      </c>
      <c r="G178" s="70"/>
      <c r="H178" s="62">
        <v>4</v>
      </c>
      <c r="I178" s="62">
        <v>20</v>
      </c>
      <c r="J178" s="62">
        <v>20</v>
      </c>
      <c r="K178" s="62"/>
      <c r="L178" s="62">
        <v>100</v>
      </c>
      <c r="M178" s="62">
        <v>200</v>
      </c>
      <c r="N178" s="70"/>
      <c r="O178" s="62"/>
      <c r="P178" s="49"/>
      <c r="Q178" s="49"/>
      <c r="R178" s="82" t="s">
        <v>3893</v>
      </c>
      <c r="S178" s="82"/>
      <c r="T178" s="82" t="s">
        <v>3894</v>
      </c>
      <c r="U178" s="70"/>
      <c r="V178" s="70"/>
      <c r="W178" s="70"/>
      <c r="X178" s="70"/>
      <c r="Y178" s="70"/>
      <c r="Z178" s="70"/>
      <c r="AA178" s="62"/>
      <c r="AB178" s="62">
        <v>1</v>
      </c>
      <c r="AC178" s="62" t="s">
        <v>3173</v>
      </c>
      <c r="AD178" s="62" t="s">
        <v>3173</v>
      </c>
      <c r="AE178" s="62"/>
      <c r="AF178" s="62">
        <v>150</v>
      </c>
      <c r="AG178" s="62" t="s">
        <v>3173</v>
      </c>
      <c r="AH178" s="62" t="s">
        <v>3173</v>
      </c>
      <c r="AI178" s="62"/>
      <c r="AJ178" s="62" t="s">
        <v>3895</v>
      </c>
      <c r="AK178" s="49" t="s">
        <v>3896</v>
      </c>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88" t="s">
        <v>279</v>
      </c>
      <c r="BJ178" s="89"/>
      <c r="BK178" s="99">
        <v>3</v>
      </c>
      <c r="BL178" s="62">
        <v>22</v>
      </c>
      <c r="BM178" s="62">
        <v>65</v>
      </c>
      <c r="BN178" s="62">
        <v>14</v>
      </c>
      <c r="BO178" s="62">
        <v>60</v>
      </c>
      <c r="BP178" s="49"/>
      <c r="BQ178" s="49"/>
      <c r="BR178" s="49"/>
      <c r="BS178" s="49"/>
      <c r="BT178" s="49"/>
      <c r="BU178" s="49"/>
      <c r="BV178" s="49"/>
      <c r="BW178" s="49"/>
      <c r="BX178" s="49"/>
      <c r="BY178" s="49"/>
      <c r="BZ178" s="49"/>
      <c r="CA178" s="49"/>
    </row>
    <row r="179" spans="1:79">
      <c r="A179" s="49"/>
      <c r="B179" s="49"/>
      <c r="C179" s="49"/>
      <c r="D179" s="70" t="s">
        <v>3897</v>
      </c>
      <c r="E179" s="70"/>
      <c r="F179" s="70" t="s">
        <v>146</v>
      </c>
      <c r="G179" s="70"/>
      <c r="H179" s="62">
        <v>8</v>
      </c>
      <c r="I179" s="62">
        <v>20</v>
      </c>
      <c r="J179" s="62">
        <v>20</v>
      </c>
      <c r="K179" s="62"/>
      <c r="L179" s="62">
        <v>100</v>
      </c>
      <c r="M179" s="62">
        <v>200</v>
      </c>
      <c r="N179" s="70"/>
      <c r="O179" s="62"/>
      <c r="P179" s="49"/>
      <c r="Q179" s="49"/>
      <c r="R179" s="82" t="s">
        <v>3898</v>
      </c>
      <c r="S179" s="82"/>
      <c r="T179" s="82" t="s">
        <v>3899</v>
      </c>
      <c r="U179" s="70"/>
      <c r="V179" s="70"/>
      <c r="W179" s="70"/>
      <c r="X179" s="70"/>
      <c r="Y179" s="70"/>
      <c r="Z179" s="70"/>
      <c r="AA179" s="62"/>
      <c r="AB179" s="62">
        <v>1</v>
      </c>
      <c r="AC179" s="62" t="s">
        <v>3173</v>
      </c>
      <c r="AD179" s="62" t="s">
        <v>3173</v>
      </c>
      <c r="AE179" s="62"/>
      <c r="AF179" s="62">
        <v>100</v>
      </c>
      <c r="AG179" s="62" t="s">
        <v>3173</v>
      </c>
      <c r="AH179" s="62" t="s">
        <v>3173</v>
      </c>
      <c r="AI179" s="62"/>
      <c r="AJ179" s="62" t="s">
        <v>3900</v>
      </c>
      <c r="AK179" s="49" t="s">
        <v>3901</v>
      </c>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84" t="s">
        <v>287</v>
      </c>
      <c r="BJ179" s="85"/>
      <c r="BK179" s="90">
        <v>4</v>
      </c>
      <c r="BL179" s="62">
        <v>26</v>
      </c>
      <c r="BM179" s="62">
        <v>78</v>
      </c>
      <c r="BN179" s="62">
        <v>18</v>
      </c>
      <c r="BO179" s="62">
        <v>100</v>
      </c>
      <c r="BP179" s="49"/>
      <c r="BQ179" s="49"/>
      <c r="BR179" s="49"/>
      <c r="BS179" s="49"/>
      <c r="BT179" s="49"/>
      <c r="BU179" s="49"/>
      <c r="BV179" s="49"/>
      <c r="BW179" s="49"/>
      <c r="BX179" s="49"/>
      <c r="BY179" s="49"/>
      <c r="BZ179" s="49"/>
      <c r="CA179" s="49"/>
    </row>
    <row r="180" spans="1:79">
      <c r="A180" s="49"/>
      <c r="B180" s="49"/>
      <c r="C180" s="49"/>
      <c r="D180" s="70" t="s">
        <v>3902</v>
      </c>
      <c r="E180" s="70"/>
      <c r="F180" s="70" t="s">
        <v>144</v>
      </c>
      <c r="G180" s="70"/>
      <c r="H180" s="62">
        <v>2</v>
      </c>
      <c r="I180" s="62">
        <v>20</v>
      </c>
      <c r="J180" s="62">
        <v>40</v>
      </c>
      <c r="K180" s="62"/>
      <c r="L180" s="62">
        <v>100</v>
      </c>
      <c r="M180" s="62">
        <v>200</v>
      </c>
      <c r="N180" s="70"/>
      <c r="O180" s="62"/>
      <c r="P180" s="49"/>
      <c r="Q180" s="49"/>
      <c r="R180" s="82" t="s">
        <v>3897</v>
      </c>
      <c r="S180" s="82"/>
      <c r="T180" s="82" t="s">
        <v>3903</v>
      </c>
      <c r="U180" s="70"/>
      <c r="V180" s="70"/>
      <c r="W180" s="70"/>
      <c r="X180" s="70"/>
      <c r="Y180" s="70"/>
      <c r="Z180" s="70"/>
      <c r="AA180" s="62"/>
      <c r="AB180" s="62">
        <v>1</v>
      </c>
      <c r="AC180" s="62" t="s">
        <v>3173</v>
      </c>
      <c r="AD180" s="62" t="s">
        <v>3173</v>
      </c>
      <c r="AE180" s="62"/>
      <c r="AF180" s="62">
        <v>100</v>
      </c>
      <c r="AG180" s="62" t="s">
        <v>3173</v>
      </c>
      <c r="AH180" s="62" t="s">
        <v>3173</v>
      </c>
      <c r="AI180" s="62"/>
      <c r="AJ180" s="62" t="s">
        <v>3904</v>
      </c>
      <c r="AK180" s="49" t="s">
        <v>3905</v>
      </c>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72" t="s">
        <v>3906</v>
      </c>
      <c r="BJ180" s="86"/>
      <c r="BK180" s="91">
        <v>5</v>
      </c>
      <c r="BL180" s="62">
        <v>32</v>
      </c>
      <c r="BM180" s="62">
        <v>95</v>
      </c>
      <c r="BN180" s="62">
        <v>23</v>
      </c>
      <c r="BO180" s="62">
        <v>150</v>
      </c>
      <c r="BP180" s="49"/>
      <c r="BQ180" s="49"/>
      <c r="BR180" s="49"/>
      <c r="BS180" s="49"/>
      <c r="BT180" s="49"/>
      <c r="BU180" s="49"/>
      <c r="BV180" s="49"/>
      <c r="BW180" s="49"/>
      <c r="BX180" s="49"/>
      <c r="BY180" s="49"/>
      <c r="BZ180" s="49"/>
      <c r="CA180" s="49"/>
    </row>
    <row r="181" spans="1:79">
      <c r="A181" s="49"/>
      <c r="B181" s="49"/>
      <c r="C181" s="49"/>
      <c r="D181" s="70" t="s">
        <v>3907</v>
      </c>
      <c r="E181" s="70"/>
      <c r="F181" s="70" t="s">
        <v>147</v>
      </c>
      <c r="G181" s="70"/>
      <c r="H181" s="62">
        <v>1</v>
      </c>
      <c r="I181" s="62">
        <v>20</v>
      </c>
      <c r="J181" s="62">
        <v>20</v>
      </c>
      <c r="K181" s="62"/>
      <c r="L181" s="62">
        <v>100</v>
      </c>
      <c r="M181" s="62">
        <v>200</v>
      </c>
      <c r="N181" s="70"/>
      <c r="O181" s="62"/>
      <c r="P181" s="49"/>
      <c r="Q181" s="49"/>
      <c r="R181" s="82" t="s">
        <v>3907</v>
      </c>
      <c r="S181" s="82"/>
      <c r="T181" s="82" t="s">
        <v>3908</v>
      </c>
      <c r="U181" s="70"/>
      <c r="V181" s="70"/>
      <c r="W181" s="70"/>
      <c r="X181" s="70"/>
      <c r="Y181" s="70"/>
      <c r="Z181" s="70"/>
      <c r="AA181" s="62"/>
      <c r="AB181" s="62">
        <v>1</v>
      </c>
      <c r="AC181" s="62" t="s">
        <v>3173</v>
      </c>
      <c r="AD181" s="62" t="s">
        <v>3173</v>
      </c>
      <c r="AE181" s="62"/>
      <c r="AF181" s="62">
        <v>100</v>
      </c>
      <c r="AG181" s="62" t="s">
        <v>3173</v>
      </c>
      <c r="AH181" s="62" t="s">
        <v>3173</v>
      </c>
      <c r="AI181" s="62"/>
      <c r="AJ181" s="62" t="s">
        <v>3909</v>
      </c>
      <c r="AK181" s="49" t="s">
        <v>3910</v>
      </c>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70" t="s">
        <v>305</v>
      </c>
      <c r="BJ181" s="85"/>
      <c r="BK181" s="92">
        <v>6</v>
      </c>
      <c r="BL181" s="62">
        <v>36</v>
      </c>
      <c r="BM181" s="62">
        <v>110</v>
      </c>
      <c r="BN181" s="62">
        <v>26</v>
      </c>
      <c r="BO181" s="62">
        <v>200</v>
      </c>
      <c r="BP181" s="49"/>
      <c r="BQ181" s="49"/>
      <c r="BR181" s="49"/>
      <c r="BS181" s="49"/>
      <c r="BT181" s="49"/>
      <c r="BU181" s="49"/>
      <c r="BV181" s="49"/>
      <c r="BW181" s="49"/>
      <c r="BX181" s="49"/>
      <c r="BY181" s="49"/>
      <c r="BZ181" s="49"/>
      <c r="CA181" s="49"/>
    </row>
    <row r="182" spans="1:79">
      <c r="A182" s="49"/>
      <c r="B182" s="49"/>
      <c r="C182" s="49"/>
      <c r="D182" s="70" t="s">
        <v>3911</v>
      </c>
      <c r="E182" s="70"/>
      <c r="F182" s="70" t="s">
        <v>150</v>
      </c>
      <c r="G182" s="70"/>
      <c r="H182" s="62">
        <v>2</v>
      </c>
      <c r="I182" s="62">
        <v>20</v>
      </c>
      <c r="J182" s="62">
        <v>40</v>
      </c>
      <c r="K182" s="62"/>
      <c r="L182" s="62">
        <v>100</v>
      </c>
      <c r="M182" s="62">
        <v>200</v>
      </c>
      <c r="N182" s="70"/>
      <c r="O182" s="62"/>
      <c r="P182" s="49"/>
      <c r="Q182" s="49"/>
      <c r="R182" s="82" t="s">
        <v>3902</v>
      </c>
      <c r="S182" s="82"/>
      <c r="T182" s="82" t="s">
        <v>3912</v>
      </c>
      <c r="U182" s="70"/>
      <c r="V182" s="70"/>
      <c r="W182" s="70"/>
      <c r="X182" s="70"/>
      <c r="Y182" s="70"/>
      <c r="Z182" s="70"/>
      <c r="AA182" s="62"/>
      <c r="AB182" s="62">
        <v>1</v>
      </c>
      <c r="AC182" s="62" t="s">
        <v>3173</v>
      </c>
      <c r="AD182" s="62" t="s">
        <v>3173</v>
      </c>
      <c r="AE182" s="62"/>
      <c r="AF182" s="62">
        <v>100</v>
      </c>
      <c r="AG182" s="62" t="s">
        <v>3173</v>
      </c>
      <c r="AH182" s="62" t="s">
        <v>3173</v>
      </c>
      <c r="AI182" s="62"/>
      <c r="AJ182" s="62" t="s">
        <v>3913</v>
      </c>
      <c r="AK182" s="49" t="s">
        <v>3914</v>
      </c>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70" t="s">
        <v>3915</v>
      </c>
      <c r="BJ182" s="86"/>
      <c r="BK182" s="93">
        <v>7</v>
      </c>
      <c r="BL182" s="62">
        <v>42</v>
      </c>
      <c r="BM182" s="62">
        <v>125</v>
      </c>
      <c r="BN182" s="62">
        <v>30</v>
      </c>
      <c r="BO182" s="62">
        <v>250</v>
      </c>
      <c r="BP182" s="49"/>
      <c r="BQ182" s="49"/>
      <c r="BR182" s="49"/>
      <c r="BS182" s="49"/>
      <c r="BT182" s="49"/>
      <c r="BU182" s="49"/>
      <c r="BV182" s="49"/>
      <c r="BW182" s="49"/>
      <c r="BX182" s="49"/>
      <c r="BY182" s="49"/>
      <c r="BZ182" s="49"/>
      <c r="CA182" s="49"/>
    </row>
    <row r="183" spans="1:79">
      <c r="A183" s="49"/>
      <c r="B183" s="49"/>
      <c r="C183" s="49"/>
      <c r="D183" s="70" t="s">
        <v>3916</v>
      </c>
      <c r="E183" s="70"/>
      <c r="F183" s="70" t="s">
        <v>155</v>
      </c>
      <c r="G183" s="70"/>
      <c r="H183" s="62">
        <v>2</v>
      </c>
      <c r="I183" s="62">
        <v>20</v>
      </c>
      <c r="J183" s="62">
        <v>40</v>
      </c>
      <c r="K183" s="62"/>
      <c r="L183" s="62">
        <v>100</v>
      </c>
      <c r="M183" s="62">
        <v>400</v>
      </c>
      <c r="N183" s="70"/>
      <c r="O183" s="62"/>
      <c r="P183" s="49"/>
      <c r="Q183" s="49"/>
      <c r="R183" s="82" t="s">
        <v>3911</v>
      </c>
      <c r="S183" s="82"/>
      <c r="T183" s="82" t="s">
        <v>3917</v>
      </c>
      <c r="U183" s="70"/>
      <c r="V183" s="70"/>
      <c r="W183" s="70"/>
      <c r="X183" s="70"/>
      <c r="Y183" s="70"/>
      <c r="Z183" s="70"/>
      <c r="AA183" s="62"/>
      <c r="AB183" s="62">
        <v>1</v>
      </c>
      <c r="AC183" s="62" t="s">
        <v>3173</v>
      </c>
      <c r="AD183" s="62" t="s">
        <v>3173</v>
      </c>
      <c r="AE183" s="62"/>
      <c r="AF183" s="62">
        <v>100</v>
      </c>
      <c r="AG183" s="62" t="s">
        <v>3173</v>
      </c>
      <c r="AH183" s="62" t="s">
        <v>3173</v>
      </c>
      <c r="AI183" s="62"/>
      <c r="AJ183" s="62" t="s">
        <v>3918</v>
      </c>
      <c r="AK183" s="49" t="s">
        <v>3919</v>
      </c>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95" t="s">
        <v>493</v>
      </c>
      <c r="BJ183" s="86"/>
      <c r="BK183" s="49" t="s">
        <v>3920</v>
      </c>
      <c r="BL183" s="49"/>
      <c r="BM183" s="49"/>
      <c r="BN183" s="49"/>
      <c r="BO183" s="49"/>
      <c r="BP183" s="49"/>
      <c r="BQ183" s="49"/>
      <c r="BR183" s="49"/>
      <c r="BS183" s="49"/>
      <c r="BT183" s="49"/>
      <c r="BU183" s="49"/>
      <c r="BV183" s="49"/>
      <c r="BW183" s="49"/>
      <c r="BX183" s="49"/>
      <c r="BY183" s="49"/>
      <c r="BZ183" s="49"/>
      <c r="CA183" s="49"/>
    </row>
    <row r="184" spans="1:79">
      <c r="A184" s="49"/>
      <c r="B184" s="49"/>
      <c r="C184" s="49"/>
      <c r="D184" s="70" t="s">
        <v>3898</v>
      </c>
      <c r="E184" s="70"/>
      <c r="F184" s="70" t="s">
        <v>3733</v>
      </c>
      <c r="G184" s="70"/>
      <c r="H184" s="62">
        <v>2</v>
      </c>
      <c r="I184" s="62">
        <v>20</v>
      </c>
      <c r="J184" s="62">
        <v>40</v>
      </c>
      <c r="K184" s="62"/>
      <c r="L184" s="62">
        <v>100</v>
      </c>
      <c r="M184" s="62">
        <v>400</v>
      </c>
      <c r="N184" s="70"/>
      <c r="O184" s="62"/>
      <c r="P184" s="49"/>
      <c r="Q184" s="49"/>
      <c r="R184" s="82" t="s">
        <v>3916</v>
      </c>
      <c r="S184" s="82"/>
      <c r="T184" s="82" t="s">
        <v>3921</v>
      </c>
      <c r="U184" s="70"/>
      <c r="V184" s="70"/>
      <c r="W184" s="70"/>
      <c r="X184" s="70"/>
      <c r="Y184" s="70"/>
      <c r="Z184" s="70"/>
      <c r="AA184" s="62"/>
      <c r="AB184" s="62">
        <v>1</v>
      </c>
      <c r="AC184" s="62" t="s">
        <v>3173</v>
      </c>
      <c r="AD184" s="62" t="s">
        <v>3173</v>
      </c>
      <c r="AE184" s="62"/>
      <c r="AF184" s="62">
        <v>100</v>
      </c>
      <c r="AG184" s="62" t="s">
        <v>3173</v>
      </c>
      <c r="AH184" s="62" t="s">
        <v>3173</v>
      </c>
      <c r="AI184" s="62"/>
      <c r="AJ184" s="62" t="s">
        <v>3922</v>
      </c>
      <c r="AK184" s="49" t="s">
        <v>3923</v>
      </c>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row>
    <row r="185" spans="1:79">
      <c r="A185" s="49"/>
      <c r="B185" s="49"/>
      <c r="C185" s="49"/>
      <c r="D185" s="70" t="s">
        <v>3924</v>
      </c>
      <c r="E185" s="70"/>
      <c r="F185" s="70" t="s">
        <v>152</v>
      </c>
      <c r="G185" s="70"/>
      <c r="H185" s="62">
        <v>2</v>
      </c>
      <c r="I185" s="62">
        <v>20</v>
      </c>
      <c r="J185" s="62">
        <v>40</v>
      </c>
      <c r="K185" s="62"/>
      <c r="L185" s="62">
        <v>100</v>
      </c>
      <c r="M185" s="62">
        <v>200</v>
      </c>
      <c r="N185" s="70"/>
      <c r="O185" s="62"/>
      <c r="P185" s="49"/>
      <c r="Q185" s="49"/>
      <c r="R185" s="82" t="s">
        <v>3925</v>
      </c>
      <c r="S185" s="82"/>
      <c r="T185" s="82" t="s">
        <v>3926</v>
      </c>
      <c r="U185" s="70"/>
      <c r="V185" s="70"/>
      <c r="W185" s="70"/>
      <c r="X185" s="70"/>
      <c r="Y185" s="70"/>
      <c r="Z185" s="70"/>
      <c r="AA185" s="62"/>
      <c r="AB185" s="62" t="s">
        <v>3173</v>
      </c>
      <c r="AC185" s="62">
        <v>1</v>
      </c>
      <c r="AD185" s="62" t="s">
        <v>3173</v>
      </c>
      <c r="AE185" s="62"/>
      <c r="AF185" s="62" t="s">
        <v>3173</v>
      </c>
      <c r="AG185" s="62">
        <v>100</v>
      </c>
      <c r="AH185" s="62" t="s">
        <v>3173</v>
      </c>
      <c r="AI185" s="62"/>
      <c r="AJ185" s="62" t="s">
        <v>3927</v>
      </c>
      <c r="AK185" s="49" t="s">
        <v>3928</v>
      </c>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t="s">
        <v>3929</v>
      </c>
      <c r="BJ185" s="49"/>
      <c r="BK185" s="49" t="s">
        <v>3930</v>
      </c>
      <c r="BL185" s="49"/>
      <c r="BM185" s="49"/>
      <c r="BN185" s="49"/>
      <c r="BO185" s="49"/>
      <c r="BP185" s="49"/>
      <c r="BQ185" s="49"/>
      <c r="BR185" s="49"/>
      <c r="BS185" s="49"/>
      <c r="BT185" s="49"/>
      <c r="BU185" s="49"/>
      <c r="BV185" s="49"/>
      <c r="BW185" s="49"/>
      <c r="BX185" s="49"/>
      <c r="BY185" s="49"/>
      <c r="BZ185" s="49"/>
      <c r="CA185" s="49"/>
    </row>
    <row r="186" spans="1:79">
      <c r="A186" s="49"/>
      <c r="B186" s="49"/>
      <c r="C186" s="49"/>
      <c r="D186" s="70" t="s">
        <v>3925</v>
      </c>
      <c r="E186" s="70"/>
      <c r="F186" s="70" t="s">
        <v>158</v>
      </c>
      <c r="G186" s="70"/>
      <c r="H186" s="62">
        <v>1</v>
      </c>
      <c r="I186" s="62">
        <v>20</v>
      </c>
      <c r="J186" s="62">
        <v>20</v>
      </c>
      <c r="K186" s="62"/>
      <c r="L186" s="62">
        <v>100</v>
      </c>
      <c r="M186" s="62">
        <v>200</v>
      </c>
      <c r="N186" s="70"/>
      <c r="O186" s="62"/>
      <c r="P186" s="49"/>
      <c r="Q186" s="49"/>
      <c r="R186" s="82" t="s">
        <v>3924</v>
      </c>
      <c r="S186" s="82"/>
      <c r="T186" s="82" t="s">
        <v>3931</v>
      </c>
      <c r="U186" s="70"/>
      <c r="V186" s="70"/>
      <c r="W186" s="70"/>
      <c r="X186" s="70"/>
      <c r="Y186" s="70"/>
      <c r="Z186" s="70"/>
      <c r="AA186" s="62"/>
      <c r="AB186" s="62" t="s">
        <v>3173</v>
      </c>
      <c r="AC186" s="62">
        <v>1</v>
      </c>
      <c r="AD186" s="62" t="s">
        <v>3173</v>
      </c>
      <c r="AE186" s="62"/>
      <c r="AF186" s="62" t="s">
        <v>3173</v>
      </c>
      <c r="AG186" s="62">
        <v>100</v>
      </c>
      <c r="AH186" s="62" t="s">
        <v>3173</v>
      </c>
      <c r="AI186" s="62"/>
      <c r="AJ186" s="62" t="s">
        <v>3932</v>
      </c>
      <c r="AK186" s="49" t="s">
        <v>3933</v>
      </c>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84" t="s">
        <v>249</v>
      </c>
      <c r="BJ186" s="85"/>
      <c r="BK186" s="65" t="s">
        <v>243</v>
      </c>
      <c r="BL186" s="65" t="s">
        <v>244</v>
      </c>
      <c r="BM186" s="65" t="s">
        <v>245</v>
      </c>
      <c r="BN186" s="65" t="s">
        <v>545</v>
      </c>
      <c r="BO186" s="65" t="s">
        <v>3543</v>
      </c>
      <c r="BP186" s="49"/>
      <c r="BQ186" s="49"/>
      <c r="BR186" s="49"/>
      <c r="BS186" s="49"/>
      <c r="BT186" s="49"/>
      <c r="BU186" s="49"/>
      <c r="BV186" s="49"/>
      <c r="BW186" s="49"/>
      <c r="BX186" s="49"/>
      <c r="BY186" s="49"/>
      <c r="BZ186" s="49"/>
      <c r="CA186" s="49"/>
    </row>
    <row r="187" spans="1:79">
      <c r="A187" s="49"/>
      <c r="B187" s="49"/>
      <c r="C187" s="49"/>
      <c r="D187" s="70" t="s">
        <v>3934</v>
      </c>
      <c r="E187" s="70"/>
      <c r="F187" s="70" t="s">
        <v>88</v>
      </c>
      <c r="G187" s="70"/>
      <c r="H187" s="62">
        <v>1</v>
      </c>
      <c r="I187" s="62">
        <v>15</v>
      </c>
      <c r="J187" s="62">
        <v>20</v>
      </c>
      <c r="K187" s="62"/>
      <c r="L187" s="62">
        <v>150</v>
      </c>
      <c r="M187" s="62">
        <v>200</v>
      </c>
      <c r="N187" s="70"/>
      <c r="O187" s="62"/>
      <c r="P187" s="49"/>
      <c r="Q187" s="49"/>
      <c r="R187" s="82" t="s">
        <v>3888</v>
      </c>
      <c r="S187" s="82"/>
      <c r="T187" s="82" t="s">
        <v>3935</v>
      </c>
      <c r="U187" s="70"/>
      <c r="V187" s="70"/>
      <c r="W187" s="70"/>
      <c r="X187" s="70"/>
      <c r="Y187" s="70"/>
      <c r="Z187" s="70"/>
      <c r="AA187" s="62"/>
      <c r="AB187" s="62" t="s">
        <v>3173</v>
      </c>
      <c r="AC187" s="62">
        <v>1</v>
      </c>
      <c r="AD187" s="62" t="s">
        <v>3173</v>
      </c>
      <c r="AE187" s="62"/>
      <c r="AF187" s="62" t="s">
        <v>3173</v>
      </c>
      <c r="AG187" s="62">
        <v>100</v>
      </c>
      <c r="AH187" s="62" t="s">
        <v>3173</v>
      </c>
      <c r="AI187" s="62"/>
      <c r="AJ187" s="62" t="s">
        <v>3936</v>
      </c>
      <c r="AK187" s="49" t="s">
        <v>3937</v>
      </c>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70" t="s">
        <v>834</v>
      </c>
      <c r="BJ187" s="86"/>
      <c r="BK187" s="87">
        <v>1</v>
      </c>
      <c r="BL187" s="62">
        <v>1000</v>
      </c>
      <c r="BM187" s="62">
        <v>22</v>
      </c>
      <c r="BN187" s="62">
        <v>800</v>
      </c>
      <c r="BO187" s="62">
        <v>250</v>
      </c>
      <c r="BP187" s="49"/>
      <c r="BQ187" s="49"/>
      <c r="BR187" s="49"/>
      <c r="BS187" s="49"/>
      <c r="BT187" s="49"/>
      <c r="BU187" s="49"/>
      <c r="BV187" s="49"/>
      <c r="BW187" s="49"/>
      <c r="BX187" s="49"/>
      <c r="BY187" s="49"/>
      <c r="BZ187" s="49"/>
      <c r="CA187" s="49"/>
    </row>
    <row r="188" spans="1:79">
      <c r="A188" s="49"/>
      <c r="B188" s="49"/>
      <c r="C188" s="49"/>
      <c r="D188" s="70" t="s">
        <v>3938</v>
      </c>
      <c r="E188" s="70"/>
      <c r="F188" s="70" t="s">
        <v>91</v>
      </c>
      <c r="G188" s="70"/>
      <c r="H188" s="62">
        <v>1</v>
      </c>
      <c r="I188" s="62">
        <v>15</v>
      </c>
      <c r="J188" s="62">
        <v>20</v>
      </c>
      <c r="K188" s="62"/>
      <c r="L188" s="62">
        <v>150</v>
      </c>
      <c r="M188" s="62">
        <v>200</v>
      </c>
      <c r="N188" s="70"/>
      <c r="O188" s="62"/>
      <c r="P188" s="49"/>
      <c r="Q188" s="49"/>
      <c r="R188" s="82" t="s">
        <v>3892</v>
      </c>
      <c r="S188" s="82"/>
      <c r="T188" s="82" t="s">
        <v>3939</v>
      </c>
      <c r="U188" s="70"/>
      <c r="V188" s="70"/>
      <c r="W188" s="70"/>
      <c r="X188" s="70"/>
      <c r="Y188" s="70"/>
      <c r="Z188" s="70"/>
      <c r="AA188" s="62"/>
      <c r="AB188" s="62" t="s">
        <v>3173</v>
      </c>
      <c r="AC188" s="62">
        <v>1</v>
      </c>
      <c r="AD188" s="62" t="s">
        <v>3173</v>
      </c>
      <c r="AE188" s="62"/>
      <c r="AF188" s="62" t="s">
        <v>3173</v>
      </c>
      <c r="AG188" s="62">
        <v>100</v>
      </c>
      <c r="AH188" s="62" t="s">
        <v>3173</v>
      </c>
      <c r="AI188" s="62"/>
      <c r="AJ188" s="62" t="s">
        <v>3940</v>
      </c>
      <c r="AK188" s="49" t="s">
        <v>3941</v>
      </c>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70" t="s">
        <v>273</v>
      </c>
      <c r="BJ188" s="86"/>
      <c r="BK188" s="87">
        <v>2</v>
      </c>
      <c r="BL188" s="62">
        <v>1200</v>
      </c>
      <c r="BM188" s="62">
        <v>28</v>
      </c>
      <c r="BN188" s="62">
        <v>1000</v>
      </c>
      <c r="BO188" s="62">
        <v>750</v>
      </c>
      <c r="BP188" s="49"/>
      <c r="BQ188" s="49"/>
      <c r="BR188" s="49"/>
      <c r="BS188" s="49"/>
      <c r="BT188" s="49"/>
      <c r="BU188" s="49"/>
      <c r="BV188" s="49"/>
      <c r="BW188" s="49"/>
      <c r="BX188" s="49"/>
      <c r="BY188" s="49"/>
      <c r="BZ188" s="49"/>
      <c r="CA188" s="49"/>
    </row>
    <row r="189" spans="1:79">
      <c r="A189" s="49"/>
      <c r="B189" s="49"/>
      <c r="C189" s="49"/>
      <c r="D189" s="70" t="s">
        <v>3820</v>
      </c>
      <c r="E189" s="70"/>
      <c r="F189" s="70" t="s">
        <v>69</v>
      </c>
      <c r="G189" s="70"/>
      <c r="H189" s="62">
        <v>1</v>
      </c>
      <c r="I189" s="62">
        <v>10</v>
      </c>
      <c r="J189" s="62">
        <v>20</v>
      </c>
      <c r="K189" s="62"/>
      <c r="L189" s="62">
        <v>100</v>
      </c>
      <c r="M189" s="62">
        <v>200</v>
      </c>
      <c r="N189" s="70"/>
      <c r="O189" s="62"/>
      <c r="P189" s="49"/>
      <c r="Q189" s="49"/>
      <c r="R189" s="82" t="s">
        <v>3942</v>
      </c>
      <c r="S189" s="82"/>
      <c r="T189" s="82" t="s">
        <v>3943</v>
      </c>
      <c r="U189" s="70"/>
      <c r="V189" s="70"/>
      <c r="W189" s="70"/>
      <c r="X189" s="70"/>
      <c r="Y189" s="70"/>
      <c r="Z189" s="70"/>
      <c r="AA189" s="62"/>
      <c r="AB189" s="62" t="s">
        <v>3173</v>
      </c>
      <c r="AC189" s="62">
        <v>1</v>
      </c>
      <c r="AD189" s="62" t="s">
        <v>3173</v>
      </c>
      <c r="AE189" s="62"/>
      <c r="AF189" s="62" t="s">
        <v>3173</v>
      </c>
      <c r="AG189" s="62">
        <v>200</v>
      </c>
      <c r="AH189" s="62" t="s">
        <v>3173</v>
      </c>
      <c r="AI189" s="62"/>
      <c r="AJ189" s="62" t="s">
        <v>3944</v>
      </c>
      <c r="AK189" s="49" t="s">
        <v>3945</v>
      </c>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88" t="s">
        <v>279</v>
      </c>
      <c r="BJ189" s="89"/>
      <c r="BK189" s="87">
        <v>3</v>
      </c>
      <c r="BL189" s="62">
        <v>1400</v>
      </c>
      <c r="BM189" s="62">
        <v>38</v>
      </c>
      <c r="BN189" s="62">
        <v>1200</v>
      </c>
      <c r="BO189" s="62">
        <v>1250</v>
      </c>
      <c r="BP189" s="49"/>
      <c r="BQ189" s="49"/>
      <c r="BR189" s="49"/>
      <c r="BS189" s="49"/>
      <c r="BT189" s="49"/>
      <c r="BU189" s="49"/>
      <c r="BV189" s="49"/>
      <c r="BW189" s="49"/>
      <c r="BX189" s="49"/>
      <c r="BY189" s="49"/>
      <c r="BZ189" s="49"/>
      <c r="CA189" s="49"/>
    </row>
    <row r="190" spans="1:79">
      <c r="A190" s="49"/>
      <c r="B190" s="49"/>
      <c r="C190" s="49"/>
      <c r="D190" s="70" t="s">
        <v>3650</v>
      </c>
      <c r="E190" s="70"/>
      <c r="F190" s="70" t="s">
        <v>5</v>
      </c>
      <c r="G190" s="70"/>
      <c r="H190" s="62">
        <v>2</v>
      </c>
      <c r="I190" s="62">
        <v>10</v>
      </c>
      <c r="J190" s="62">
        <v>20</v>
      </c>
      <c r="K190" s="62"/>
      <c r="L190" s="62">
        <v>100</v>
      </c>
      <c r="M190" s="62">
        <v>200</v>
      </c>
      <c r="N190" s="70"/>
      <c r="O190" s="62"/>
      <c r="P190" s="49"/>
      <c r="Q190" s="49"/>
      <c r="R190" s="82" t="s">
        <v>3946</v>
      </c>
      <c r="S190" s="82"/>
      <c r="T190" s="82" t="s">
        <v>3947</v>
      </c>
      <c r="U190" s="70"/>
      <c r="V190" s="70"/>
      <c r="W190" s="70"/>
      <c r="X190" s="70"/>
      <c r="Y190" s="70"/>
      <c r="Z190" s="70"/>
      <c r="AA190" s="62"/>
      <c r="AB190" s="62" t="s">
        <v>3173</v>
      </c>
      <c r="AC190" s="62">
        <v>1</v>
      </c>
      <c r="AD190" s="62" t="s">
        <v>3173</v>
      </c>
      <c r="AE190" s="62"/>
      <c r="AF190" s="62" t="s">
        <v>3173</v>
      </c>
      <c r="AG190" s="62">
        <v>200</v>
      </c>
      <c r="AH190" s="62" t="s">
        <v>3173</v>
      </c>
      <c r="AI190" s="62"/>
      <c r="AJ190" s="62" t="s">
        <v>3948</v>
      </c>
      <c r="AK190" s="49" t="s">
        <v>3949</v>
      </c>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70" t="s">
        <v>287</v>
      </c>
      <c r="BJ190" s="85"/>
      <c r="BK190" s="99">
        <v>4</v>
      </c>
      <c r="BL190" s="62">
        <v>1700</v>
      </c>
      <c r="BM190" s="62">
        <v>48</v>
      </c>
      <c r="BN190" s="62">
        <v>1400</v>
      </c>
      <c r="BO190" s="62">
        <v>1750</v>
      </c>
      <c r="BP190" s="49"/>
      <c r="BQ190" s="49"/>
      <c r="BR190" s="49"/>
      <c r="BS190" s="49"/>
      <c r="BT190" s="49"/>
      <c r="BU190" s="49"/>
      <c r="BV190" s="49"/>
      <c r="BW190" s="49"/>
      <c r="BX190" s="49"/>
      <c r="BY190" s="49"/>
      <c r="BZ190" s="49"/>
      <c r="CA190" s="49"/>
    </row>
    <row r="191" spans="1:79">
      <c r="A191" s="49"/>
      <c r="B191" s="49"/>
      <c r="C191" s="49"/>
      <c r="D191" s="70" t="s">
        <v>3646</v>
      </c>
      <c r="E191" s="70"/>
      <c r="F191" s="70" t="s">
        <v>12</v>
      </c>
      <c r="G191" s="70"/>
      <c r="H191" s="62">
        <v>2</v>
      </c>
      <c r="I191" s="62">
        <v>10</v>
      </c>
      <c r="J191" s="62">
        <v>20</v>
      </c>
      <c r="K191" s="62"/>
      <c r="L191" s="62">
        <v>100</v>
      </c>
      <c r="M191" s="62">
        <v>200</v>
      </c>
      <c r="N191" s="70"/>
      <c r="O191" s="62"/>
      <c r="P191" s="49"/>
      <c r="Q191" s="49"/>
      <c r="R191" s="82" t="s">
        <v>3934</v>
      </c>
      <c r="S191" s="82"/>
      <c r="T191" s="82" t="s">
        <v>3950</v>
      </c>
      <c r="U191" s="70"/>
      <c r="V191" s="70"/>
      <c r="W191" s="70"/>
      <c r="X191" s="70"/>
      <c r="Y191" s="70"/>
      <c r="Z191" s="70"/>
      <c r="AA191" s="62"/>
      <c r="AB191" s="62" t="s">
        <v>3173</v>
      </c>
      <c r="AC191" s="62">
        <v>1</v>
      </c>
      <c r="AD191" s="62" t="s">
        <v>3173</v>
      </c>
      <c r="AE191" s="62"/>
      <c r="AF191" s="62" t="s">
        <v>3173</v>
      </c>
      <c r="AG191" s="62">
        <v>200</v>
      </c>
      <c r="AH191" s="62" t="s">
        <v>3173</v>
      </c>
      <c r="AI191" s="62"/>
      <c r="AJ191" s="62" t="s">
        <v>3951</v>
      </c>
      <c r="AK191" s="49" t="s">
        <v>3952</v>
      </c>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t="s">
        <v>3953</v>
      </c>
      <c r="BJ191" s="86"/>
      <c r="BK191" s="90">
        <v>5</v>
      </c>
      <c r="BL191" s="62">
        <v>2200</v>
      </c>
      <c r="BM191" s="62">
        <v>62</v>
      </c>
      <c r="BN191" s="62">
        <v>1600</v>
      </c>
      <c r="BO191" s="62">
        <v>2250</v>
      </c>
      <c r="BP191" s="49"/>
      <c r="BQ191" s="49"/>
      <c r="BR191" s="49"/>
      <c r="BS191" s="49"/>
      <c r="BT191" s="49"/>
      <c r="BU191" s="49"/>
      <c r="BV191" s="49"/>
      <c r="BW191" s="49"/>
      <c r="BX191" s="49"/>
      <c r="BY191" s="49"/>
      <c r="BZ191" s="49"/>
      <c r="CA191" s="49"/>
    </row>
    <row r="192" spans="1:79">
      <c r="A192" s="49"/>
      <c r="B192" s="49"/>
      <c r="C192" s="49"/>
      <c r="D192" s="70" t="s">
        <v>3655</v>
      </c>
      <c r="E192" s="70"/>
      <c r="F192" s="70" t="s">
        <v>17</v>
      </c>
      <c r="G192" s="70"/>
      <c r="H192" s="62">
        <v>2</v>
      </c>
      <c r="I192" s="62">
        <v>10</v>
      </c>
      <c r="J192" s="62">
        <v>20</v>
      </c>
      <c r="K192" s="62"/>
      <c r="L192" s="62">
        <v>100</v>
      </c>
      <c r="M192" s="62">
        <v>200</v>
      </c>
      <c r="N192" s="70"/>
      <c r="O192" s="62"/>
      <c r="P192" s="49"/>
      <c r="Q192" s="49"/>
      <c r="R192" s="82" t="s">
        <v>3954</v>
      </c>
      <c r="S192" s="82"/>
      <c r="T192" s="82" t="s">
        <v>3955</v>
      </c>
      <c r="U192" s="70"/>
      <c r="V192" s="70"/>
      <c r="W192" s="70"/>
      <c r="X192" s="70"/>
      <c r="Y192" s="70"/>
      <c r="Z192" s="70"/>
      <c r="AA192" s="62"/>
      <c r="AB192" s="62" t="s">
        <v>3173</v>
      </c>
      <c r="AC192" s="62">
        <v>1</v>
      </c>
      <c r="AD192" s="62" t="s">
        <v>3173</v>
      </c>
      <c r="AE192" s="62"/>
      <c r="AF192" s="62" t="s">
        <v>3173</v>
      </c>
      <c r="AG192" s="62">
        <v>200</v>
      </c>
      <c r="AH192" s="62" t="s">
        <v>3173</v>
      </c>
      <c r="AI192" s="62"/>
      <c r="AJ192" s="62" t="s">
        <v>3956</v>
      </c>
      <c r="AK192" s="49" t="s">
        <v>3957</v>
      </c>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88" t="s">
        <v>3958</v>
      </c>
      <c r="BJ192" s="89"/>
      <c r="BK192" s="91">
        <v>6</v>
      </c>
      <c r="BL192" s="62">
        <v>3100</v>
      </c>
      <c r="BM192" s="62">
        <v>86</v>
      </c>
      <c r="BN192" s="62">
        <v>1800</v>
      </c>
      <c r="BO192" s="62">
        <v>3000</v>
      </c>
      <c r="BP192" s="49"/>
      <c r="BQ192" s="49"/>
      <c r="BR192" s="49"/>
      <c r="BS192" s="49"/>
      <c r="BT192" s="49"/>
      <c r="BU192" s="49"/>
      <c r="BV192" s="49"/>
      <c r="BW192" s="49"/>
      <c r="BX192" s="49"/>
      <c r="BY192" s="49"/>
      <c r="BZ192" s="49"/>
      <c r="CA192" s="49"/>
    </row>
    <row r="193" spans="1:79">
      <c r="A193" s="49"/>
      <c r="B193" s="49"/>
      <c r="C193" s="49"/>
      <c r="D193" s="70" t="s">
        <v>3719</v>
      </c>
      <c r="E193" s="70"/>
      <c r="F193" s="70" t="s">
        <v>23</v>
      </c>
      <c r="G193" s="70"/>
      <c r="H193" s="62">
        <v>1</v>
      </c>
      <c r="I193" s="62">
        <v>10</v>
      </c>
      <c r="J193" s="62">
        <v>20</v>
      </c>
      <c r="K193" s="62"/>
      <c r="L193" s="62">
        <v>100</v>
      </c>
      <c r="M193" s="62">
        <v>200</v>
      </c>
      <c r="N193" s="70"/>
      <c r="O193" s="62"/>
      <c r="P193" s="49"/>
      <c r="Q193" s="49"/>
      <c r="R193" s="82" t="s">
        <v>3938</v>
      </c>
      <c r="S193" s="82"/>
      <c r="T193" s="82" t="s">
        <v>3959</v>
      </c>
      <c r="U193" s="70"/>
      <c r="V193" s="70"/>
      <c r="W193" s="70"/>
      <c r="X193" s="70"/>
      <c r="Y193" s="70"/>
      <c r="Z193" s="70"/>
      <c r="AA193" s="62"/>
      <c r="AB193" s="62" t="s">
        <v>3173</v>
      </c>
      <c r="AC193" s="62">
        <v>1</v>
      </c>
      <c r="AD193" s="62" t="s">
        <v>3173</v>
      </c>
      <c r="AE193" s="62"/>
      <c r="AF193" s="62" t="s">
        <v>3173</v>
      </c>
      <c r="AG193" s="62">
        <v>200</v>
      </c>
      <c r="AH193" s="62" t="s">
        <v>3173</v>
      </c>
      <c r="AI193" s="62"/>
      <c r="AJ193" s="62" t="s">
        <v>3960</v>
      </c>
      <c r="AK193" s="49" t="s">
        <v>3961</v>
      </c>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70" t="s">
        <v>424</v>
      </c>
      <c r="BJ193" s="85"/>
      <c r="BK193" s="92">
        <v>7</v>
      </c>
      <c r="BL193" s="62">
        <v>3600</v>
      </c>
      <c r="BM193" s="62">
        <v>100</v>
      </c>
      <c r="BN193" s="62">
        <v>2000</v>
      </c>
      <c r="BO193" s="62">
        <v>3500</v>
      </c>
      <c r="BP193" s="49"/>
      <c r="BQ193" s="49"/>
      <c r="BR193" s="49"/>
      <c r="BS193" s="49"/>
      <c r="BT193" s="49"/>
      <c r="BU193" s="49"/>
      <c r="BV193" s="49"/>
      <c r="BW193" s="49"/>
      <c r="BX193" s="49"/>
      <c r="BY193" s="49"/>
      <c r="BZ193" s="49"/>
      <c r="CA193" s="49"/>
    </row>
    <row r="194" spans="1:79">
      <c r="A194" s="49"/>
      <c r="B194" s="49"/>
      <c r="C194" s="49"/>
      <c r="D194" s="70" t="s">
        <v>3722</v>
      </c>
      <c r="E194" s="70"/>
      <c r="F194" s="70" t="s">
        <v>29</v>
      </c>
      <c r="G194" s="70"/>
      <c r="H194" s="62">
        <v>2</v>
      </c>
      <c r="I194" s="62">
        <v>10</v>
      </c>
      <c r="J194" s="62">
        <v>20</v>
      </c>
      <c r="K194" s="62"/>
      <c r="L194" s="62">
        <v>100</v>
      </c>
      <c r="M194" s="62">
        <v>200</v>
      </c>
      <c r="N194" s="70"/>
      <c r="O194" s="62"/>
      <c r="P194" s="49"/>
      <c r="Q194" s="49"/>
      <c r="R194" s="82" t="s">
        <v>3962</v>
      </c>
      <c r="S194" s="82"/>
      <c r="T194" s="82" t="s">
        <v>3963</v>
      </c>
      <c r="U194" s="70"/>
      <c r="V194" s="70"/>
      <c r="W194" s="70"/>
      <c r="X194" s="70"/>
      <c r="Y194" s="70"/>
      <c r="Z194" s="70"/>
      <c r="AA194" s="62"/>
      <c r="AB194" s="62" t="s">
        <v>3173</v>
      </c>
      <c r="AC194" s="62">
        <v>100</v>
      </c>
      <c r="AD194" s="62" t="s">
        <v>3173</v>
      </c>
      <c r="AE194" s="62"/>
      <c r="AF194" s="62" t="s">
        <v>3173</v>
      </c>
      <c r="AG194" s="62">
        <v>500</v>
      </c>
      <c r="AH194" s="62" t="s">
        <v>3173</v>
      </c>
      <c r="AI194" s="62"/>
      <c r="AJ194" s="62" t="s">
        <v>3964</v>
      </c>
      <c r="AK194" s="49" t="s">
        <v>3965</v>
      </c>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70" t="s">
        <v>3736</v>
      </c>
      <c r="BJ194" s="86"/>
      <c r="BK194" s="93">
        <v>8</v>
      </c>
      <c r="BL194" s="62">
        <v>4100</v>
      </c>
      <c r="BM194" s="62">
        <v>114</v>
      </c>
      <c r="BN194" s="62">
        <v>2200</v>
      </c>
      <c r="BO194" s="62">
        <v>4000</v>
      </c>
      <c r="BP194" s="49"/>
      <c r="BQ194" s="49"/>
      <c r="BR194" s="49"/>
      <c r="BS194" s="49"/>
      <c r="BT194" s="49"/>
      <c r="BU194" s="49"/>
      <c r="BV194" s="49"/>
      <c r="BW194" s="49"/>
      <c r="BX194" s="49"/>
      <c r="BY194" s="49"/>
      <c r="BZ194" s="49"/>
      <c r="CA194" s="49"/>
    </row>
    <row r="195" spans="1:79">
      <c r="A195" s="49"/>
      <c r="B195" s="49"/>
      <c r="C195" s="49"/>
      <c r="D195" s="70" t="s">
        <v>3680</v>
      </c>
      <c r="E195" s="70"/>
      <c r="F195" s="70" t="s">
        <v>35</v>
      </c>
      <c r="G195" s="70"/>
      <c r="H195" s="62">
        <v>1</v>
      </c>
      <c r="I195" s="62">
        <v>10</v>
      </c>
      <c r="J195" s="62">
        <v>20</v>
      </c>
      <c r="K195" s="62"/>
      <c r="L195" s="62">
        <v>100</v>
      </c>
      <c r="M195" s="62">
        <v>200</v>
      </c>
      <c r="N195" s="70"/>
      <c r="O195" s="62"/>
      <c r="P195" s="49"/>
      <c r="Q195" s="49"/>
      <c r="R195" s="82" t="s">
        <v>3966</v>
      </c>
      <c r="S195" s="82"/>
      <c r="T195" s="82" t="s">
        <v>3967</v>
      </c>
      <c r="U195" s="70"/>
      <c r="V195" s="70"/>
      <c r="W195" s="70"/>
      <c r="X195" s="70"/>
      <c r="Y195" s="70"/>
      <c r="Z195" s="70"/>
      <c r="AA195" s="62"/>
      <c r="AB195" s="62" t="s">
        <v>3173</v>
      </c>
      <c r="AC195" s="62">
        <v>5</v>
      </c>
      <c r="AD195" s="62" t="s">
        <v>3173</v>
      </c>
      <c r="AE195" s="62"/>
      <c r="AF195" s="62" t="s">
        <v>3173</v>
      </c>
      <c r="AG195" s="62">
        <v>1500</v>
      </c>
      <c r="AH195" s="62" t="s">
        <v>3173</v>
      </c>
      <c r="AI195" s="62"/>
      <c r="AJ195" s="62" t="s">
        <v>3968</v>
      </c>
      <c r="AK195" s="49" t="s">
        <v>3969</v>
      </c>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95" t="s">
        <v>429</v>
      </c>
      <c r="BJ195" s="49"/>
      <c r="BK195" s="105">
        <v>9</v>
      </c>
      <c r="BL195" s="62">
        <v>4400</v>
      </c>
      <c r="BM195" s="62">
        <v>128</v>
      </c>
      <c r="BN195" s="62">
        <v>2400</v>
      </c>
      <c r="BO195" s="62" t="s">
        <v>2071</v>
      </c>
      <c r="BP195" s="49"/>
      <c r="BQ195" s="87"/>
      <c r="BR195" s="49"/>
      <c r="BS195" s="49"/>
      <c r="BT195" s="49"/>
      <c r="BU195" s="49"/>
      <c r="BV195" s="49"/>
      <c r="BW195" s="49"/>
      <c r="BX195" s="49"/>
      <c r="BY195" s="49"/>
      <c r="BZ195" s="49"/>
      <c r="CA195" s="49"/>
    </row>
    <row r="196" spans="1:79">
      <c r="A196" s="49"/>
      <c r="B196" s="49"/>
      <c r="C196" s="49"/>
      <c r="D196" s="70" t="s">
        <v>3713</v>
      </c>
      <c r="E196" s="70"/>
      <c r="F196" s="70" t="s">
        <v>57</v>
      </c>
      <c r="G196" s="70"/>
      <c r="H196" s="62">
        <v>1</v>
      </c>
      <c r="I196" s="62">
        <v>10</v>
      </c>
      <c r="J196" s="62">
        <v>20</v>
      </c>
      <c r="K196" s="62"/>
      <c r="L196" s="62">
        <v>100</v>
      </c>
      <c r="M196" s="62">
        <v>200</v>
      </c>
      <c r="N196" s="70"/>
      <c r="O196" s="62"/>
      <c r="P196" s="49"/>
      <c r="Q196" s="49"/>
      <c r="R196" s="82" t="s">
        <v>3970</v>
      </c>
      <c r="S196" s="82"/>
      <c r="T196" s="82" t="s">
        <v>3971</v>
      </c>
      <c r="U196" s="70"/>
      <c r="V196" s="70"/>
      <c r="W196" s="70"/>
      <c r="X196" s="70"/>
      <c r="Y196" s="70"/>
      <c r="Z196" s="70"/>
      <c r="AA196" s="62"/>
      <c r="AB196" s="62" t="s">
        <v>3173</v>
      </c>
      <c r="AC196" s="62">
        <v>5</v>
      </c>
      <c r="AD196" s="62" t="s">
        <v>3173</v>
      </c>
      <c r="AE196" s="62"/>
      <c r="AF196" s="62" t="s">
        <v>3173</v>
      </c>
      <c r="AG196" s="62">
        <v>1500</v>
      </c>
      <c r="AH196" s="62" t="s">
        <v>3173</v>
      </c>
      <c r="AI196" s="62"/>
      <c r="AJ196" s="62" t="s">
        <v>3972</v>
      </c>
      <c r="AK196" s="49" t="s">
        <v>3973</v>
      </c>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112">
        <v>10</v>
      </c>
      <c r="BL196" s="62">
        <v>4700</v>
      </c>
      <c r="BM196" s="62">
        <v>142</v>
      </c>
      <c r="BN196" s="62">
        <v>2600</v>
      </c>
      <c r="BO196" s="62" t="s">
        <v>2071</v>
      </c>
      <c r="BP196" s="49"/>
      <c r="BQ196" s="99"/>
      <c r="BR196" s="49"/>
      <c r="BS196" s="49"/>
      <c r="BT196" s="49"/>
      <c r="BU196" s="49"/>
      <c r="BV196" s="49"/>
      <c r="BW196" s="49"/>
      <c r="BX196" s="49"/>
      <c r="BY196" s="49"/>
      <c r="BZ196" s="49"/>
      <c r="CA196" s="49"/>
    </row>
    <row r="197" spans="1:79">
      <c r="A197" s="49"/>
      <c r="B197" s="49"/>
      <c r="C197" s="49"/>
      <c r="D197" s="70" t="s">
        <v>3685</v>
      </c>
      <c r="E197" s="70"/>
      <c r="F197" s="70" t="s">
        <v>66</v>
      </c>
      <c r="G197" s="70"/>
      <c r="H197" s="62">
        <v>2</v>
      </c>
      <c r="I197" s="62">
        <v>10</v>
      </c>
      <c r="J197" s="62">
        <v>20</v>
      </c>
      <c r="K197" s="62"/>
      <c r="L197" s="62">
        <v>100</v>
      </c>
      <c r="M197" s="62">
        <v>200</v>
      </c>
      <c r="N197" s="70"/>
      <c r="O197" s="62"/>
      <c r="P197" s="49"/>
      <c r="Q197" s="49"/>
      <c r="R197" s="82" t="s">
        <v>3974</v>
      </c>
      <c r="S197" s="82"/>
      <c r="T197" s="82" t="s">
        <v>3975</v>
      </c>
      <c r="U197" s="70"/>
      <c r="V197" s="70"/>
      <c r="W197" s="70"/>
      <c r="X197" s="70"/>
      <c r="Y197" s="70"/>
      <c r="Z197" s="70"/>
      <c r="AA197" s="62"/>
      <c r="AB197" s="62" t="s">
        <v>3173</v>
      </c>
      <c r="AC197" s="62">
        <v>5</v>
      </c>
      <c r="AD197" s="62" t="s">
        <v>3173</v>
      </c>
      <c r="AE197" s="62"/>
      <c r="AF197" s="62" t="s">
        <v>3173</v>
      </c>
      <c r="AG197" s="62">
        <v>1500</v>
      </c>
      <c r="AH197" s="62" t="s">
        <v>3173</v>
      </c>
      <c r="AI197" s="62"/>
      <c r="AJ197" s="62" t="s">
        <v>3976</v>
      </c>
      <c r="AK197" s="49" t="s">
        <v>3977</v>
      </c>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113">
        <v>11</v>
      </c>
      <c r="BL197" s="62">
        <v>5000</v>
      </c>
      <c r="BM197" s="62">
        <v>156</v>
      </c>
      <c r="BN197" s="62">
        <v>2800</v>
      </c>
      <c r="BO197" s="62" t="s">
        <v>2071</v>
      </c>
      <c r="BP197" s="49"/>
      <c r="BQ197" s="90"/>
      <c r="BR197" s="49"/>
      <c r="BS197" s="49"/>
      <c r="BT197" s="49"/>
      <c r="BU197" s="49"/>
      <c r="BV197" s="49"/>
      <c r="BW197" s="49"/>
      <c r="BX197" s="49"/>
      <c r="BY197" s="49"/>
      <c r="BZ197" s="49"/>
      <c r="CA197" s="49"/>
    </row>
    <row r="198" spans="1:79">
      <c r="A198" s="49"/>
      <c r="B198" s="49"/>
      <c r="C198" s="49"/>
      <c r="D198" s="70" t="s">
        <v>3716</v>
      </c>
      <c r="E198" s="70"/>
      <c r="F198" s="70" t="s">
        <v>62</v>
      </c>
      <c r="G198" s="70"/>
      <c r="H198" s="62">
        <v>4</v>
      </c>
      <c r="I198" s="62">
        <v>10</v>
      </c>
      <c r="J198" s="62">
        <v>20</v>
      </c>
      <c r="K198" s="62"/>
      <c r="L198" s="62">
        <v>100</v>
      </c>
      <c r="M198" s="62">
        <v>200</v>
      </c>
      <c r="N198" s="70"/>
      <c r="O198" s="62"/>
      <c r="P198" s="49"/>
      <c r="Q198" s="49"/>
      <c r="R198" s="82" t="s">
        <v>3978</v>
      </c>
      <c r="S198" s="82"/>
      <c r="T198" s="82" t="s">
        <v>3979</v>
      </c>
      <c r="U198" s="70"/>
      <c r="V198" s="70"/>
      <c r="W198" s="70"/>
      <c r="X198" s="70"/>
      <c r="Y198" s="70"/>
      <c r="Z198" s="70"/>
      <c r="AA198" s="62"/>
      <c r="AB198" s="62" t="s">
        <v>3173</v>
      </c>
      <c r="AC198" s="62">
        <v>5</v>
      </c>
      <c r="AD198" s="62" t="s">
        <v>3173</v>
      </c>
      <c r="AE198" s="62"/>
      <c r="AF198" s="62" t="s">
        <v>3173</v>
      </c>
      <c r="AG198" s="62">
        <v>1500</v>
      </c>
      <c r="AH198" s="62" t="s">
        <v>3173</v>
      </c>
      <c r="AI198" s="62"/>
      <c r="AJ198" s="62" t="s">
        <v>3980</v>
      </c>
      <c r="AK198" s="49" t="s">
        <v>3981</v>
      </c>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91"/>
      <c r="BR198" s="49"/>
      <c r="BS198" s="49"/>
      <c r="BT198" s="49"/>
      <c r="BU198" s="49"/>
      <c r="BV198" s="49"/>
      <c r="BW198" s="49"/>
      <c r="BX198" s="49"/>
      <c r="BY198" s="49"/>
      <c r="BZ198" s="49"/>
      <c r="CA198" s="49"/>
    </row>
    <row r="199" spans="1:79">
      <c r="A199" s="49"/>
      <c r="B199" s="49"/>
      <c r="C199" s="49"/>
      <c r="D199" s="70" t="s">
        <v>3660</v>
      </c>
      <c r="E199" s="70"/>
      <c r="F199" s="70" t="s">
        <v>70</v>
      </c>
      <c r="G199" s="70"/>
      <c r="H199" s="62">
        <v>2</v>
      </c>
      <c r="I199" s="62">
        <v>10</v>
      </c>
      <c r="J199" s="62">
        <v>20</v>
      </c>
      <c r="K199" s="62"/>
      <c r="L199" s="62">
        <v>100</v>
      </c>
      <c r="M199" s="62">
        <v>200</v>
      </c>
      <c r="N199" s="70"/>
      <c r="O199" s="62"/>
      <c r="P199" s="49"/>
      <c r="Q199" s="49"/>
      <c r="R199" s="82" t="s">
        <v>3982</v>
      </c>
      <c r="S199" s="82"/>
      <c r="T199" s="82" t="s">
        <v>3983</v>
      </c>
      <c r="U199" s="70"/>
      <c r="V199" s="70"/>
      <c r="W199" s="70"/>
      <c r="X199" s="70"/>
      <c r="Y199" s="70"/>
      <c r="Z199" s="70"/>
      <c r="AA199" s="62"/>
      <c r="AB199" s="62" t="s">
        <v>3173</v>
      </c>
      <c r="AC199" s="62">
        <v>5</v>
      </c>
      <c r="AD199" s="62" t="s">
        <v>3173</v>
      </c>
      <c r="AE199" s="62"/>
      <c r="AF199" s="62" t="s">
        <v>3173</v>
      </c>
      <c r="AG199" s="62">
        <v>1500</v>
      </c>
      <c r="AH199" s="62" t="s">
        <v>3173</v>
      </c>
      <c r="AI199" s="62"/>
      <c r="AJ199" s="62" t="s">
        <v>3984</v>
      </c>
      <c r="AK199" s="49" t="s">
        <v>3985</v>
      </c>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t="s">
        <v>1805</v>
      </c>
      <c r="BJ199" s="49"/>
      <c r="BK199" s="49" t="s">
        <v>3986</v>
      </c>
      <c r="BL199" s="49"/>
      <c r="BM199" s="49"/>
      <c r="BN199" s="49"/>
      <c r="BO199" s="49"/>
      <c r="BP199" s="49"/>
      <c r="BQ199" s="92"/>
      <c r="BR199" s="49"/>
      <c r="BS199" s="49"/>
      <c r="BT199" s="49"/>
      <c r="BU199" s="49"/>
      <c r="BV199" s="49"/>
      <c r="BW199" s="49"/>
      <c r="BX199" s="49"/>
      <c r="BY199" s="49"/>
      <c r="BZ199" s="49"/>
      <c r="CA199" s="49"/>
    </row>
    <row r="200" spans="1:79">
      <c r="A200" s="49"/>
      <c r="B200" s="49"/>
      <c r="C200" s="49"/>
      <c r="D200" s="70" t="s">
        <v>3725</v>
      </c>
      <c r="E200" s="70"/>
      <c r="F200" s="70" t="s">
        <v>76</v>
      </c>
      <c r="G200" s="70"/>
      <c r="H200" s="62">
        <v>2</v>
      </c>
      <c r="I200" s="62">
        <v>10</v>
      </c>
      <c r="J200" s="62">
        <v>20</v>
      </c>
      <c r="K200" s="62"/>
      <c r="L200" s="62">
        <v>100</v>
      </c>
      <c r="M200" s="62">
        <v>200</v>
      </c>
      <c r="N200" s="70"/>
      <c r="O200" s="62"/>
      <c r="P200" s="49"/>
      <c r="Q200" s="49"/>
      <c r="R200" s="82" t="s">
        <v>3987</v>
      </c>
      <c r="S200" s="82"/>
      <c r="T200" s="82" t="s">
        <v>3988</v>
      </c>
      <c r="U200" s="70"/>
      <c r="V200" s="70"/>
      <c r="W200" s="70"/>
      <c r="X200" s="70"/>
      <c r="Y200" s="70"/>
      <c r="Z200" s="70"/>
      <c r="AA200" s="62"/>
      <c r="AB200" s="62" t="s">
        <v>3173</v>
      </c>
      <c r="AC200" s="62">
        <v>5</v>
      </c>
      <c r="AD200" s="62" t="s">
        <v>3173</v>
      </c>
      <c r="AE200" s="62"/>
      <c r="AF200" s="62" t="s">
        <v>3173</v>
      </c>
      <c r="AG200" s="62">
        <v>1500</v>
      </c>
      <c r="AH200" s="62" t="s">
        <v>3173</v>
      </c>
      <c r="AI200" s="62"/>
      <c r="AJ200" s="62" t="s">
        <v>3989</v>
      </c>
      <c r="AK200" s="49" t="s">
        <v>3990</v>
      </c>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84" t="s">
        <v>242</v>
      </c>
      <c r="BJ200" s="85"/>
      <c r="BK200" s="65" t="s">
        <v>243</v>
      </c>
      <c r="BL200" s="65" t="s">
        <v>353</v>
      </c>
      <c r="BM200" s="65" t="s">
        <v>1808</v>
      </c>
      <c r="BN200" s="65" t="s">
        <v>3543</v>
      </c>
      <c r="BO200" s="49"/>
      <c r="BP200" s="49"/>
      <c r="BQ200" s="93"/>
      <c r="BR200" s="120"/>
      <c r="BS200" s="87"/>
      <c r="BT200" s="49"/>
      <c r="BU200" s="49"/>
      <c r="BV200" s="49"/>
      <c r="BW200" s="49"/>
      <c r="BX200" s="49"/>
      <c r="BY200" s="49"/>
      <c r="BZ200" s="49"/>
      <c r="CA200" s="49"/>
    </row>
    <row r="201" spans="1:79">
      <c r="A201" s="49"/>
      <c r="B201" s="49"/>
      <c r="C201" s="49"/>
      <c r="D201" s="70" t="s">
        <v>3991</v>
      </c>
      <c r="E201" s="70"/>
      <c r="F201" s="70" t="s">
        <v>160</v>
      </c>
      <c r="G201" s="70"/>
      <c r="H201" s="62">
        <v>4</v>
      </c>
      <c r="I201" s="62">
        <v>20</v>
      </c>
      <c r="J201" s="62">
        <v>40</v>
      </c>
      <c r="K201" s="70"/>
      <c r="L201" s="62">
        <v>100</v>
      </c>
      <c r="M201" s="62">
        <v>200</v>
      </c>
      <c r="N201" s="70"/>
      <c r="O201" s="62"/>
      <c r="P201" s="49"/>
      <c r="Q201" s="49"/>
      <c r="R201" s="82" t="s">
        <v>3992</v>
      </c>
      <c r="S201" s="82"/>
      <c r="T201" s="82" t="s">
        <v>3993</v>
      </c>
      <c r="U201" s="70"/>
      <c r="V201" s="70"/>
      <c r="W201" s="70"/>
      <c r="X201" s="70"/>
      <c r="Y201" s="70"/>
      <c r="Z201" s="70"/>
      <c r="AA201" s="62"/>
      <c r="AB201" s="62" t="s">
        <v>3173</v>
      </c>
      <c r="AC201" s="62">
        <v>5</v>
      </c>
      <c r="AD201" s="62" t="s">
        <v>3173</v>
      </c>
      <c r="AE201" s="62"/>
      <c r="AF201" s="62" t="s">
        <v>3173</v>
      </c>
      <c r="AG201" s="62">
        <v>1500</v>
      </c>
      <c r="AH201" s="62" t="s">
        <v>3173</v>
      </c>
      <c r="AI201" s="62"/>
      <c r="AJ201" s="62" t="s">
        <v>3994</v>
      </c>
      <c r="AK201" s="49" t="s">
        <v>3995</v>
      </c>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70" t="s">
        <v>349</v>
      </c>
      <c r="BJ201" s="86"/>
      <c r="BK201" s="87"/>
      <c r="BL201" s="62"/>
      <c r="BM201" s="62"/>
      <c r="BN201" s="62"/>
      <c r="BO201" s="49"/>
      <c r="BP201" s="49"/>
      <c r="BQ201" s="94"/>
      <c r="BR201" s="120"/>
      <c r="BS201" s="99"/>
      <c r="BT201" s="49"/>
      <c r="BU201" s="49"/>
      <c r="BV201" s="49"/>
      <c r="BW201" s="49"/>
      <c r="BX201" s="49"/>
      <c r="BY201" s="49"/>
      <c r="BZ201" s="49"/>
      <c r="CA201" s="49"/>
    </row>
    <row r="202" spans="1:79">
      <c r="A202" s="49"/>
      <c r="B202" s="49"/>
      <c r="C202" s="49"/>
      <c r="D202" s="70"/>
      <c r="E202" s="70"/>
      <c r="F202" s="70"/>
      <c r="G202" s="70"/>
      <c r="H202" s="70"/>
      <c r="I202" s="70"/>
      <c r="J202" s="70"/>
      <c r="K202" s="70"/>
      <c r="L202" s="70"/>
      <c r="M202" s="70"/>
      <c r="N202" s="70"/>
      <c r="O202" s="62"/>
      <c r="P202" s="49"/>
      <c r="Q202" s="49"/>
      <c r="R202" s="82" t="s">
        <v>3996</v>
      </c>
      <c r="S202" s="82"/>
      <c r="T202" s="82" t="s">
        <v>3997</v>
      </c>
      <c r="U202" s="70"/>
      <c r="V202" s="70"/>
      <c r="W202" s="70"/>
      <c r="X202" s="70"/>
      <c r="Y202" s="70"/>
      <c r="Z202" s="70"/>
      <c r="AA202" s="62"/>
      <c r="AB202" s="62" t="s">
        <v>3173</v>
      </c>
      <c r="AC202" s="62">
        <v>5</v>
      </c>
      <c r="AD202" s="62" t="s">
        <v>3173</v>
      </c>
      <c r="AE202" s="62"/>
      <c r="AF202" s="62" t="s">
        <v>3173</v>
      </c>
      <c r="AG202" s="62">
        <v>1500</v>
      </c>
      <c r="AH202" s="62" t="s">
        <v>3173</v>
      </c>
      <c r="AI202" s="62"/>
      <c r="AJ202" s="62" t="s">
        <v>3998</v>
      </c>
      <c r="AK202" s="49" t="s">
        <v>3999</v>
      </c>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70" t="s">
        <v>4000</v>
      </c>
      <c r="BJ202" s="86"/>
      <c r="BK202" s="87">
        <v>2</v>
      </c>
      <c r="BL202" s="62">
        <v>96</v>
      </c>
      <c r="BM202" s="62">
        <v>8</v>
      </c>
      <c r="BN202" s="62">
        <v>2500</v>
      </c>
      <c r="BO202" s="49"/>
      <c r="BP202" s="49"/>
      <c r="BQ202" s="100"/>
      <c r="BR202" s="120"/>
      <c r="BS202" s="90"/>
      <c r="BT202" s="49"/>
      <c r="BU202" s="49"/>
      <c r="BV202" s="49"/>
      <c r="BW202" s="49"/>
      <c r="BX202" s="49"/>
      <c r="BY202" s="49"/>
      <c r="BZ202" s="49"/>
      <c r="CA202" s="49"/>
    </row>
    <row r="203" spans="1:79">
      <c r="A203" s="49"/>
      <c r="B203" s="49"/>
      <c r="C203" s="49"/>
      <c r="D203" s="70"/>
      <c r="E203" s="70"/>
      <c r="F203" s="70"/>
      <c r="G203" s="70"/>
      <c r="H203" s="70"/>
      <c r="I203" s="70"/>
      <c r="J203" s="70"/>
      <c r="K203" s="70"/>
      <c r="L203" s="70"/>
      <c r="M203" s="70"/>
      <c r="N203" s="70"/>
      <c r="O203" s="62"/>
      <c r="P203" s="49"/>
      <c r="Q203" s="49"/>
      <c r="R203" s="82" t="s">
        <v>4001</v>
      </c>
      <c r="S203" s="82"/>
      <c r="T203" s="82" t="s">
        <v>4002</v>
      </c>
      <c r="U203" s="70"/>
      <c r="V203" s="70"/>
      <c r="W203" s="70"/>
      <c r="X203" s="70"/>
      <c r="Y203" s="70"/>
      <c r="Z203" s="70"/>
      <c r="AA203" s="62"/>
      <c r="AB203" s="62" t="s">
        <v>3173</v>
      </c>
      <c r="AC203" s="62">
        <v>5</v>
      </c>
      <c r="AD203" s="62" t="s">
        <v>3173</v>
      </c>
      <c r="AE203" s="62"/>
      <c r="AF203" s="62" t="s">
        <v>3173</v>
      </c>
      <c r="AG203" s="62">
        <v>1500</v>
      </c>
      <c r="AH203" s="62" t="s">
        <v>3173</v>
      </c>
      <c r="AI203" s="62"/>
      <c r="AJ203" s="62" t="s">
        <v>4003</v>
      </c>
      <c r="AK203" s="49" t="s">
        <v>4004</v>
      </c>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88" t="s">
        <v>1833</v>
      </c>
      <c r="BJ203" s="89"/>
      <c r="BK203" s="87">
        <v>3</v>
      </c>
      <c r="BL203" s="62">
        <v>144</v>
      </c>
      <c r="BM203" s="62">
        <v>9</v>
      </c>
      <c r="BN203" s="62">
        <v>3000</v>
      </c>
      <c r="BO203" s="49"/>
      <c r="BP203" s="49"/>
      <c r="BQ203" s="121"/>
      <c r="BR203" s="120"/>
      <c r="BS203" s="91"/>
      <c r="BT203" s="49"/>
      <c r="BU203" s="49"/>
      <c r="BV203" s="49"/>
      <c r="BW203" s="49"/>
      <c r="BX203" s="49"/>
      <c r="BY203" s="49"/>
      <c r="BZ203" s="49"/>
      <c r="CA203" s="49"/>
    </row>
    <row r="204" spans="1:79">
      <c r="A204" s="49"/>
      <c r="B204" s="49"/>
      <c r="C204" s="49"/>
      <c r="D204" s="611" t="s">
        <v>4005</v>
      </c>
      <c r="E204" s="611"/>
      <c r="F204" s="611"/>
      <c r="G204" s="70"/>
      <c r="H204" s="62"/>
      <c r="I204" s="71"/>
      <c r="J204" s="49"/>
      <c r="K204" s="49"/>
      <c r="L204" s="49"/>
      <c r="M204" s="49"/>
      <c r="N204" s="62"/>
      <c r="O204" s="62"/>
      <c r="P204" s="49"/>
      <c r="Q204" s="49"/>
      <c r="R204" s="82" t="s">
        <v>3722</v>
      </c>
      <c r="S204" s="82"/>
      <c r="T204" s="82" t="s">
        <v>4006</v>
      </c>
      <c r="U204" s="70"/>
      <c r="V204" s="70"/>
      <c r="W204" s="70"/>
      <c r="X204" s="70"/>
      <c r="Y204" s="70"/>
      <c r="Z204" s="70"/>
      <c r="AA204" s="62"/>
      <c r="AB204" s="62" t="s">
        <v>3173</v>
      </c>
      <c r="AC204" s="62">
        <v>6</v>
      </c>
      <c r="AD204" s="62" t="s">
        <v>3173</v>
      </c>
      <c r="AE204" s="62"/>
      <c r="AF204" s="62" t="s">
        <v>3173</v>
      </c>
      <c r="AG204" s="62">
        <v>1650</v>
      </c>
      <c r="AH204" s="62" t="s">
        <v>3173</v>
      </c>
      <c r="AI204" s="49"/>
      <c r="AJ204" s="62" t="s">
        <v>4007</v>
      </c>
      <c r="AK204" s="49" t="s">
        <v>4008</v>
      </c>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70" t="s">
        <v>4009</v>
      </c>
      <c r="BJ204" s="85"/>
      <c r="BK204" s="99">
        <v>4</v>
      </c>
      <c r="BL204" s="62">
        <v>216</v>
      </c>
      <c r="BM204" s="62">
        <v>10</v>
      </c>
      <c r="BN204" s="62">
        <v>3500</v>
      </c>
      <c r="BO204" s="49"/>
      <c r="BP204" s="49"/>
      <c r="BQ204" s="122"/>
      <c r="BR204" s="120"/>
      <c r="BS204" s="92"/>
      <c r="BT204" s="49"/>
      <c r="BU204" s="49"/>
      <c r="BV204" s="49"/>
      <c r="BW204" s="49"/>
      <c r="BX204" s="49"/>
      <c r="BY204" s="49"/>
      <c r="BZ204" s="49"/>
      <c r="CA204" s="49"/>
    </row>
    <row r="205" spans="1:79">
      <c r="A205" s="49"/>
      <c r="B205" s="49"/>
      <c r="C205" s="49"/>
      <c r="D205" s="612"/>
      <c r="E205" s="612"/>
      <c r="F205" s="612"/>
      <c r="G205" s="70" t="s">
        <v>4010</v>
      </c>
      <c r="H205" s="66"/>
      <c r="I205" s="73"/>
      <c r="J205" s="67"/>
      <c r="K205" s="67"/>
      <c r="L205" s="67"/>
      <c r="M205" s="67"/>
      <c r="N205" s="67"/>
      <c r="O205" s="62"/>
      <c r="P205" s="49"/>
      <c r="Q205" s="49"/>
      <c r="R205" s="82" t="s">
        <v>4011</v>
      </c>
      <c r="S205" s="82"/>
      <c r="T205" s="82" t="s">
        <v>4012</v>
      </c>
      <c r="U205" s="70"/>
      <c r="V205" s="70"/>
      <c r="W205" s="70"/>
      <c r="X205" s="70"/>
      <c r="Y205" s="70"/>
      <c r="Z205" s="70"/>
      <c r="AA205" s="62"/>
      <c r="AB205" s="62" t="s">
        <v>3173</v>
      </c>
      <c r="AC205" s="62">
        <v>5</v>
      </c>
      <c r="AD205" s="62" t="s">
        <v>3173</v>
      </c>
      <c r="AE205" s="62"/>
      <c r="AF205" s="62" t="s">
        <v>3173</v>
      </c>
      <c r="AG205" s="62">
        <v>1500</v>
      </c>
      <c r="AH205" s="62" t="s">
        <v>3173</v>
      </c>
      <c r="AI205" s="49"/>
      <c r="AJ205" s="62" t="s">
        <v>4013</v>
      </c>
      <c r="AK205" s="49" t="s">
        <v>4014</v>
      </c>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t="s">
        <v>3953</v>
      </c>
      <c r="BJ205" s="86"/>
      <c r="BK205" s="90">
        <v>5</v>
      </c>
      <c r="BL205" s="62">
        <v>324</v>
      </c>
      <c r="BM205" s="62">
        <v>11</v>
      </c>
      <c r="BN205" s="62">
        <v>4000</v>
      </c>
      <c r="BO205" s="49"/>
      <c r="BP205" s="49"/>
      <c r="BQ205" s="49"/>
      <c r="BR205" s="120"/>
      <c r="BS205" s="93"/>
      <c r="BT205" s="49"/>
      <c r="BU205" s="49"/>
      <c r="BV205" s="49"/>
      <c r="BW205" s="49"/>
      <c r="BX205" s="49"/>
      <c r="BY205" s="49"/>
      <c r="BZ205" s="49"/>
      <c r="CA205" s="49"/>
    </row>
    <row r="206" spans="1:79">
      <c r="A206" s="49"/>
      <c r="B206" s="49"/>
      <c r="C206" s="49"/>
      <c r="D206" s="68" t="s">
        <v>3536</v>
      </c>
      <c r="E206" s="68" t="s">
        <v>3537</v>
      </c>
      <c r="F206" s="68"/>
      <c r="G206" s="68"/>
      <c r="H206" s="68"/>
      <c r="I206" s="74"/>
      <c r="J206" s="75"/>
      <c r="K206" s="75"/>
      <c r="L206" s="75"/>
      <c r="M206" s="75"/>
      <c r="N206" s="75"/>
      <c r="O206" s="62"/>
      <c r="P206" s="49"/>
      <c r="Q206" s="49"/>
      <c r="R206" s="82" t="s">
        <v>4015</v>
      </c>
      <c r="S206" s="82"/>
      <c r="T206" s="82" t="s">
        <v>4016</v>
      </c>
      <c r="U206" s="70"/>
      <c r="V206" s="70"/>
      <c r="W206" s="70"/>
      <c r="X206" s="70"/>
      <c r="Y206" s="70"/>
      <c r="Z206" s="70"/>
      <c r="AA206" s="62"/>
      <c r="AB206" s="62" t="s">
        <v>3173</v>
      </c>
      <c r="AC206" s="62">
        <v>5</v>
      </c>
      <c r="AD206" s="62" t="s">
        <v>3173</v>
      </c>
      <c r="AE206" s="62"/>
      <c r="AF206" s="62" t="s">
        <v>3173</v>
      </c>
      <c r="AG206" s="62">
        <v>1500</v>
      </c>
      <c r="AH206" s="62" t="s">
        <v>3173</v>
      </c>
      <c r="AI206" s="49"/>
      <c r="AJ206" s="62" t="s">
        <v>4017</v>
      </c>
      <c r="AK206" s="49" t="s">
        <v>4018</v>
      </c>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88" t="s">
        <v>3958</v>
      </c>
      <c r="BJ206" s="89"/>
      <c r="BK206" s="91">
        <v>6</v>
      </c>
      <c r="BL206" s="62">
        <v>486</v>
      </c>
      <c r="BM206" s="62">
        <v>12</v>
      </c>
      <c r="BN206" s="62">
        <v>4500</v>
      </c>
      <c r="BO206" s="49"/>
      <c r="BP206" s="49"/>
      <c r="BQ206" s="49"/>
      <c r="BR206" s="120"/>
      <c r="BS206" s="94"/>
      <c r="BT206" s="49"/>
      <c r="BU206" s="49"/>
      <c r="BV206" s="49"/>
      <c r="BW206" s="49"/>
      <c r="BX206" s="49"/>
      <c r="BY206" s="49"/>
      <c r="BZ206" s="49"/>
      <c r="CA206" s="49"/>
    </row>
    <row r="207" spans="1:79">
      <c r="A207" s="49"/>
      <c r="B207" s="49"/>
      <c r="C207" s="49"/>
      <c r="D207" s="70"/>
      <c r="E207" s="70"/>
      <c r="F207" s="70"/>
      <c r="G207" s="70"/>
      <c r="H207" s="70"/>
      <c r="I207" s="70"/>
      <c r="J207" s="70"/>
      <c r="K207" s="70"/>
      <c r="L207" s="70"/>
      <c r="M207" s="70"/>
      <c r="N207" s="70"/>
      <c r="O207" s="62"/>
      <c r="P207" s="49"/>
      <c r="Q207" s="49"/>
      <c r="R207" s="82" t="s">
        <v>3804</v>
      </c>
      <c r="S207" s="82"/>
      <c r="T207" s="82" t="s">
        <v>4019</v>
      </c>
      <c r="U207" s="70"/>
      <c r="V207" s="70"/>
      <c r="W207" s="70"/>
      <c r="X207" s="70"/>
      <c r="Y207" s="70"/>
      <c r="Z207" s="70"/>
      <c r="AA207" s="62"/>
      <c r="AB207" s="62" t="s">
        <v>3173</v>
      </c>
      <c r="AC207" s="62">
        <v>5</v>
      </c>
      <c r="AD207" s="62" t="s">
        <v>3173</v>
      </c>
      <c r="AE207" s="62"/>
      <c r="AF207" s="62" t="s">
        <v>3173</v>
      </c>
      <c r="AG207" s="62">
        <v>1500</v>
      </c>
      <c r="AH207" s="62" t="s">
        <v>3173</v>
      </c>
      <c r="AI207" s="49"/>
      <c r="AJ207" s="62" t="s">
        <v>4020</v>
      </c>
      <c r="AK207" s="49" t="s">
        <v>3836</v>
      </c>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70" t="s">
        <v>306</v>
      </c>
      <c r="BJ207" s="85"/>
      <c r="BK207" s="92">
        <v>7</v>
      </c>
      <c r="BL207" s="62">
        <v>594</v>
      </c>
      <c r="BM207" s="62">
        <v>13</v>
      </c>
      <c r="BN207" s="62">
        <v>5000</v>
      </c>
      <c r="BO207" s="49"/>
      <c r="BP207" s="49"/>
      <c r="BQ207" s="49"/>
      <c r="BR207" s="120"/>
      <c r="BS207" s="100"/>
      <c r="BT207" s="49"/>
      <c r="BU207" s="49"/>
      <c r="BV207" s="49"/>
      <c r="BW207" s="49"/>
      <c r="BX207" s="49"/>
      <c r="BY207" s="49"/>
      <c r="BZ207" s="49"/>
      <c r="CA207" s="49"/>
    </row>
    <row r="208" spans="1:79">
      <c r="A208" s="49"/>
      <c r="B208" s="49"/>
      <c r="C208" s="49"/>
      <c r="D208" s="72" t="s">
        <v>3555</v>
      </c>
      <c r="E208" s="72"/>
      <c r="F208" s="72" t="s">
        <v>3556</v>
      </c>
      <c r="G208" s="72"/>
      <c r="H208" s="66" t="s">
        <v>3557</v>
      </c>
      <c r="I208" s="66" t="s">
        <v>4021</v>
      </c>
      <c r="J208" s="70"/>
      <c r="K208" s="70"/>
      <c r="L208" s="70"/>
      <c r="M208" s="70"/>
      <c r="N208" s="70"/>
      <c r="O208" s="62"/>
      <c r="P208" s="49"/>
      <c r="Q208" s="49"/>
      <c r="R208" s="70"/>
      <c r="S208" s="70"/>
      <c r="T208" s="70"/>
      <c r="U208" s="70"/>
      <c r="V208" s="70"/>
      <c r="W208" s="70"/>
      <c r="X208" s="70"/>
      <c r="Y208" s="70"/>
      <c r="Z208" s="70"/>
      <c r="AA208" s="62"/>
      <c r="AB208" s="62"/>
      <c r="AC208" s="62"/>
      <c r="AD208" s="62"/>
      <c r="AE208" s="62"/>
      <c r="AF208" s="62"/>
      <c r="AG208" s="62"/>
      <c r="AH208" s="62"/>
      <c r="AI208" s="49"/>
      <c r="AJ208" s="62" t="s">
        <v>4022</v>
      </c>
      <c r="AK208" s="49" t="s">
        <v>4023</v>
      </c>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70" t="s">
        <v>3787</v>
      </c>
      <c r="BJ208" s="86"/>
      <c r="BK208" s="93">
        <v>8</v>
      </c>
      <c r="BL208" s="62">
        <v>708</v>
      </c>
      <c r="BM208" s="62">
        <v>14</v>
      </c>
      <c r="BN208" s="62">
        <v>5500</v>
      </c>
      <c r="BO208" s="49"/>
      <c r="BP208" s="49"/>
      <c r="BQ208" s="49"/>
      <c r="BR208" s="123"/>
      <c r="BS208" s="121"/>
      <c r="BT208" s="49"/>
      <c r="BU208" s="49"/>
      <c r="BV208" s="49"/>
      <c r="BW208" s="49"/>
      <c r="BX208" s="49"/>
      <c r="BY208" s="49"/>
      <c r="BZ208" s="49"/>
      <c r="CA208" s="49"/>
    </row>
    <row r="209" spans="1:79">
      <c r="A209" s="49"/>
      <c r="B209" s="49"/>
      <c r="C209" s="49"/>
      <c r="D209" s="70" t="s">
        <v>3529</v>
      </c>
      <c r="E209" s="70"/>
      <c r="F209" s="70" t="s">
        <v>63</v>
      </c>
      <c r="G209" s="70"/>
      <c r="H209" s="62">
        <v>5</v>
      </c>
      <c r="I209" s="62">
        <v>100</v>
      </c>
      <c r="J209" s="70"/>
      <c r="K209" s="70"/>
      <c r="L209" s="70"/>
      <c r="M209" s="70"/>
      <c r="N209" s="70"/>
      <c r="O209" s="62"/>
      <c r="P209" s="49"/>
      <c r="Q209" s="49"/>
      <c r="R209" s="62"/>
      <c r="S209" s="62"/>
      <c r="T209" s="62"/>
      <c r="U209" s="62"/>
      <c r="V209" s="62"/>
      <c r="W209" s="62"/>
      <c r="X209" s="62"/>
      <c r="Y209" s="62"/>
      <c r="Z209" s="62"/>
      <c r="AA209" s="62"/>
      <c r="AB209" s="62"/>
      <c r="AC209" s="62"/>
      <c r="AD209" s="62"/>
      <c r="AE209" s="62"/>
      <c r="AF209" s="62"/>
      <c r="AG209" s="62"/>
      <c r="AH209" s="62"/>
      <c r="AI209" s="49"/>
      <c r="AJ209" s="62" t="s">
        <v>4024</v>
      </c>
      <c r="AK209" s="49" t="s">
        <v>4025</v>
      </c>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95" t="s">
        <v>324</v>
      </c>
      <c r="BJ209" s="49"/>
      <c r="BK209" s="105">
        <v>9</v>
      </c>
      <c r="BL209" s="62">
        <v>768</v>
      </c>
      <c r="BM209" s="62">
        <v>15</v>
      </c>
      <c r="BN209" s="62">
        <v>6000</v>
      </c>
      <c r="BO209" s="49"/>
      <c r="BP209" s="49"/>
      <c r="BQ209" s="49"/>
      <c r="BR209" s="123"/>
      <c r="BS209" s="122"/>
      <c r="BT209" s="49"/>
      <c r="BU209" s="49"/>
      <c r="BV209" s="49"/>
      <c r="BW209" s="49"/>
      <c r="BX209" s="49"/>
      <c r="BY209" s="49"/>
      <c r="BZ209" s="49"/>
      <c r="CA209" s="49"/>
    </row>
    <row r="210" spans="1:79">
      <c r="A210" s="49"/>
      <c r="B210" s="49"/>
      <c r="C210" s="49"/>
      <c r="D210" s="70" t="s">
        <v>3538</v>
      </c>
      <c r="E210" s="70"/>
      <c r="F210" s="70" t="s">
        <v>4026</v>
      </c>
      <c r="G210" s="70"/>
      <c r="H210" s="62">
        <v>40</v>
      </c>
      <c r="I210" s="62">
        <v>100</v>
      </c>
      <c r="J210" s="70"/>
      <c r="K210" s="70"/>
      <c r="L210" s="70"/>
      <c r="M210" s="70"/>
      <c r="N210" s="70"/>
      <c r="O210" s="62"/>
      <c r="P210" s="49"/>
      <c r="Q210" s="49"/>
      <c r="R210" s="62"/>
      <c r="S210" s="62"/>
      <c r="T210" s="62"/>
      <c r="U210" s="62"/>
      <c r="V210" s="62"/>
      <c r="W210" s="62"/>
      <c r="X210" s="62"/>
      <c r="Y210" s="62"/>
      <c r="Z210" s="62"/>
      <c r="AA210" s="62"/>
      <c r="AB210" s="62"/>
      <c r="AC210" s="62"/>
      <c r="AD210" s="62"/>
      <c r="AE210" s="62"/>
      <c r="AF210" s="62"/>
      <c r="AG210" s="62"/>
      <c r="AH210" s="62"/>
      <c r="AI210" s="49"/>
      <c r="AJ210" s="62" t="s">
        <v>4027</v>
      </c>
      <c r="AK210" s="49" t="s">
        <v>4028</v>
      </c>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112"/>
      <c r="BL210" s="62"/>
      <c r="BM210" s="62"/>
      <c r="BN210" s="62"/>
      <c r="BO210" s="62"/>
      <c r="BP210" s="49"/>
      <c r="BQ210" s="49"/>
      <c r="BR210" s="49"/>
      <c r="BS210" s="49"/>
      <c r="BT210" s="49"/>
      <c r="BU210" s="49"/>
      <c r="BV210" s="49"/>
      <c r="BW210" s="49"/>
      <c r="BX210" s="49"/>
      <c r="BY210" s="49"/>
      <c r="BZ210" s="49"/>
      <c r="CA210" s="49"/>
    </row>
    <row r="211" spans="1:79">
      <c r="A211" s="49"/>
      <c r="B211" s="49"/>
      <c r="C211" s="49"/>
      <c r="D211" s="70" t="s">
        <v>3550</v>
      </c>
      <c r="E211" s="70"/>
      <c r="F211" s="70" t="s">
        <v>4029</v>
      </c>
      <c r="G211" s="70"/>
      <c r="H211" s="62">
        <v>40</v>
      </c>
      <c r="I211" s="62">
        <v>100</v>
      </c>
      <c r="J211" s="70"/>
      <c r="K211" s="70"/>
      <c r="L211" s="70"/>
      <c r="M211" s="70"/>
      <c r="N211" s="70"/>
      <c r="O211" s="62"/>
      <c r="P211" s="49"/>
      <c r="Q211" s="49"/>
      <c r="R211" s="62"/>
      <c r="S211" s="62"/>
      <c r="T211" s="62"/>
      <c r="U211" s="62"/>
      <c r="V211" s="62"/>
      <c r="W211" s="62"/>
      <c r="X211" s="62"/>
      <c r="Y211" s="62"/>
      <c r="Z211" s="62"/>
      <c r="AA211" s="62"/>
      <c r="AB211" s="62"/>
      <c r="AC211" s="62"/>
      <c r="AD211" s="62"/>
      <c r="AE211" s="62"/>
      <c r="AF211" s="62"/>
      <c r="AG211" s="62"/>
      <c r="AH211" s="62"/>
      <c r="AI211" s="49"/>
      <c r="AJ211" s="62" t="s">
        <v>4030</v>
      </c>
      <c r="AK211" s="49" t="s">
        <v>4031</v>
      </c>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113"/>
      <c r="BL211" s="62"/>
      <c r="BM211" s="62"/>
      <c r="BN211" s="62"/>
      <c r="BO211" s="62"/>
      <c r="BP211" s="49"/>
      <c r="BQ211" s="49"/>
      <c r="BR211" s="49"/>
      <c r="BS211" s="49"/>
      <c r="BT211" s="49"/>
      <c r="BU211" s="49"/>
      <c r="BV211" s="49"/>
      <c r="BW211" s="49"/>
      <c r="BX211" s="49"/>
      <c r="BY211" s="49"/>
      <c r="BZ211" s="49"/>
      <c r="CA211" s="49"/>
    </row>
    <row r="212" spans="1:79">
      <c r="A212" s="49"/>
      <c r="B212" s="49"/>
      <c r="C212" s="49"/>
      <c r="D212" s="70" t="s">
        <v>3544</v>
      </c>
      <c r="E212" s="70"/>
      <c r="F212" s="70" t="s">
        <v>60</v>
      </c>
      <c r="G212" s="70"/>
      <c r="H212" s="62">
        <v>30</v>
      </c>
      <c r="I212" s="62">
        <v>100</v>
      </c>
      <c r="J212" s="70"/>
      <c r="K212" s="70"/>
      <c r="L212" s="70"/>
      <c r="M212" s="70"/>
      <c r="N212" s="70"/>
      <c r="O212" s="62"/>
      <c r="P212" s="49"/>
      <c r="Q212" s="49"/>
      <c r="R212" s="62"/>
      <c r="S212" s="62"/>
      <c r="T212" s="62"/>
      <c r="U212" s="62"/>
      <c r="V212" s="62"/>
      <c r="W212" s="62"/>
      <c r="X212" s="62"/>
      <c r="Y212" s="62"/>
      <c r="Z212" s="62"/>
      <c r="AA212" s="62"/>
      <c r="AB212" s="62"/>
      <c r="AC212" s="62"/>
      <c r="AD212" s="62"/>
      <c r="AE212" s="62"/>
      <c r="AF212" s="62"/>
      <c r="AG212" s="62"/>
      <c r="AH212" s="62"/>
      <c r="AI212" s="49"/>
      <c r="AJ212" s="62" t="s">
        <v>4032</v>
      </c>
      <c r="AK212" s="49" t="s">
        <v>4033</v>
      </c>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row>
    <row r="213" spans="1:79">
      <c r="A213" s="49"/>
      <c r="B213" s="49"/>
      <c r="C213" s="49"/>
      <c r="D213" s="70" t="s">
        <v>3560</v>
      </c>
      <c r="E213" s="70"/>
      <c r="F213" s="70" t="s">
        <v>68</v>
      </c>
      <c r="G213" s="70"/>
      <c r="H213" s="62">
        <v>30</v>
      </c>
      <c r="I213" s="62">
        <v>100</v>
      </c>
      <c r="J213" s="70"/>
      <c r="K213" s="70"/>
      <c r="L213" s="70"/>
      <c r="M213" s="70"/>
      <c r="N213" s="70"/>
      <c r="O213" s="62"/>
      <c r="P213" s="49"/>
      <c r="Q213" s="49"/>
      <c r="R213" s="62"/>
      <c r="S213" s="62"/>
      <c r="T213" s="62"/>
      <c r="U213" s="62"/>
      <c r="V213" s="62"/>
      <c r="W213" s="62"/>
      <c r="X213" s="62"/>
      <c r="Y213" s="62"/>
      <c r="Z213" s="62"/>
      <c r="AA213" s="62"/>
      <c r="AB213" s="62"/>
      <c r="AC213" s="62"/>
      <c r="AD213" s="62"/>
      <c r="AE213" s="62"/>
      <c r="AF213" s="62"/>
      <c r="AG213" s="62"/>
      <c r="AH213" s="62"/>
      <c r="AI213" s="49"/>
      <c r="AJ213" s="62" t="s">
        <v>4034</v>
      </c>
      <c r="AK213" s="49" t="s">
        <v>4035</v>
      </c>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t="s">
        <v>4036</v>
      </c>
      <c r="BJ213" s="49"/>
      <c r="BK213" s="49" t="s">
        <v>4037</v>
      </c>
      <c r="BL213" s="49"/>
      <c r="BM213" s="49"/>
      <c r="BN213" s="49"/>
      <c r="BO213" s="49"/>
      <c r="BP213" s="49"/>
      <c r="BQ213" s="49"/>
      <c r="BR213" s="49"/>
      <c r="BS213" s="49"/>
      <c r="BT213" s="49"/>
      <c r="BU213" s="49"/>
      <c r="BV213" s="49"/>
      <c r="BW213" s="49"/>
      <c r="BX213" s="49"/>
      <c r="BY213" s="49"/>
      <c r="BZ213" s="49"/>
      <c r="CA213" s="49"/>
    </row>
    <row r="214" spans="1:79">
      <c r="A214" s="49"/>
      <c r="B214" s="49"/>
      <c r="C214" s="49"/>
      <c r="D214" s="70" t="s">
        <v>3586</v>
      </c>
      <c r="E214" s="70"/>
      <c r="F214" s="70" t="s">
        <v>20</v>
      </c>
      <c r="G214" s="70"/>
      <c r="H214" s="62">
        <v>20</v>
      </c>
      <c r="I214" s="62">
        <v>100</v>
      </c>
      <c r="J214" s="70"/>
      <c r="K214" s="70"/>
      <c r="L214" s="70"/>
      <c r="M214" s="70"/>
      <c r="N214" s="70"/>
      <c r="O214" s="62"/>
      <c r="P214" s="49"/>
      <c r="Q214" s="49"/>
      <c r="R214" s="62"/>
      <c r="S214" s="62"/>
      <c r="T214" s="62"/>
      <c r="U214" s="62"/>
      <c r="V214" s="62"/>
      <c r="W214" s="62"/>
      <c r="X214" s="62"/>
      <c r="Y214" s="62"/>
      <c r="Z214" s="62"/>
      <c r="AA214" s="62"/>
      <c r="AB214" s="62"/>
      <c r="AC214" s="62"/>
      <c r="AD214" s="62"/>
      <c r="AE214" s="62"/>
      <c r="AF214" s="62"/>
      <c r="AG214" s="62"/>
      <c r="AH214" s="62"/>
      <c r="AI214" s="49"/>
      <c r="AJ214" s="62" t="s">
        <v>4038</v>
      </c>
      <c r="AK214" s="49" t="s">
        <v>4039</v>
      </c>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84" t="s">
        <v>249</v>
      </c>
      <c r="BJ214" s="85"/>
      <c r="BK214" s="65" t="s">
        <v>243</v>
      </c>
      <c r="BL214" s="65" t="s">
        <v>244</v>
      </c>
      <c r="BM214" s="65" t="s">
        <v>1482</v>
      </c>
      <c r="BN214" s="65" t="s">
        <v>245</v>
      </c>
      <c r="BO214" s="65" t="s">
        <v>250</v>
      </c>
      <c r="BP214" s="49"/>
      <c r="BQ214" s="49"/>
      <c r="BR214" s="49"/>
      <c r="BS214" s="49"/>
      <c r="BT214" s="49"/>
      <c r="BU214" s="49"/>
      <c r="BV214" s="49"/>
      <c r="BW214" s="49"/>
      <c r="BX214" s="49"/>
      <c r="BY214" s="49"/>
      <c r="BZ214" s="49"/>
      <c r="CA214" s="49"/>
    </row>
    <row r="215" spans="1:79">
      <c r="A215" s="49"/>
      <c r="B215" s="49"/>
      <c r="C215" s="49"/>
      <c r="D215" s="70" t="s">
        <v>3623</v>
      </c>
      <c r="E215" s="70"/>
      <c r="F215" s="70" t="s">
        <v>32</v>
      </c>
      <c r="G215" s="70"/>
      <c r="H215" s="62">
        <v>30</v>
      </c>
      <c r="I215" s="62">
        <v>100</v>
      </c>
      <c r="J215" s="70"/>
      <c r="K215" s="70"/>
      <c r="L215" s="70"/>
      <c r="M215" s="70"/>
      <c r="N215" s="70"/>
      <c r="O215" s="62"/>
      <c r="P215" s="49"/>
      <c r="Q215" s="49"/>
      <c r="R215" s="62"/>
      <c r="S215" s="62"/>
      <c r="T215" s="62"/>
      <c r="U215" s="62"/>
      <c r="V215" s="62"/>
      <c r="W215" s="62"/>
      <c r="X215" s="62"/>
      <c r="Y215" s="62"/>
      <c r="Z215" s="62"/>
      <c r="AA215" s="62"/>
      <c r="AB215" s="62"/>
      <c r="AC215" s="62"/>
      <c r="AD215" s="62"/>
      <c r="AE215" s="62"/>
      <c r="AF215" s="62"/>
      <c r="AG215" s="62"/>
      <c r="AH215" s="62"/>
      <c r="AI215" s="49"/>
      <c r="AJ215" s="62" t="s">
        <v>4040</v>
      </c>
      <c r="AK215" s="49" t="s">
        <v>4041</v>
      </c>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70" t="s">
        <v>259</v>
      </c>
      <c r="BJ215" s="86"/>
      <c r="BK215" s="99">
        <v>1</v>
      </c>
      <c r="BL215" s="62">
        <v>600</v>
      </c>
      <c r="BM215" s="62">
        <v>170</v>
      </c>
      <c r="BN215" s="62">
        <v>100</v>
      </c>
      <c r="BO215" s="62">
        <f>BN215</f>
        <v>100</v>
      </c>
      <c r="BP215" s="49"/>
      <c r="BQ215" s="49"/>
      <c r="BR215" s="49"/>
      <c r="BS215" s="49"/>
      <c r="BT215" s="49"/>
      <c r="BU215" s="49"/>
      <c r="BV215" s="49"/>
      <c r="BW215" s="49"/>
      <c r="BX215" s="49"/>
      <c r="BY215" s="49"/>
      <c r="BZ215" s="49"/>
      <c r="CA215" s="49"/>
    </row>
    <row r="216" spans="1:79">
      <c r="A216" s="49"/>
      <c r="B216" s="49"/>
      <c r="C216" s="49"/>
      <c r="D216" s="70" t="s">
        <v>3502</v>
      </c>
      <c r="E216" s="70"/>
      <c r="F216" s="70" t="s">
        <v>2</v>
      </c>
      <c r="G216" s="70"/>
      <c r="H216" s="62">
        <v>50</v>
      </c>
      <c r="I216" s="62">
        <v>100</v>
      </c>
      <c r="J216" s="70"/>
      <c r="K216" s="70"/>
      <c r="L216" s="70"/>
      <c r="M216" s="70"/>
      <c r="N216" s="70"/>
      <c r="O216" s="62"/>
      <c r="P216" s="49"/>
      <c r="Q216" s="49"/>
      <c r="R216" s="62"/>
      <c r="S216" s="62"/>
      <c r="T216" s="62"/>
      <c r="U216" s="62"/>
      <c r="V216" s="62"/>
      <c r="W216" s="62"/>
      <c r="X216" s="62"/>
      <c r="Y216" s="62"/>
      <c r="Z216" s="62"/>
      <c r="AA216" s="62"/>
      <c r="AB216" s="62"/>
      <c r="AC216" s="62"/>
      <c r="AD216" s="62"/>
      <c r="AE216" s="62"/>
      <c r="AF216" s="62"/>
      <c r="AG216" s="62"/>
      <c r="AH216" s="62"/>
      <c r="AI216" s="49"/>
      <c r="AJ216" s="62" t="s">
        <v>4042</v>
      </c>
      <c r="AK216" s="49" t="s">
        <v>4043</v>
      </c>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70" t="s">
        <v>272</v>
      </c>
      <c r="BJ216" s="86"/>
      <c r="BK216" s="90">
        <v>2</v>
      </c>
      <c r="BL216" s="62">
        <v>800</v>
      </c>
      <c r="BM216" s="62">
        <v>180</v>
      </c>
      <c r="BN216" s="62">
        <v>125</v>
      </c>
      <c r="BO216" s="62">
        <f t="shared" ref="BO216:BO223" si="2">BN216</f>
        <v>125</v>
      </c>
      <c r="BP216" s="49"/>
      <c r="BQ216" s="49"/>
      <c r="BR216" s="49"/>
      <c r="BS216" s="49"/>
      <c r="BT216" s="49"/>
      <c r="BU216" s="49"/>
      <c r="BV216" s="49"/>
      <c r="BW216" s="49"/>
      <c r="BX216" s="49"/>
      <c r="BY216" s="49"/>
      <c r="BZ216" s="49"/>
      <c r="CA216" s="49"/>
    </row>
    <row r="217" spans="1:79">
      <c r="A217" s="49"/>
      <c r="B217" s="49"/>
      <c r="C217" s="49"/>
      <c r="D217" s="70" t="s">
        <v>3485</v>
      </c>
      <c r="E217" s="70"/>
      <c r="F217" s="70" t="s">
        <v>9</v>
      </c>
      <c r="G217" s="70"/>
      <c r="H217" s="62">
        <v>40</v>
      </c>
      <c r="I217" s="62">
        <v>100</v>
      </c>
      <c r="J217" s="70"/>
      <c r="K217" s="70"/>
      <c r="L217" s="70"/>
      <c r="M217" s="70"/>
      <c r="N217" s="70"/>
      <c r="O217" s="62"/>
      <c r="P217" s="49"/>
      <c r="Q217" s="49"/>
      <c r="R217" s="62"/>
      <c r="S217" s="62"/>
      <c r="T217" s="62"/>
      <c r="U217" s="62"/>
      <c r="V217" s="62"/>
      <c r="W217" s="62"/>
      <c r="X217" s="62"/>
      <c r="Y217" s="62"/>
      <c r="Z217" s="62"/>
      <c r="AA217" s="62"/>
      <c r="AB217" s="62"/>
      <c r="AC217" s="62"/>
      <c r="AD217" s="62"/>
      <c r="AE217" s="62"/>
      <c r="AF217" s="62"/>
      <c r="AG217" s="62"/>
      <c r="AH217" s="62"/>
      <c r="AI217" s="49"/>
      <c r="AJ217" s="62" t="s">
        <v>4044</v>
      </c>
      <c r="AK217" s="49" t="s">
        <v>4045</v>
      </c>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88" t="s">
        <v>4046</v>
      </c>
      <c r="BJ217" s="89"/>
      <c r="BK217" s="91">
        <v>3</v>
      </c>
      <c r="BL217" s="62">
        <v>1000</v>
      </c>
      <c r="BM217" s="62">
        <v>190</v>
      </c>
      <c r="BN217" s="62">
        <v>150</v>
      </c>
      <c r="BO217" s="62">
        <f t="shared" si="2"/>
        <v>150</v>
      </c>
      <c r="BP217" s="49"/>
      <c r="BQ217" s="49"/>
      <c r="BR217" s="49"/>
      <c r="BS217" s="49"/>
      <c r="BT217" s="49"/>
      <c r="BU217" s="49"/>
      <c r="BV217" s="49"/>
      <c r="BW217" s="49"/>
      <c r="BX217" s="49"/>
      <c r="BY217" s="49"/>
      <c r="BZ217" s="49"/>
      <c r="CA217" s="49"/>
    </row>
    <row r="218" spans="1:79">
      <c r="A218" s="49"/>
      <c r="B218" s="49"/>
      <c r="C218" s="49"/>
      <c r="D218" s="70" t="s">
        <v>3512</v>
      </c>
      <c r="E218" s="70"/>
      <c r="F218" s="70" t="s">
        <v>4047</v>
      </c>
      <c r="G218" s="70"/>
      <c r="H218" s="62">
        <v>20</v>
      </c>
      <c r="I218" s="62">
        <v>100</v>
      </c>
      <c r="J218" s="70"/>
      <c r="K218" s="70"/>
      <c r="L218" s="70"/>
      <c r="M218" s="70"/>
      <c r="N218" s="70"/>
      <c r="O218" s="62"/>
      <c r="P218" s="49"/>
      <c r="Q218" s="49"/>
      <c r="R218" s="62"/>
      <c r="S218" s="62"/>
      <c r="T218" s="62"/>
      <c r="U218" s="62"/>
      <c r="V218" s="62"/>
      <c r="W218" s="62"/>
      <c r="X218" s="62"/>
      <c r="Y218" s="62"/>
      <c r="Z218" s="62"/>
      <c r="AA218" s="62"/>
      <c r="AB218" s="62"/>
      <c r="AC218" s="62"/>
      <c r="AD218" s="62"/>
      <c r="AE218" s="62"/>
      <c r="AF218" s="62"/>
      <c r="AG218" s="62"/>
      <c r="AH218" s="62"/>
      <c r="AI218" s="49"/>
      <c r="AJ218" s="62" t="s">
        <v>4048</v>
      </c>
      <c r="AK218" s="49" t="s">
        <v>4049</v>
      </c>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70" t="s">
        <v>287</v>
      </c>
      <c r="BJ218" s="85"/>
      <c r="BK218" s="92">
        <v>4</v>
      </c>
      <c r="BL218" s="62">
        <v>1200</v>
      </c>
      <c r="BM218" s="62">
        <v>200</v>
      </c>
      <c r="BN218" s="62">
        <v>175</v>
      </c>
      <c r="BO218" s="62">
        <f t="shared" si="2"/>
        <v>175</v>
      </c>
      <c r="BP218" s="49"/>
      <c r="BQ218" s="49"/>
      <c r="BR218" s="49"/>
      <c r="BS218" s="49"/>
      <c r="BT218" s="49"/>
      <c r="BU218" s="49"/>
      <c r="BV218" s="49"/>
      <c r="BW218" s="49"/>
      <c r="BX218" s="49"/>
      <c r="BY218" s="49"/>
      <c r="BZ218" s="49"/>
      <c r="CA218" s="49"/>
    </row>
    <row r="219" spans="1:79">
      <c r="A219" s="49"/>
      <c r="B219" s="49"/>
      <c r="C219" s="49"/>
      <c r="D219" s="70" t="s">
        <v>3517</v>
      </c>
      <c r="E219" s="70"/>
      <c r="F219" s="70" t="s">
        <v>4050</v>
      </c>
      <c r="G219" s="70"/>
      <c r="H219" s="62">
        <v>10</v>
      </c>
      <c r="I219" s="62">
        <v>100</v>
      </c>
      <c r="J219" s="70"/>
      <c r="K219" s="70"/>
      <c r="L219" s="70"/>
      <c r="M219" s="70"/>
      <c r="N219" s="70"/>
      <c r="O219" s="62"/>
      <c r="P219" s="49"/>
      <c r="Q219" s="49"/>
      <c r="R219" s="62"/>
      <c r="S219" s="62"/>
      <c r="T219" s="62"/>
      <c r="U219" s="62"/>
      <c r="V219" s="62"/>
      <c r="W219" s="62"/>
      <c r="X219" s="62"/>
      <c r="Y219" s="62"/>
      <c r="Z219" s="62"/>
      <c r="AA219" s="62"/>
      <c r="AB219" s="62"/>
      <c r="AC219" s="62"/>
      <c r="AD219" s="62"/>
      <c r="AE219" s="62"/>
      <c r="AF219" s="62"/>
      <c r="AG219" s="62"/>
      <c r="AH219" s="62"/>
      <c r="AI219" s="49"/>
      <c r="AJ219" s="62" t="s">
        <v>4051</v>
      </c>
      <c r="AK219" s="49" t="s">
        <v>4052</v>
      </c>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t="s">
        <v>4053</v>
      </c>
      <c r="BJ219" s="86"/>
      <c r="BK219" s="93">
        <v>5</v>
      </c>
      <c r="BL219" s="62">
        <v>1400</v>
      </c>
      <c r="BM219" s="62">
        <v>210</v>
      </c>
      <c r="BN219" s="62">
        <v>200</v>
      </c>
      <c r="BO219" s="62">
        <f t="shared" si="2"/>
        <v>200</v>
      </c>
      <c r="BP219" s="49"/>
      <c r="BQ219" s="49"/>
      <c r="BR219" s="49"/>
      <c r="BS219" s="49"/>
      <c r="BT219" s="49"/>
      <c r="BU219" s="49"/>
      <c r="BV219" s="49"/>
      <c r="BW219" s="49"/>
      <c r="BX219" s="49"/>
      <c r="BY219" s="49"/>
      <c r="BZ219" s="49"/>
      <c r="CA219" s="49"/>
    </row>
    <row r="220" spans="1:79">
      <c r="A220" s="49"/>
      <c r="B220" s="49"/>
      <c r="C220" s="49"/>
      <c r="D220" s="70" t="s">
        <v>3507</v>
      </c>
      <c r="E220" s="70"/>
      <c r="F220" s="70" t="s">
        <v>10</v>
      </c>
      <c r="G220" s="70"/>
      <c r="H220" s="62">
        <v>10</v>
      </c>
      <c r="I220" s="62">
        <v>100</v>
      </c>
      <c r="J220" s="70"/>
      <c r="K220" s="70"/>
      <c r="L220" s="70"/>
      <c r="M220" s="70"/>
      <c r="N220" s="70"/>
      <c r="O220" s="62"/>
      <c r="P220" s="49"/>
      <c r="Q220" s="49"/>
      <c r="R220" s="62"/>
      <c r="S220" s="62"/>
      <c r="T220" s="62"/>
      <c r="U220" s="62"/>
      <c r="V220" s="62"/>
      <c r="W220" s="62"/>
      <c r="X220" s="62"/>
      <c r="Y220" s="62"/>
      <c r="Z220" s="62"/>
      <c r="AA220" s="62"/>
      <c r="AB220" s="62"/>
      <c r="AC220" s="62"/>
      <c r="AD220" s="62"/>
      <c r="AE220" s="62"/>
      <c r="AF220" s="62"/>
      <c r="AG220" s="62"/>
      <c r="AH220" s="62"/>
      <c r="AI220" s="49"/>
      <c r="AJ220" s="62" t="s">
        <v>4054</v>
      </c>
      <c r="AK220" s="49" t="s">
        <v>4055</v>
      </c>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88"/>
      <c r="BJ220" s="89"/>
      <c r="BK220" s="105">
        <v>6</v>
      </c>
      <c r="BL220" s="62">
        <v>1600</v>
      </c>
      <c r="BM220" s="62">
        <v>220</v>
      </c>
      <c r="BN220" s="62">
        <v>225</v>
      </c>
      <c r="BO220" s="62">
        <f t="shared" si="2"/>
        <v>225</v>
      </c>
      <c r="BP220" s="49"/>
      <c r="BQ220" s="49"/>
      <c r="BR220" s="49"/>
      <c r="BS220" s="49"/>
      <c r="BT220" s="49"/>
      <c r="BU220" s="49"/>
      <c r="BV220" s="49"/>
      <c r="BW220" s="49"/>
      <c r="BX220" s="49"/>
      <c r="BY220" s="49"/>
      <c r="BZ220" s="49"/>
      <c r="CA220" s="49"/>
    </row>
    <row r="221" spans="1:79">
      <c r="A221" s="49"/>
      <c r="B221" s="49"/>
      <c r="C221" s="49"/>
      <c r="D221" s="70" t="s">
        <v>3579</v>
      </c>
      <c r="E221" s="70"/>
      <c r="F221" s="70" t="s">
        <v>15</v>
      </c>
      <c r="G221" s="70"/>
      <c r="H221" s="62">
        <v>10</v>
      </c>
      <c r="I221" s="62">
        <v>50</v>
      </c>
      <c r="J221" s="70"/>
      <c r="K221" s="70"/>
      <c r="L221" s="70"/>
      <c r="M221" s="70"/>
      <c r="N221" s="70"/>
      <c r="O221" s="62"/>
      <c r="P221" s="49"/>
      <c r="Q221" s="49"/>
      <c r="R221" s="62"/>
      <c r="S221" s="62"/>
      <c r="T221" s="62"/>
      <c r="U221" s="62"/>
      <c r="V221" s="62"/>
      <c r="W221" s="62"/>
      <c r="X221" s="62"/>
      <c r="Y221" s="62"/>
      <c r="Z221" s="62"/>
      <c r="AA221" s="62"/>
      <c r="AB221" s="62"/>
      <c r="AC221" s="62"/>
      <c r="AD221" s="62"/>
      <c r="AE221" s="62"/>
      <c r="AF221" s="62"/>
      <c r="AG221" s="62"/>
      <c r="AH221" s="62"/>
      <c r="AI221" s="49"/>
      <c r="AJ221" s="62" t="s">
        <v>4056</v>
      </c>
      <c r="AK221" s="49" t="s">
        <v>4057</v>
      </c>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70" t="s">
        <v>566</v>
      </c>
      <c r="BJ221" s="85"/>
      <c r="BK221" s="100">
        <v>7</v>
      </c>
      <c r="BL221" s="62">
        <v>1750</v>
      </c>
      <c r="BM221" s="62">
        <v>230</v>
      </c>
      <c r="BN221" s="62">
        <v>250</v>
      </c>
      <c r="BO221" s="62">
        <f t="shared" si="2"/>
        <v>250</v>
      </c>
      <c r="BP221" s="49"/>
      <c r="BQ221" s="49"/>
      <c r="BR221" s="49"/>
      <c r="BS221" s="49"/>
      <c r="BT221" s="49"/>
      <c r="BU221" s="49"/>
      <c r="BV221" s="49"/>
      <c r="BW221" s="49"/>
      <c r="BX221" s="49"/>
      <c r="BY221" s="49"/>
      <c r="BZ221" s="49"/>
      <c r="CA221" s="49"/>
    </row>
    <row r="222" spans="1:79">
      <c r="A222" s="49"/>
      <c r="B222" s="49"/>
      <c r="C222" s="49"/>
      <c r="D222" s="70" t="s">
        <v>3606</v>
      </c>
      <c r="E222" s="70"/>
      <c r="F222" s="70" t="s">
        <v>39</v>
      </c>
      <c r="G222" s="70"/>
      <c r="H222" s="62">
        <v>10</v>
      </c>
      <c r="I222" s="62">
        <v>50</v>
      </c>
      <c r="J222" s="70"/>
      <c r="K222" s="70"/>
      <c r="L222" s="70"/>
      <c r="M222" s="70"/>
      <c r="N222" s="70"/>
      <c r="O222" s="62"/>
      <c r="P222" s="49"/>
      <c r="Q222" s="49"/>
      <c r="R222" s="62"/>
      <c r="S222" s="49"/>
      <c r="T222" s="49"/>
      <c r="U222" s="62"/>
      <c r="V222" s="62"/>
      <c r="W222" s="71"/>
      <c r="X222" s="49"/>
      <c r="Y222" s="49"/>
      <c r="Z222" s="49"/>
      <c r="AA222" s="49"/>
      <c r="AB222" s="62"/>
      <c r="AC222" s="62"/>
      <c r="AD222" s="62"/>
      <c r="AE222" s="62"/>
      <c r="AF222" s="76"/>
      <c r="AG222" s="49"/>
      <c r="AH222" s="49"/>
      <c r="AI222" s="49"/>
      <c r="AJ222" s="62" t="s">
        <v>4058</v>
      </c>
      <c r="AK222" s="49" t="s">
        <v>4059</v>
      </c>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70" t="s">
        <v>4060</v>
      </c>
      <c r="BJ222" s="86"/>
      <c r="BK222" s="112">
        <v>8</v>
      </c>
      <c r="BL222" s="62">
        <v>1900</v>
      </c>
      <c r="BM222" s="62">
        <v>240</v>
      </c>
      <c r="BN222" s="62">
        <v>275</v>
      </c>
      <c r="BO222" s="62">
        <f t="shared" si="2"/>
        <v>275</v>
      </c>
      <c r="BP222" s="49"/>
      <c r="BQ222" s="49"/>
      <c r="BR222" s="49"/>
      <c r="BS222" s="49"/>
      <c r="BT222" s="49"/>
      <c r="BU222" s="49"/>
      <c r="BV222" s="49"/>
      <c r="BW222" s="49"/>
      <c r="BX222" s="49"/>
      <c r="BY222" s="49"/>
      <c r="BZ222" s="49"/>
      <c r="CA222" s="49"/>
    </row>
    <row r="223" spans="1:79" ht="20.25" customHeight="1">
      <c r="A223" s="49"/>
      <c r="B223" s="49"/>
      <c r="C223" s="49"/>
      <c r="D223" s="70" t="s">
        <v>3523</v>
      </c>
      <c r="E223" s="70"/>
      <c r="F223" s="70" t="s">
        <v>4061</v>
      </c>
      <c r="G223" s="70"/>
      <c r="H223" s="62">
        <v>10</v>
      </c>
      <c r="I223" s="62">
        <v>50</v>
      </c>
      <c r="J223" s="70"/>
      <c r="K223" s="70"/>
      <c r="L223" s="70"/>
      <c r="M223" s="70"/>
      <c r="N223" s="70"/>
      <c r="O223" s="62"/>
      <c r="P223" s="49"/>
      <c r="Q223" s="49"/>
      <c r="R223" s="62"/>
      <c r="S223" s="49"/>
      <c r="T223" s="49"/>
      <c r="U223" s="62"/>
      <c r="V223" s="62"/>
      <c r="W223" s="71"/>
      <c r="X223" s="49"/>
      <c r="Y223" s="49"/>
      <c r="Z223" s="49"/>
      <c r="AA223" s="49"/>
      <c r="AB223" s="62"/>
      <c r="AC223" s="62"/>
      <c r="AD223" s="62"/>
      <c r="AE223" s="62"/>
      <c r="AF223" s="76"/>
      <c r="AG223" s="49"/>
      <c r="AH223" s="49"/>
      <c r="AI223" s="49"/>
      <c r="AJ223" s="62" t="s">
        <v>4062</v>
      </c>
      <c r="AK223" s="49" t="s">
        <v>4063</v>
      </c>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95" t="s">
        <v>1075</v>
      </c>
      <c r="BJ223" s="49"/>
      <c r="BK223" s="113">
        <v>9</v>
      </c>
      <c r="BL223" s="62">
        <v>2100</v>
      </c>
      <c r="BM223" s="62">
        <v>250</v>
      </c>
      <c r="BN223" s="62">
        <v>300</v>
      </c>
      <c r="BO223" s="62">
        <f t="shared" si="2"/>
        <v>300</v>
      </c>
      <c r="BP223" s="49"/>
      <c r="BQ223" s="49"/>
      <c r="BR223" s="49"/>
      <c r="BS223" s="49"/>
      <c r="BT223" s="49"/>
      <c r="BU223" s="49"/>
      <c r="BV223" s="49"/>
      <c r="BW223" s="49"/>
      <c r="BX223" s="49"/>
      <c r="BY223" s="49"/>
      <c r="BZ223" s="49"/>
      <c r="CA223" s="49"/>
    </row>
    <row r="224" spans="1:79" ht="15" customHeight="1">
      <c r="A224" s="49"/>
      <c r="B224" s="49"/>
      <c r="C224" s="49"/>
      <c r="D224" s="70" t="s">
        <v>3481</v>
      </c>
      <c r="E224" s="70"/>
      <c r="F224" s="70" t="s">
        <v>38</v>
      </c>
      <c r="G224" s="70"/>
      <c r="H224" s="62">
        <v>10</v>
      </c>
      <c r="I224" s="62">
        <v>50</v>
      </c>
      <c r="J224" s="70"/>
      <c r="K224" s="70"/>
      <c r="L224" s="70"/>
      <c r="M224" s="70"/>
      <c r="N224" s="70"/>
      <c r="O224" s="62"/>
      <c r="P224" s="49"/>
      <c r="Q224" s="49"/>
      <c r="R224" s="62"/>
      <c r="S224" s="49"/>
      <c r="T224" s="49"/>
      <c r="U224" s="62"/>
      <c r="V224" s="62"/>
      <c r="W224" s="71"/>
      <c r="X224" s="49"/>
      <c r="Y224" s="49"/>
      <c r="Z224" s="49"/>
      <c r="AA224" s="49"/>
      <c r="AB224" s="62"/>
      <c r="AC224" s="62"/>
      <c r="AD224" s="62"/>
      <c r="AE224" s="62"/>
      <c r="AF224" s="76"/>
      <c r="AG224" s="49"/>
      <c r="AH224" s="49"/>
      <c r="AI224" s="49"/>
      <c r="AJ224" s="62" t="s">
        <v>4064</v>
      </c>
      <c r="AK224" s="49" t="s">
        <v>4065</v>
      </c>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row>
    <row r="225" spans="1:79">
      <c r="A225" s="49"/>
      <c r="B225" s="49"/>
      <c r="C225" s="49"/>
      <c r="D225" s="70" t="s">
        <v>3477</v>
      </c>
      <c r="E225" s="70"/>
      <c r="F225" s="70" t="s">
        <v>26</v>
      </c>
      <c r="G225" s="70"/>
      <c r="H225" s="62">
        <v>20</v>
      </c>
      <c r="I225" s="62">
        <v>100</v>
      </c>
      <c r="J225" s="70"/>
      <c r="K225" s="70"/>
      <c r="L225" s="70"/>
      <c r="M225" s="70"/>
      <c r="N225" s="70"/>
      <c r="O225" s="62"/>
      <c r="P225" s="49"/>
      <c r="Q225" s="49"/>
      <c r="R225" s="62"/>
      <c r="S225" s="49"/>
      <c r="T225" s="49"/>
      <c r="U225" s="62"/>
      <c r="V225" s="62"/>
      <c r="W225" s="71"/>
      <c r="X225" s="49"/>
      <c r="Y225" s="49"/>
      <c r="Z225" s="49"/>
      <c r="AA225" s="49"/>
      <c r="AB225" s="62"/>
      <c r="AC225" s="62"/>
      <c r="AD225" s="62"/>
      <c r="AE225" s="62"/>
      <c r="AF225" s="76"/>
      <c r="AG225" s="49"/>
      <c r="AH225" s="49"/>
      <c r="AI225" s="49"/>
      <c r="AJ225" s="62" t="s">
        <v>4066</v>
      </c>
      <c r="AK225" s="49" t="s">
        <v>4067</v>
      </c>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row>
    <row r="226" spans="1:79">
      <c r="A226" s="49"/>
      <c r="B226" s="49"/>
      <c r="C226" s="49"/>
      <c r="D226" s="70" t="s">
        <v>3566</v>
      </c>
      <c r="E226" s="70"/>
      <c r="F226" s="70" t="s">
        <v>59</v>
      </c>
      <c r="G226" s="70"/>
      <c r="H226" s="62">
        <v>10</v>
      </c>
      <c r="I226" s="62">
        <v>100</v>
      </c>
      <c r="J226" s="70"/>
      <c r="K226" s="70"/>
      <c r="L226" s="70"/>
      <c r="M226" s="70"/>
      <c r="N226" s="70"/>
      <c r="O226" s="62"/>
      <c r="P226" s="49"/>
      <c r="Q226" s="49"/>
      <c r="R226" s="62"/>
      <c r="S226" s="49"/>
      <c r="T226" s="49"/>
      <c r="U226" s="62"/>
      <c r="V226" s="62"/>
      <c r="W226" s="71"/>
      <c r="X226" s="49"/>
      <c r="Y226" s="49"/>
      <c r="Z226" s="49"/>
      <c r="AA226" s="49"/>
      <c r="AB226" s="62"/>
      <c r="AC226" s="62"/>
      <c r="AD226" s="62"/>
      <c r="AE226" s="62"/>
      <c r="AF226" s="76"/>
      <c r="AG226" s="49"/>
      <c r="AH226" s="49"/>
      <c r="AI226" s="49"/>
      <c r="AJ226" s="62" t="s">
        <v>4068</v>
      </c>
      <c r="AK226" s="49" t="s">
        <v>4069</v>
      </c>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row>
    <row r="227" spans="1:79" ht="14.25" customHeight="1">
      <c r="A227" s="49"/>
      <c r="B227" s="49"/>
      <c r="C227" s="49"/>
      <c r="D227" s="70" t="s">
        <v>3493</v>
      </c>
      <c r="E227" s="70"/>
      <c r="F227" s="70" t="s">
        <v>49</v>
      </c>
      <c r="G227" s="70"/>
      <c r="H227" s="62">
        <v>10</v>
      </c>
      <c r="I227" s="62">
        <v>100</v>
      </c>
      <c r="J227" s="70"/>
      <c r="K227" s="70"/>
      <c r="L227" s="70"/>
      <c r="M227" s="70"/>
      <c r="N227" s="70"/>
      <c r="O227" s="62"/>
      <c r="P227" s="49"/>
      <c r="Q227" s="49"/>
      <c r="R227" s="550" t="s">
        <v>4070</v>
      </c>
      <c r="S227" s="550"/>
      <c r="T227" s="49"/>
      <c r="U227" s="49"/>
      <c r="V227" s="49"/>
      <c r="W227" s="49"/>
      <c r="X227" s="49"/>
      <c r="Y227" s="49"/>
      <c r="Z227" s="49"/>
      <c r="AA227" s="49"/>
      <c r="AB227" s="49"/>
      <c r="AC227" s="49"/>
      <c r="AD227" s="49"/>
      <c r="AE227" s="599" t="s">
        <v>4071</v>
      </c>
      <c r="AF227" s="607">
        <f>SUM(AF231:AF2000)</f>
        <v>19142</v>
      </c>
      <c r="AG227" s="609">
        <f>SUM(AG231:AG2310)</f>
        <v>109400</v>
      </c>
      <c r="AH227" s="49"/>
      <c r="AI227" s="49"/>
      <c r="AJ227" s="62" t="s">
        <v>4072</v>
      </c>
      <c r="AK227" s="49" t="s">
        <v>4073</v>
      </c>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row>
    <row r="228" spans="1:79" ht="15" customHeight="1">
      <c r="A228" s="49"/>
      <c r="B228" s="49"/>
      <c r="C228" s="49"/>
      <c r="D228" s="70" t="s">
        <v>3612</v>
      </c>
      <c r="E228" s="70"/>
      <c r="F228" s="70" t="s">
        <v>4074</v>
      </c>
      <c r="G228" s="70"/>
      <c r="H228" s="62">
        <v>20</v>
      </c>
      <c r="I228" s="62">
        <v>100</v>
      </c>
      <c r="J228" s="70"/>
      <c r="K228" s="70"/>
      <c r="L228" s="70"/>
      <c r="M228" s="70"/>
      <c r="N228" s="70"/>
      <c r="O228" s="62"/>
      <c r="P228" s="49"/>
      <c r="Q228" s="49"/>
      <c r="R228" s="551"/>
      <c r="S228" s="551"/>
      <c r="T228" s="50"/>
      <c r="U228" s="50"/>
      <c r="V228" s="50"/>
      <c r="W228" s="50"/>
      <c r="X228" s="50"/>
      <c r="Y228" s="50"/>
      <c r="Z228" s="50"/>
      <c r="AA228" s="50"/>
      <c r="AB228" s="50"/>
      <c r="AC228" s="50"/>
      <c r="AD228" s="50"/>
      <c r="AE228" s="606"/>
      <c r="AF228" s="608"/>
      <c r="AG228" s="610"/>
      <c r="AH228" s="49"/>
      <c r="AI228" s="49"/>
      <c r="AJ228" s="62" t="s">
        <v>4075</v>
      </c>
      <c r="AK228" s="49" t="s">
        <v>4076</v>
      </c>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row>
    <row r="229" spans="1:79">
      <c r="A229" s="49"/>
      <c r="B229" s="49"/>
      <c r="C229" s="49"/>
      <c r="D229" s="70" t="s">
        <v>3629</v>
      </c>
      <c r="E229" s="70"/>
      <c r="F229" s="70" t="s">
        <v>54</v>
      </c>
      <c r="G229" s="70"/>
      <c r="H229" s="62">
        <v>20</v>
      </c>
      <c r="I229" s="62">
        <v>100</v>
      </c>
      <c r="J229" s="70"/>
      <c r="K229" s="70"/>
      <c r="L229" s="70"/>
      <c r="M229" s="70"/>
      <c r="N229" s="70"/>
      <c r="O229" s="62"/>
      <c r="P229" s="49"/>
      <c r="Q229" s="49"/>
      <c r="R229" s="49" t="s">
        <v>4077</v>
      </c>
      <c r="S229" s="49"/>
      <c r="T229" s="49"/>
      <c r="U229" s="49"/>
      <c r="V229" s="49"/>
      <c r="W229" s="49"/>
      <c r="X229" s="49"/>
      <c r="Y229" s="49"/>
      <c r="Z229" s="49"/>
      <c r="AA229" s="49"/>
      <c r="AB229" s="49"/>
      <c r="AC229" s="49"/>
      <c r="AD229" s="49"/>
      <c r="AE229" s="49"/>
      <c r="AF229" s="49"/>
      <c r="AG229" s="49"/>
      <c r="AH229" s="49"/>
      <c r="AI229" s="49"/>
      <c r="AJ229" s="62" t="s">
        <v>4078</v>
      </c>
      <c r="AK229" s="49" t="s">
        <v>4079</v>
      </c>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t="s">
        <v>4080</v>
      </c>
      <c r="BJ229" s="49"/>
      <c r="BK229" s="60" t="s">
        <v>4081</v>
      </c>
      <c r="BL229" s="49"/>
      <c r="BM229" s="49"/>
      <c r="BN229" s="49"/>
      <c r="BO229" s="49"/>
      <c r="BP229" s="49"/>
      <c r="BQ229" s="49"/>
      <c r="BR229" s="49"/>
      <c r="BS229" s="49"/>
      <c r="BT229" s="49"/>
      <c r="BU229" s="49"/>
      <c r="BV229" s="49"/>
      <c r="BW229" s="49"/>
      <c r="BX229" s="49"/>
      <c r="BY229" s="49"/>
      <c r="BZ229" s="49"/>
      <c r="CA229" s="49"/>
    </row>
    <row r="230" spans="1:79">
      <c r="A230" s="49"/>
      <c r="B230" s="49"/>
      <c r="C230" s="49"/>
      <c r="D230" s="70" t="s">
        <v>3573</v>
      </c>
      <c r="E230" s="70"/>
      <c r="F230" s="70" t="s">
        <v>104</v>
      </c>
      <c r="G230" s="70"/>
      <c r="H230" s="62">
        <v>10</v>
      </c>
      <c r="I230" s="62">
        <v>50</v>
      </c>
      <c r="J230" s="70"/>
      <c r="K230" s="70"/>
      <c r="L230" s="70"/>
      <c r="M230" s="70"/>
      <c r="N230" s="70"/>
      <c r="O230" s="62"/>
      <c r="P230" s="49"/>
      <c r="Q230" s="49"/>
      <c r="R230" s="67" t="s">
        <v>4082</v>
      </c>
      <c r="S230" s="67"/>
      <c r="T230" s="67" t="s">
        <v>4083</v>
      </c>
      <c r="U230" s="67"/>
      <c r="V230" s="67"/>
      <c r="W230" s="67"/>
      <c r="X230" s="67"/>
      <c r="Y230" s="67"/>
      <c r="Z230" s="67" t="s">
        <v>4084</v>
      </c>
      <c r="AA230" s="67"/>
      <c r="AB230" s="67"/>
      <c r="AC230" s="67"/>
      <c r="AD230" s="67"/>
      <c r="AE230" s="67"/>
      <c r="AF230" s="67" t="s">
        <v>4085</v>
      </c>
      <c r="AG230" s="67" t="s">
        <v>2964</v>
      </c>
      <c r="AH230" s="49"/>
      <c r="AI230" s="49"/>
      <c r="AJ230" s="62" t="s">
        <v>4086</v>
      </c>
      <c r="AK230" s="49" t="s">
        <v>4087</v>
      </c>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52" t="s">
        <v>4088</v>
      </c>
      <c r="BJ230" s="64"/>
      <c r="BK230" s="65" t="s">
        <v>243</v>
      </c>
      <c r="BL230" s="65" t="s">
        <v>764</v>
      </c>
      <c r="BM230" s="65"/>
      <c r="BN230" s="65" t="s">
        <v>4089</v>
      </c>
      <c r="BO230" s="49"/>
      <c r="BP230" s="49"/>
      <c r="BQ230" s="49"/>
      <c r="BR230" s="49"/>
      <c r="BS230" s="49"/>
      <c r="BT230" s="49"/>
      <c r="BU230" s="49"/>
      <c r="BV230" s="49"/>
      <c r="BW230" s="49"/>
      <c r="BX230" s="49"/>
      <c r="BY230" s="49"/>
      <c r="BZ230" s="49"/>
      <c r="CA230" s="49"/>
    </row>
    <row r="231" spans="1:79">
      <c r="A231" s="49"/>
      <c r="B231" s="49"/>
      <c r="C231" s="49"/>
      <c r="D231" s="70" t="s">
        <v>3592</v>
      </c>
      <c r="E231" s="70"/>
      <c r="F231" s="70" t="s">
        <v>108</v>
      </c>
      <c r="G231" s="70"/>
      <c r="H231" s="62">
        <v>10</v>
      </c>
      <c r="I231" s="62">
        <v>50</v>
      </c>
      <c r="J231" s="70"/>
      <c r="K231" s="70"/>
      <c r="L231" s="70"/>
      <c r="M231" s="70"/>
      <c r="N231" s="70"/>
      <c r="O231" s="62"/>
      <c r="P231" s="49"/>
      <c r="Q231" s="49"/>
      <c r="R231" s="49" t="s">
        <v>4090</v>
      </c>
      <c r="S231" s="49"/>
      <c r="T231" s="49" t="s">
        <v>4091</v>
      </c>
      <c r="U231" s="49"/>
      <c r="V231" s="49"/>
      <c r="W231" s="49"/>
      <c r="X231" s="49"/>
      <c r="Y231" s="49"/>
      <c r="Z231" s="49" t="s">
        <v>4092</v>
      </c>
      <c r="AA231" s="49"/>
      <c r="AB231" s="49"/>
      <c r="AC231" s="49"/>
      <c r="AD231" s="49"/>
      <c r="AE231" s="49"/>
      <c r="AF231" s="110">
        <v>2</v>
      </c>
      <c r="AG231" s="111">
        <v>10</v>
      </c>
      <c r="AH231" s="49"/>
      <c r="AI231" s="49"/>
      <c r="AJ231" s="62" t="s">
        <v>4093</v>
      </c>
      <c r="AK231" s="49" t="s">
        <v>4094</v>
      </c>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56"/>
      <c r="BK231" s="87">
        <v>1</v>
      </c>
      <c r="BL231" s="62">
        <v>232</v>
      </c>
      <c r="BM231" s="62"/>
      <c r="BN231" s="62">
        <v>19000</v>
      </c>
      <c r="BO231" s="49"/>
      <c r="BP231" s="49"/>
      <c r="BQ231" s="49"/>
      <c r="BR231" s="49"/>
      <c r="BS231" s="49"/>
      <c r="BT231" s="49"/>
      <c r="BU231" s="49"/>
      <c r="BV231" s="49"/>
      <c r="BW231" s="49"/>
      <c r="BX231" s="49"/>
      <c r="BY231" s="49"/>
      <c r="BZ231" s="49"/>
      <c r="CA231" s="49"/>
    </row>
    <row r="232" spans="1:79">
      <c r="A232" s="49"/>
      <c r="B232" s="49"/>
      <c r="C232" s="49"/>
      <c r="D232" s="70" t="s">
        <v>3618</v>
      </c>
      <c r="E232" s="70"/>
      <c r="F232" s="70" t="s">
        <v>113</v>
      </c>
      <c r="G232" s="70"/>
      <c r="H232" s="62">
        <v>10</v>
      </c>
      <c r="I232" s="62">
        <v>50</v>
      </c>
      <c r="J232" s="70"/>
      <c r="K232" s="70"/>
      <c r="L232" s="70"/>
      <c r="M232" s="70"/>
      <c r="N232" s="70"/>
      <c r="O232" s="62"/>
      <c r="P232" s="49"/>
      <c r="Q232" s="49"/>
      <c r="R232" s="49" t="s">
        <v>4090</v>
      </c>
      <c r="S232" s="49"/>
      <c r="T232" s="49" t="s">
        <v>4095</v>
      </c>
      <c r="U232" s="49"/>
      <c r="V232" s="49"/>
      <c r="W232" s="49"/>
      <c r="X232" s="49"/>
      <c r="Y232" s="49"/>
      <c r="Z232" s="49" t="s">
        <v>4092</v>
      </c>
      <c r="AA232" s="49"/>
      <c r="AB232" s="49"/>
      <c r="AC232" s="49"/>
      <c r="AD232" s="49"/>
      <c r="AE232" s="49"/>
      <c r="AF232" s="110">
        <v>5</v>
      </c>
      <c r="AG232" s="111">
        <v>100</v>
      </c>
      <c r="AH232" s="49"/>
      <c r="AI232" s="49"/>
      <c r="AJ232" s="62" t="s">
        <v>4096</v>
      </c>
      <c r="AK232" s="49" t="s">
        <v>4097</v>
      </c>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52" t="s">
        <v>4098</v>
      </c>
      <c r="BJ232" s="64"/>
      <c r="BK232" s="87">
        <v>2</v>
      </c>
      <c r="BL232" s="62">
        <v>260</v>
      </c>
      <c r="BM232" s="62"/>
      <c r="BN232" s="62">
        <v>19000</v>
      </c>
      <c r="BO232" s="62"/>
      <c r="BP232" s="124"/>
      <c r="BQ232" s="49"/>
      <c r="BR232" s="49"/>
      <c r="BS232" s="49"/>
      <c r="BT232" s="49"/>
      <c r="BU232" s="49"/>
      <c r="BV232" s="49"/>
      <c r="BW232" s="49"/>
      <c r="BX232" s="49"/>
      <c r="BY232" s="49"/>
      <c r="BZ232" s="49"/>
      <c r="CA232" s="49"/>
    </row>
    <row r="233" spans="1:79">
      <c r="A233" s="49"/>
      <c r="B233" s="49"/>
      <c r="C233" s="49"/>
      <c r="D233" s="70" t="s">
        <v>3708</v>
      </c>
      <c r="E233" s="70"/>
      <c r="F233" s="70" t="s">
        <v>4099</v>
      </c>
      <c r="G233" s="70"/>
      <c r="H233" s="62">
        <v>15</v>
      </c>
      <c r="I233" s="62">
        <v>100</v>
      </c>
      <c r="J233" s="70"/>
      <c r="K233" s="70"/>
      <c r="L233" s="70"/>
      <c r="M233" s="70"/>
      <c r="N233" s="70"/>
      <c r="O233" s="62"/>
      <c r="P233" s="49"/>
      <c r="Q233" s="49"/>
      <c r="R233" s="49" t="s">
        <v>4090</v>
      </c>
      <c r="S233" s="49"/>
      <c r="T233" s="49" t="s">
        <v>4100</v>
      </c>
      <c r="U233" s="49"/>
      <c r="V233" s="49"/>
      <c r="W233" s="49"/>
      <c r="X233" s="49"/>
      <c r="Y233" s="49"/>
      <c r="Z233" s="49" t="s">
        <v>4092</v>
      </c>
      <c r="AA233" s="49"/>
      <c r="AB233" s="49"/>
      <c r="AC233" s="49"/>
      <c r="AD233" s="49"/>
      <c r="AE233" s="49"/>
      <c r="AF233" s="110">
        <v>10</v>
      </c>
      <c r="AG233" s="111">
        <v>1000</v>
      </c>
      <c r="AH233" s="49"/>
      <c r="AI233" s="49"/>
      <c r="AJ233" s="62" t="s">
        <v>4101</v>
      </c>
      <c r="AK233" s="49" t="s">
        <v>4102</v>
      </c>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t="s">
        <v>4103</v>
      </c>
      <c r="BJ233" s="56"/>
      <c r="BK233" s="99">
        <v>3</v>
      </c>
      <c r="BL233" s="62">
        <v>288</v>
      </c>
      <c r="BM233" s="62"/>
      <c r="BN233" s="62">
        <v>19000</v>
      </c>
      <c r="BO233" s="62"/>
      <c r="BP233" s="124"/>
      <c r="BQ233" s="49"/>
      <c r="BR233" s="49"/>
      <c r="BS233" s="49"/>
      <c r="BT233" s="49"/>
      <c r="BU233" s="49"/>
      <c r="BV233" s="49"/>
      <c r="BW233" s="49"/>
      <c r="BX233" s="49"/>
      <c r="BY233" s="49"/>
      <c r="BZ233" s="49"/>
      <c r="CA233" s="49"/>
    </row>
    <row r="234" spans="1:79">
      <c r="A234" s="49"/>
      <c r="B234" s="49"/>
      <c r="C234" s="49"/>
      <c r="D234" s="70" t="s">
        <v>3642</v>
      </c>
      <c r="E234" s="70"/>
      <c r="F234" s="70" t="s">
        <v>148</v>
      </c>
      <c r="G234" s="70"/>
      <c r="H234" s="62">
        <v>30</v>
      </c>
      <c r="I234" s="62">
        <v>100</v>
      </c>
      <c r="J234" s="70"/>
      <c r="K234" s="70"/>
      <c r="L234" s="70"/>
      <c r="M234" s="70"/>
      <c r="N234" s="70"/>
      <c r="O234" s="62"/>
      <c r="P234" s="49"/>
      <c r="Q234" s="49"/>
      <c r="R234" s="49" t="s">
        <v>163</v>
      </c>
      <c r="S234" s="49"/>
      <c r="T234" s="49" t="s">
        <v>163</v>
      </c>
      <c r="U234" s="49"/>
      <c r="V234" s="49"/>
      <c r="W234" s="49"/>
      <c r="X234" s="49"/>
      <c r="Y234" s="49"/>
      <c r="Z234" s="49" t="s">
        <v>163</v>
      </c>
      <c r="AA234" s="49"/>
      <c r="AB234" s="49"/>
      <c r="AC234" s="49"/>
      <c r="AD234" s="49"/>
      <c r="AE234" s="49"/>
      <c r="AF234" s="110"/>
      <c r="AG234" s="111"/>
      <c r="AH234" s="49"/>
      <c r="AI234" s="49"/>
      <c r="AJ234" s="62" t="s">
        <v>4104</v>
      </c>
      <c r="AK234" s="49" t="s">
        <v>4105</v>
      </c>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t="s">
        <v>4106</v>
      </c>
      <c r="BJ234" s="114"/>
      <c r="BK234" s="90">
        <v>4</v>
      </c>
      <c r="BL234" s="62">
        <v>316</v>
      </c>
      <c r="BM234" s="62"/>
      <c r="BN234" s="62">
        <v>19000</v>
      </c>
      <c r="BO234" s="62"/>
      <c r="BP234" s="124"/>
      <c r="BQ234" s="49"/>
      <c r="BR234" s="49"/>
      <c r="BS234" s="49"/>
      <c r="BT234" s="49"/>
      <c r="BU234" s="49"/>
      <c r="BV234" s="49"/>
      <c r="BW234" s="49"/>
      <c r="BX234" s="49"/>
      <c r="BY234" s="49"/>
      <c r="BZ234" s="49"/>
      <c r="CA234" s="49"/>
    </row>
    <row r="235" spans="1:79">
      <c r="A235" s="49"/>
      <c r="B235" s="49"/>
      <c r="C235" s="49"/>
      <c r="D235" s="70" t="s">
        <v>3637</v>
      </c>
      <c r="E235" s="70"/>
      <c r="F235" s="70" t="s">
        <v>153</v>
      </c>
      <c r="G235" s="70"/>
      <c r="H235" s="62">
        <v>15</v>
      </c>
      <c r="I235" s="62">
        <v>100</v>
      </c>
      <c r="J235" s="70"/>
      <c r="K235" s="70"/>
      <c r="L235" s="70"/>
      <c r="M235" s="70"/>
      <c r="N235" s="70"/>
      <c r="O235" s="62"/>
      <c r="P235" s="49"/>
      <c r="Q235" s="49"/>
      <c r="R235" s="49" t="s">
        <v>4107</v>
      </c>
      <c r="S235" s="49"/>
      <c r="T235" s="49" t="s">
        <v>4108</v>
      </c>
      <c r="U235" s="49"/>
      <c r="V235" s="49"/>
      <c r="W235" s="49"/>
      <c r="X235" s="49"/>
      <c r="Y235" s="49"/>
      <c r="Z235" s="49" t="s">
        <v>4109</v>
      </c>
      <c r="AA235" s="49"/>
      <c r="AB235" s="49"/>
      <c r="AC235" s="49"/>
      <c r="AD235" s="49"/>
      <c r="AE235" s="49"/>
      <c r="AF235" s="110">
        <v>5</v>
      </c>
      <c r="AG235" s="111">
        <v>10</v>
      </c>
      <c r="AH235" s="49"/>
      <c r="AI235" s="49"/>
      <c r="AJ235" s="62" t="s">
        <v>4110</v>
      </c>
      <c r="AK235" s="49" t="s">
        <v>4111</v>
      </c>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52" t="s">
        <v>385</v>
      </c>
      <c r="BJ235" s="64"/>
      <c r="BK235" s="91">
        <v>5</v>
      </c>
      <c r="BL235" s="62">
        <v>344</v>
      </c>
      <c r="BM235" s="62"/>
      <c r="BN235" s="62">
        <v>19000</v>
      </c>
      <c r="BO235" s="62"/>
      <c r="BP235" s="124"/>
      <c r="BQ235" s="49"/>
      <c r="BR235" s="49"/>
      <c r="BS235" s="49"/>
      <c r="BT235" s="49"/>
      <c r="BU235" s="49"/>
      <c r="BV235" s="49"/>
      <c r="BW235" s="49"/>
      <c r="BX235" s="49"/>
      <c r="BY235" s="49"/>
      <c r="BZ235" s="49"/>
      <c r="CA235" s="49"/>
    </row>
    <row r="236" spans="1:79">
      <c r="A236" s="49"/>
      <c r="B236" s="49"/>
      <c r="C236" s="49"/>
      <c r="D236" s="70" t="s">
        <v>3651</v>
      </c>
      <c r="E236" s="70"/>
      <c r="F236" s="70" t="s">
        <v>157</v>
      </c>
      <c r="G236" s="70"/>
      <c r="H236" s="62">
        <v>15</v>
      </c>
      <c r="I236" s="62">
        <v>50</v>
      </c>
      <c r="J236" s="70"/>
      <c r="K236" s="70"/>
      <c r="L236" s="70"/>
      <c r="M236" s="70"/>
      <c r="N236" s="70"/>
      <c r="O236" s="62"/>
      <c r="P236" s="49"/>
      <c r="Q236" s="49"/>
      <c r="R236" s="49" t="s">
        <v>4107</v>
      </c>
      <c r="S236" s="49"/>
      <c r="T236" s="49" t="s">
        <v>4112</v>
      </c>
      <c r="U236" s="49"/>
      <c r="V236" s="49"/>
      <c r="W236" s="49"/>
      <c r="X236" s="49"/>
      <c r="Y236" s="49"/>
      <c r="Z236" s="49" t="s">
        <v>4109</v>
      </c>
      <c r="AA236" s="49"/>
      <c r="AB236" s="49"/>
      <c r="AC236" s="49"/>
      <c r="AD236" s="49"/>
      <c r="AE236" s="49"/>
      <c r="AF236" s="110">
        <v>10</v>
      </c>
      <c r="AG236" s="111">
        <v>100</v>
      </c>
      <c r="AH236" s="49"/>
      <c r="AI236" s="49"/>
      <c r="AJ236" s="62" t="s">
        <v>4113</v>
      </c>
      <c r="AK236" s="49" t="s">
        <v>4114</v>
      </c>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t="s">
        <v>4115</v>
      </c>
      <c r="BJ236" s="56"/>
      <c r="BK236" s="92">
        <v>6</v>
      </c>
      <c r="BL236" s="62">
        <v>372</v>
      </c>
      <c r="BM236" s="62"/>
      <c r="BN236" s="62">
        <v>19000</v>
      </c>
      <c r="BO236" s="62"/>
      <c r="BP236" s="124"/>
      <c r="BQ236" s="49"/>
      <c r="BR236" s="49"/>
      <c r="BS236" s="49"/>
      <c r="BT236" s="49"/>
      <c r="BU236" s="49"/>
      <c r="BV236" s="49"/>
      <c r="BW236" s="49"/>
      <c r="BX236" s="49"/>
      <c r="BY236" s="49"/>
      <c r="BZ236" s="49"/>
      <c r="CA236" s="49"/>
    </row>
    <row r="237" spans="1:79">
      <c r="A237" s="49"/>
      <c r="B237" s="49"/>
      <c r="C237" s="49"/>
      <c r="D237" s="70" t="s">
        <v>3656</v>
      </c>
      <c r="E237" s="70"/>
      <c r="F237" s="70" t="s">
        <v>149</v>
      </c>
      <c r="G237" s="70"/>
      <c r="H237" s="62">
        <v>15</v>
      </c>
      <c r="I237" s="62">
        <v>100</v>
      </c>
      <c r="J237" s="70"/>
      <c r="K237" s="70"/>
      <c r="L237" s="70"/>
      <c r="M237" s="70"/>
      <c r="N237" s="70"/>
      <c r="O237" s="62"/>
      <c r="P237" s="49"/>
      <c r="Q237" s="49"/>
      <c r="R237" s="49" t="s">
        <v>4107</v>
      </c>
      <c r="S237" s="49"/>
      <c r="T237" s="49" t="s">
        <v>4116</v>
      </c>
      <c r="U237" s="49"/>
      <c r="V237" s="49"/>
      <c r="W237" s="49"/>
      <c r="X237" s="49"/>
      <c r="Y237" s="49"/>
      <c r="Z237" s="49" t="s">
        <v>4109</v>
      </c>
      <c r="AA237" s="49"/>
      <c r="AB237" s="49"/>
      <c r="AC237" s="49"/>
      <c r="AD237" s="49"/>
      <c r="AE237" s="49"/>
      <c r="AF237" s="110">
        <v>20</v>
      </c>
      <c r="AG237" s="111">
        <v>1000</v>
      </c>
      <c r="AH237" s="49"/>
      <c r="AI237" s="49"/>
      <c r="AJ237" s="62" t="s">
        <v>4117</v>
      </c>
      <c r="AK237" s="49" t="s">
        <v>4118</v>
      </c>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115" t="s">
        <v>4119</v>
      </c>
      <c r="BL237" s="62"/>
      <c r="BM237" s="62"/>
      <c r="BN237" s="62"/>
      <c r="BO237" s="62"/>
      <c r="BP237" s="124"/>
      <c r="BQ237" s="49"/>
      <c r="BR237" s="49"/>
      <c r="BS237" s="49"/>
      <c r="BT237" s="49"/>
      <c r="BU237" s="49"/>
      <c r="BV237" s="49"/>
      <c r="BW237" s="49"/>
      <c r="BX237" s="49"/>
      <c r="BY237" s="49"/>
      <c r="BZ237" s="49"/>
      <c r="CA237" s="49"/>
    </row>
    <row r="238" spans="1:79">
      <c r="A238" s="49"/>
      <c r="B238" s="49"/>
      <c r="C238" s="49"/>
      <c r="D238" s="70" t="s">
        <v>3661</v>
      </c>
      <c r="E238" s="70"/>
      <c r="F238" s="70" t="s">
        <v>142</v>
      </c>
      <c r="G238" s="70"/>
      <c r="H238" s="62">
        <v>30</v>
      </c>
      <c r="I238" s="62">
        <v>100</v>
      </c>
      <c r="J238" s="70"/>
      <c r="K238" s="70"/>
      <c r="L238" s="70"/>
      <c r="M238" s="70"/>
      <c r="N238" s="70"/>
      <c r="O238" s="62"/>
      <c r="P238" s="49"/>
      <c r="Q238" s="49"/>
      <c r="R238" s="49" t="s">
        <v>163</v>
      </c>
      <c r="S238" s="49"/>
      <c r="T238" s="49" t="s">
        <v>163</v>
      </c>
      <c r="U238" s="49"/>
      <c r="V238" s="49"/>
      <c r="W238" s="49"/>
      <c r="X238" s="49"/>
      <c r="Y238" s="49"/>
      <c r="Z238" s="49" t="s">
        <v>163</v>
      </c>
      <c r="AA238" s="49"/>
      <c r="AB238" s="49"/>
      <c r="AC238" s="49"/>
      <c r="AD238" s="49"/>
      <c r="AE238" s="49"/>
      <c r="AF238" s="110"/>
      <c r="AG238" s="111"/>
      <c r="AH238" s="49"/>
      <c r="AI238" s="49"/>
      <c r="AJ238" s="62" t="s">
        <v>4120</v>
      </c>
      <c r="AK238" s="49" t="s">
        <v>4121</v>
      </c>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97"/>
      <c r="BK238" s="116" t="s">
        <v>4122</v>
      </c>
      <c r="BL238" s="101"/>
      <c r="BM238" s="101"/>
      <c r="BN238" s="101"/>
      <c r="BO238" s="101"/>
      <c r="BP238" s="101"/>
      <c r="BQ238" s="49"/>
      <c r="BR238" s="49"/>
      <c r="BS238" s="49"/>
      <c r="BT238" s="49"/>
      <c r="BU238" s="49"/>
      <c r="BV238" s="49"/>
      <c r="BW238" s="49"/>
      <c r="BX238" s="49"/>
      <c r="BY238" s="49"/>
      <c r="BZ238" s="49"/>
      <c r="CA238" s="49"/>
    </row>
    <row r="239" spans="1:79">
      <c r="A239" s="49"/>
      <c r="B239" s="49"/>
      <c r="C239" s="49"/>
      <c r="D239" s="70" t="s">
        <v>3666</v>
      </c>
      <c r="E239" s="70"/>
      <c r="F239" s="70" t="s">
        <v>159</v>
      </c>
      <c r="G239" s="70"/>
      <c r="H239" s="62">
        <v>15</v>
      </c>
      <c r="I239" s="62">
        <v>100</v>
      </c>
      <c r="J239" s="70"/>
      <c r="K239" s="70"/>
      <c r="L239" s="70"/>
      <c r="M239" s="70"/>
      <c r="N239" s="70"/>
      <c r="O239" s="62"/>
      <c r="P239" s="49"/>
      <c r="Q239" s="49"/>
      <c r="R239" s="49" t="s">
        <v>4123</v>
      </c>
      <c r="S239" s="49"/>
      <c r="T239" s="49" t="s">
        <v>4124</v>
      </c>
      <c r="U239" s="49"/>
      <c r="V239" s="49"/>
      <c r="W239" s="49"/>
      <c r="X239" s="49"/>
      <c r="Y239" s="49"/>
      <c r="Z239" s="49" t="s">
        <v>4125</v>
      </c>
      <c r="AA239" s="49"/>
      <c r="AB239" s="49"/>
      <c r="AC239" s="49"/>
      <c r="AD239" s="49"/>
      <c r="AE239" s="49"/>
      <c r="AF239" s="110">
        <v>5</v>
      </c>
      <c r="AG239" s="111">
        <v>10</v>
      </c>
      <c r="AH239" s="49"/>
      <c r="AI239" s="49"/>
      <c r="AJ239" s="62" t="s">
        <v>4126</v>
      </c>
      <c r="AK239" s="49" t="s">
        <v>4127</v>
      </c>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row>
    <row r="240" spans="1:79">
      <c r="A240" s="49"/>
      <c r="B240" s="49"/>
      <c r="C240" s="49"/>
      <c r="D240" s="70" t="s">
        <v>3671</v>
      </c>
      <c r="E240" s="70"/>
      <c r="F240" s="70" t="s">
        <v>154</v>
      </c>
      <c r="G240" s="70"/>
      <c r="H240" s="62">
        <v>15</v>
      </c>
      <c r="I240" s="62">
        <v>50</v>
      </c>
      <c r="J240" s="70"/>
      <c r="K240" s="70"/>
      <c r="L240" s="70"/>
      <c r="M240" s="70"/>
      <c r="N240" s="70"/>
      <c r="O240" s="62"/>
      <c r="P240" s="49"/>
      <c r="Q240" s="49"/>
      <c r="R240" s="49" t="s">
        <v>4123</v>
      </c>
      <c r="S240" s="49"/>
      <c r="T240" s="49" t="s">
        <v>4128</v>
      </c>
      <c r="U240" s="49"/>
      <c r="V240" s="49"/>
      <c r="W240" s="49"/>
      <c r="X240" s="49"/>
      <c r="Y240" s="49"/>
      <c r="Z240" s="49" t="s">
        <v>4125</v>
      </c>
      <c r="AA240" s="49"/>
      <c r="AB240" s="49"/>
      <c r="AC240" s="49"/>
      <c r="AD240" s="49"/>
      <c r="AE240" s="49"/>
      <c r="AF240" s="110">
        <v>10</v>
      </c>
      <c r="AG240" s="111">
        <v>100</v>
      </c>
      <c r="AH240" s="49"/>
      <c r="AI240" s="49"/>
      <c r="AJ240" s="62" t="s">
        <v>4129</v>
      </c>
      <c r="AK240" s="49" t="s">
        <v>4130</v>
      </c>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t="s">
        <v>4131</v>
      </c>
      <c r="BJ240" s="49"/>
      <c r="BK240" s="49" t="s">
        <v>4132</v>
      </c>
      <c r="BL240" s="49"/>
      <c r="BM240" s="49"/>
      <c r="BN240" s="49"/>
      <c r="BO240" s="49"/>
      <c r="BP240" s="49"/>
      <c r="BQ240" s="49"/>
      <c r="BR240" s="49"/>
      <c r="BS240" s="49"/>
      <c r="BT240" s="49"/>
      <c r="BU240" s="49"/>
      <c r="BV240" s="49"/>
      <c r="BW240" s="49"/>
      <c r="BX240" s="49"/>
      <c r="BY240" s="49"/>
      <c r="BZ240" s="49"/>
      <c r="CA240" s="49"/>
    </row>
    <row r="241" spans="1:79">
      <c r="A241" s="49"/>
      <c r="B241" s="49"/>
      <c r="C241" s="49"/>
      <c r="D241" s="70" t="s">
        <v>3676</v>
      </c>
      <c r="E241" s="70"/>
      <c r="F241" s="70" t="s">
        <v>182</v>
      </c>
      <c r="G241" s="70"/>
      <c r="H241" s="62">
        <v>15</v>
      </c>
      <c r="I241" s="62">
        <v>100</v>
      </c>
      <c r="J241" s="70"/>
      <c r="K241" s="70"/>
      <c r="L241" s="70"/>
      <c r="M241" s="70"/>
      <c r="N241" s="70"/>
      <c r="O241" s="62"/>
      <c r="P241" s="49"/>
      <c r="Q241" s="49"/>
      <c r="R241" s="49" t="s">
        <v>4123</v>
      </c>
      <c r="S241" s="49"/>
      <c r="T241" s="49" t="s">
        <v>4133</v>
      </c>
      <c r="U241" s="49"/>
      <c r="V241" s="49"/>
      <c r="W241" s="49"/>
      <c r="X241" s="49"/>
      <c r="Y241" s="49"/>
      <c r="Z241" s="49" t="s">
        <v>4125</v>
      </c>
      <c r="AA241" s="49"/>
      <c r="AB241" s="49"/>
      <c r="AC241" s="49"/>
      <c r="AD241" s="49"/>
      <c r="AE241" s="49"/>
      <c r="AF241" s="110">
        <v>20</v>
      </c>
      <c r="AG241" s="111">
        <v>1000</v>
      </c>
      <c r="AH241" s="49"/>
      <c r="AI241" s="49"/>
      <c r="AJ241" s="62" t="s">
        <v>4134</v>
      </c>
      <c r="AK241" s="49" t="s">
        <v>4135</v>
      </c>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52" t="s">
        <v>4136</v>
      </c>
      <c r="BJ241" s="64"/>
      <c r="BK241" s="65" t="s">
        <v>243</v>
      </c>
      <c r="BL241" s="65" t="s">
        <v>764</v>
      </c>
      <c r="BM241" s="65" t="s">
        <v>250</v>
      </c>
      <c r="BN241" s="65" t="s">
        <v>4089</v>
      </c>
      <c r="BO241" s="49"/>
      <c r="BP241" s="49"/>
      <c r="BQ241" s="49"/>
      <c r="BR241" s="49"/>
      <c r="BS241" s="49"/>
      <c r="BT241" s="49"/>
      <c r="BU241" s="49"/>
      <c r="BV241" s="49"/>
      <c r="BW241" s="49"/>
      <c r="BX241" s="49"/>
      <c r="BY241" s="49"/>
      <c r="BZ241" s="49"/>
      <c r="CA241" s="49"/>
    </row>
    <row r="242" spans="1:79">
      <c r="A242" s="49"/>
      <c r="B242" s="49"/>
      <c r="C242" s="49"/>
      <c r="D242" s="70" t="s">
        <v>3681</v>
      </c>
      <c r="E242" s="70"/>
      <c r="F242" s="70" t="s">
        <v>151</v>
      </c>
      <c r="G242" s="70"/>
      <c r="H242" s="62">
        <v>15</v>
      </c>
      <c r="I242" s="62">
        <v>100</v>
      </c>
      <c r="J242" s="70"/>
      <c r="K242" s="70"/>
      <c r="L242" s="70"/>
      <c r="M242" s="70"/>
      <c r="N242" s="70"/>
      <c r="O242" s="62"/>
      <c r="P242" s="49"/>
      <c r="Q242" s="49"/>
      <c r="R242" s="49" t="s">
        <v>163</v>
      </c>
      <c r="S242" s="49"/>
      <c r="T242" s="49" t="s">
        <v>163</v>
      </c>
      <c r="U242" s="49"/>
      <c r="V242" s="49"/>
      <c r="W242" s="49"/>
      <c r="X242" s="49"/>
      <c r="Y242" s="49"/>
      <c r="Z242" s="49" t="s">
        <v>163</v>
      </c>
      <c r="AA242" s="49"/>
      <c r="AB242" s="49"/>
      <c r="AC242" s="49"/>
      <c r="AD242" s="49"/>
      <c r="AE242" s="49"/>
      <c r="AF242" s="110"/>
      <c r="AG242" s="111"/>
      <c r="AH242" s="49"/>
      <c r="AI242" s="49"/>
      <c r="AJ242" s="62" t="s">
        <v>4137</v>
      </c>
      <c r="AK242" s="49" t="s">
        <v>4138</v>
      </c>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t="s">
        <v>4139</v>
      </c>
      <c r="BJ242" s="56"/>
      <c r="BK242" s="87">
        <v>1</v>
      </c>
      <c r="BL242" s="62">
        <v>612</v>
      </c>
      <c r="BM242" s="62">
        <f>BL242/5</f>
        <v>122.4</v>
      </c>
      <c r="BN242" s="62">
        <v>13000</v>
      </c>
      <c r="BO242" s="49"/>
      <c r="BP242" s="49"/>
      <c r="BQ242" s="49"/>
      <c r="BR242" s="49"/>
      <c r="BS242" s="49"/>
      <c r="BT242" s="49"/>
      <c r="BU242" s="49"/>
      <c r="BV242" s="49"/>
      <c r="BW242" s="49"/>
      <c r="BX242" s="49"/>
      <c r="BY242" s="49"/>
      <c r="BZ242" s="49"/>
      <c r="CA242" s="49"/>
    </row>
    <row r="243" spans="1:79">
      <c r="A243" s="49"/>
      <c r="B243" s="49"/>
      <c r="C243" s="49"/>
      <c r="D243" s="70" t="s">
        <v>3686</v>
      </c>
      <c r="E243" s="70"/>
      <c r="F243" s="70" t="s">
        <v>4140</v>
      </c>
      <c r="G243" s="70"/>
      <c r="H243" s="62">
        <v>15</v>
      </c>
      <c r="I243" s="62">
        <v>50</v>
      </c>
      <c r="J243" s="70"/>
      <c r="K243" s="70"/>
      <c r="L243" s="70"/>
      <c r="M243" s="70"/>
      <c r="N243" s="70"/>
      <c r="O243" s="62"/>
      <c r="P243" s="49"/>
      <c r="Q243" s="49"/>
      <c r="R243" s="49" t="s">
        <v>4141</v>
      </c>
      <c r="S243" s="49"/>
      <c r="T243" s="49" t="s">
        <v>4142</v>
      </c>
      <c r="U243" s="49"/>
      <c r="V243" s="49"/>
      <c r="W243" s="49"/>
      <c r="X243" s="49"/>
      <c r="Y243" s="49"/>
      <c r="Z243" s="49" t="s">
        <v>4143</v>
      </c>
      <c r="AA243" s="49"/>
      <c r="AB243" s="49"/>
      <c r="AC243" s="49"/>
      <c r="AD243" s="49"/>
      <c r="AE243" s="49"/>
      <c r="AF243" s="110">
        <v>5</v>
      </c>
      <c r="AG243" s="111">
        <v>10</v>
      </c>
      <c r="AH243" s="49"/>
      <c r="AI243" s="49"/>
      <c r="AJ243" s="62" t="s">
        <v>4144</v>
      </c>
      <c r="AK243" s="49" t="s">
        <v>4145</v>
      </c>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52" t="s">
        <v>4098</v>
      </c>
      <c r="BJ243" s="64"/>
      <c r="BK243" s="87">
        <v>2</v>
      </c>
      <c r="BL243" s="62">
        <v>672</v>
      </c>
      <c r="BM243" s="62">
        <f t="shared" ref="BM243:BM252" si="3">BL243/5</f>
        <v>134.4</v>
      </c>
      <c r="BN243" s="62">
        <v>13000</v>
      </c>
      <c r="BO243" s="62"/>
      <c r="BP243" s="49"/>
      <c r="BQ243" s="49"/>
      <c r="BR243" s="49"/>
      <c r="BS243" s="49"/>
      <c r="BT243" s="49"/>
      <c r="BU243" s="49"/>
      <c r="BV243" s="49"/>
      <c r="BW243" s="49"/>
      <c r="BX243" s="49"/>
      <c r="BY243" s="49"/>
      <c r="BZ243" s="49"/>
      <c r="CA243" s="49"/>
    </row>
    <row r="244" spans="1:79">
      <c r="A244" s="49"/>
      <c r="B244" s="49"/>
      <c r="C244" s="49"/>
      <c r="D244" s="70" t="s">
        <v>3701</v>
      </c>
      <c r="E244" s="70"/>
      <c r="F244" s="70" t="s">
        <v>156</v>
      </c>
      <c r="G244" s="70"/>
      <c r="H244" s="62">
        <v>15</v>
      </c>
      <c r="I244" s="62">
        <v>100</v>
      </c>
      <c r="J244" s="70"/>
      <c r="K244" s="70"/>
      <c r="L244" s="70"/>
      <c r="M244" s="70"/>
      <c r="N244" s="70"/>
      <c r="O244" s="62"/>
      <c r="P244" s="49"/>
      <c r="Q244" s="49"/>
      <c r="R244" s="49" t="s">
        <v>4141</v>
      </c>
      <c r="S244" s="49"/>
      <c r="T244" s="49" t="s">
        <v>4146</v>
      </c>
      <c r="U244" s="49"/>
      <c r="V244" s="49"/>
      <c r="W244" s="49"/>
      <c r="X244" s="49"/>
      <c r="Y244" s="49"/>
      <c r="Z244" s="49" t="s">
        <v>4143</v>
      </c>
      <c r="AA244" s="49"/>
      <c r="AB244" s="49"/>
      <c r="AC244" s="49"/>
      <c r="AD244" s="49"/>
      <c r="AE244" s="49"/>
      <c r="AF244" s="110">
        <v>10</v>
      </c>
      <c r="AG244" s="111">
        <v>100</v>
      </c>
      <c r="AH244" s="49"/>
      <c r="AI244" s="49"/>
      <c r="AJ244" s="62" t="s">
        <v>4147</v>
      </c>
      <c r="AK244" s="49" t="s">
        <v>4148</v>
      </c>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t="s">
        <v>4103</v>
      </c>
      <c r="BJ244" s="56"/>
      <c r="BK244" s="99">
        <v>3</v>
      </c>
      <c r="BL244" s="62">
        <v>744</v>
      </c>
      <c r="BM244" s="62">
        <f t="shared" si="3"/>
        <v>148.80000000000001</v>
      </c>
      <c r="BN244" s="62">
        <v>13000</v>
      </c>
      <c r="BO244" s="62"/>
      <c r="BP244" s="49"/>
      <c r="BQ244" s="49"/>
      <c r="BR244" s="49"/>
      <c r="BS244" s="49"/>
      <c r="BT244" s="49"/>
      <c r="BU244" s="49"/>
      <c r="BV244" s="49"/>
      <c r="BW244" s="49"/>
      <c r="BX244" s="49"/>
      <c r="BY244" s="49"/>
      <c r="BZ244" s="49"/>
      <c r="CA244" s="49"/>
    </row>
    <row r="245" spans="1:79">
      <c r="A245" s="49"/>
      <c r="B245" s="49"/>
      <c r="C245" s="49"/>
      <c r="D245" s="70" t="s">
        <v>3696</v>
      </c>
      <c r="E245" s="70"/>
      <c r="F245" s="70" t="s">
        <v>4149</v>
      </c>
      <c r="G245" s="70"/>
      <c r="H245" s="62">
        <v>15</v>
      </c>
      <c r="I245" s="62">
        <v>100</v>
      </c>
      <c r="J245" s="70"/>
      <c r="K245" s="70"/>
      <c r="L245" s="70"/>
      <c r="M245" s="70"/>
      <c r="N245" s="70"/>
      <c r="O245" s="62"/>
      <c r="P245" s="49"/>
      <c r="Q245" s="49"/>
      <c r="R245" s="49" t="s">
        <v>4141</v>
      </c>
      <c r="S245" s="49"/>
      <c r="T245" s="49" t="s">
        <v>4150</v>
      </c>
      <c r="U245" s="49"/>
      <c r="V245" s="49"/>
      <c r="W245" s="49"/>
      <c r="X245" s="49"/>
      <c r="Y245" s="49"/>
      <c r="Z245" s="49" t="s">
        <v>4143</v>
      </c>
      <c r="AA245" s="49"/>
      <c r="AB245" s="49"/>
      <c r="AC245" s="49"/>
      <c r="AD245" s="49"/>
      <c r="AE245" s="49"/>
      <c r="AF245" s="110">
        <v>20</v>
      </c>
      <c r="AG245" s="111">
        <v>1000</v>
      </c>
      <c r="AH245" s="49"/>
      <c r="AI245" s="49"/>
      <c r="AJ245" s="62" t="s">
        <v>4151</v>
      </c>
      <c r="AK245" s="49" t="s">
        <v>3866</v>
      </c>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t="s">
        <v>4152</v>
      </c>
      <c r="BJ245" s="114"/>
      <c r="BK245" s="90">
        <v>4</v>
      </c>
      <c r="BL245" s="62">
        <v>804</v>
      </c>
      <c r="BM245" s="62">
        <f t="shared" si="3"/>
        <v>160.80000000000001</v>
      </c>
      <c r="BN245" s="62">
        <v>13000</v>
      </c>
      <c r="BO245" s="62"/>
      <c r="BP245" s="49"/>
      <c r="BQ245" s="49"/>
      <c r="BR245" s="49"/>
      <c r="BS245" s="49"/>
      <c r="BT245" s="49"/>
      <c r="BU245" s="49"/>
      <c r="BV245" s="49"/>
      <c r="BW245" s="49"/>
      <c r="BX245" s="49"/>
      <c r="BY245" s="49"/>
      <c r="BZ245" s="49"/>
      <c r="CA245" s="49"/>
    </row>
    <row r="246" spans="1:79">
      <c r="A246" s="49"/>
      <c r="B246" s="49"/>
      <c r="C246" s="49"/>
      <c r="D246" s="70" t="s">
        <v>3691</v>
      </c>
      <c r="E246" s="70"/>
      <c r="F246" s="70" t="s">
        <v>4153</v>
      </c>
      <c r="G246" s="70"/>
      <c r="H246" s="62">
        <v>15</v>
      </c>
      <c r="I246" s="62">
        <v>100</v>
      </c>
      <c r="J246" s="70"/>
      <c r="K246" s="70"/>
      <c r="L246" s="70"/>
      <c r="M246" s="70"/>
      <c r="N246" s="70"/>
      <c r="O246" s="62"/>
      <c r="P246" s="49"/>
      <c r="Q246" s="49"/>
      <c r="R246" s="49" t="s">
        <v>163</v>
      </c>
      <c r="S246" s="49"/>
      <c r="T246" s="49" t="s">
        <v>163</v>
      </c>
      <c r="U246" s="49"/>
      <c r="V246" s="49"/>
      <c r="W246" s="49"/>
      <c r="X246" s="49"/>
      <c r="Y246" s="49"/>
      <c r="Z246" s="49" t="s">
        <v>163</v>
      </c>
      <c r="AA246" s="49"/>
      <c r="AB246" s="49"/>
      <c r="AC246" s="49"/>
      <c r="AD246" s="49"/>
      <c r="AE246" s="49"/>
      <c r="AF246" s="110"/>
      <c r="AG246" s="111"/>
      <c r="AH246" s="49"/>
      <c r="AI246" s="49"/>
      <c r="AJ246" s="62" t="s">
        <v>4154</v>
      </c>
      <c r="AK246" s="49" t="s">
        <v>4155</v>
      </c>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52" t="s">
        <v>385</v>
      </c>
      <c r="BJ246" s="64"/>
      <c r="BK246" s="91">
        <v>5</v>
      </c>
      <c r="BL246" s="62">
        <v>876</v>
      </c>
      <c r="BM246" s="62">
        <f t="shared" si="3"/>
        <v>175.2</v>
      </c>
      <c r="BN246" s="62">
        <v>13000</v>
      </c>
      <c r="BO246" s="62"/>
      <c r="BP246" s="49"/>
      <c r="BQ246" s="49"/>
      <c r="BR246" s="49"/>
      <c r="BS246" s="49"/>
      <c r="BT246" s="49"/>
      <c r="BU246" s="49"/>
      <c r="BV246" s="49"/>
      <c r="BW246" s="49"/>
      <c r="BX246" s="49"/>
      <c r="BY246" s="49"/>
      <c r="BZ246" s="49"/>
      <c r="CA246" s="49"/>
    </row>
    <row r="247" spans="1:79">
      <c r="A247" s="49"/>
      <c r="B247" s="49"/>
      <c r="C247" s="49"/>
      <c r="D247" s="70"/>
      <c r="E247" s="70"/>
      <c r="F247" s="70"/>
      <c r="G247" s="70"/>
      <c r="H247" s="70"/>
      <c r="I247" s="70"/>
      <c r="J247" s="70"/>
      <c r="K247" s="70"/>
      <c r="L247" s="70"/>
      <c r="M247" s="70"/>
      <c r="N247" s="70"/>
      <c r="O247" s="62"/>
      <c r="P247" s="49"/>
      <c r="Q247" s="49"/>
      <c r="R247" s="49" t="s">
        <v>4156</v>
      </c>
      <c r="S247" s="49"/>
      <c r="T247" s="49" t="s">
        <v>4157</v>
      </c>
      <c r="U247" s="49"/>
      <c r="V247" s="49"/>
      <c r="W247" s="49"/>
      <c r="X247" s="49"/>
      <c r="Y247" s="49"/>
      <c r="Z247" s="49" t="s">
        <v>163</v>
      </c>
      <c r="AA247" s="49"/>
      <c r="AB247" s="49"/>
      <c r="AC247" s="49"/>
      <c r="AD247" s="49"/>
      <c r="AE247" s="49"/>
      <c r="AF247" s="110">
        <v>5</v>
      </c>
      <c r="AG247" s="111">
        <v>10</v>
      </c>
      <c r="AH247" s="49"/>
      <c r="AI247" s="49"/>
      <c r="AJ247" s="62" t="s">
        <v>4158</v>
      </c>
      <c r="AK247" s="49" t="s">
        <v>4159</v>
      </c>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t="s">
        <v>4115</v>
      </c>
      <c r="BJ247" s="56"/>
      <c r="BK247" s="92">
        <v>6</v>
      </c>
      <c r="BL247" s="62">
        <v>936</v>
      </c>
      <c r="BM247" s="62">
        <f t="shared" si="3"/>
        <v>187.2</v>
      </c>
      <c r="BN247" s="62">
        <v>13000</v>
      </c>
      <c r="BO247" s="62"/>
      <c r="BP247" s="49"/>
      <c r="BQ247" s="49"/>
      <c r="BR247" s="49"/>
      <c r="BS247" s="49"/>
      <c r="BT247" s="49"/>
      <c r="BU247" s="49"/>
      <c r="BV247" s="49"/>
      <c r="BW247" s="49"/>
      <c r="BX247" s="49"/>
      <c r="BY247" s="49"/>
      <c r="BZ247" s="49"/>
      <c r="CA247" s="49"/>
    </row>
    <row r="248" spans="1:79">
      <c r="A248" s="49"/>
      <c r="B248" s="49"/>
      <c r="C248" s="49"/>
      <c r="D248" s="611" t="s">
        <v>4160</v>
      </c>
      <c r="E248" s="611"/>
      <c r="F248" s="611"/>
      <c r="G248" s="70"/>
      <c r="H248" s="62"/>
      <c r="I248" s="71"/>
      <c r="J248" s="49"/>
      <c r="K248" s="49"/>
      <c r="L248" s="49"/>
      <c r="M248" s="49"/>
      <c r="N248" s="62"/>
      <c r="O248" s="62"/>
      <c r="P248" s="49"/>
      <c r="Q248" s="49"/>
      <c r="R248" s="49" t="s">
        <v>4156</v>
      </c>
      <c r="S248" s="49"/>
      <c r="T248" s="49" t="s">
        <v>4161</v>
      </c>
      <c r="U248" s="49"/>
      <c r="V248" s="49"/>
      <c r="W248" s="49"/>
      <c r="X248" s="49"/>
      <c r="Y248" s="49"/>
      <c r="Z248" s="49" t="s">
        <v>163</v>
      </c>
      <c r="AA248" s="49"/>
      <c r="AB248" s="49"/>
      <c r="AC248" s="49"/>
      <c r="AD248" s="49"/>
      <c r="AE248" s="49"/>
      <c r="AF248" s="110">
        <v>10</v>
      </c>
      <c r="AG248" s="111">
        <v>100</v>
      </c>
      <c r="AH248" s="49"/>
      <c r="AI248" s="49"/>
      <c r="AJ248" s="62" t="s">
        <v>4162</v>
      </c>
      <c r="AK248" s="49" t="s">
        <v>3417</v>
      </c>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97"/>
      <c r="BK248" s="93">
        <v>7</v>
      </c>
      <c r="BL248" s="62">
        <v>996</v>
      </c>
      <c r="BM248" s="62">
        <f t="shared" si="3"/>
        <v>199.2</v>
      </c>
      <c r="BN248" s="62">
        <v>13000</v>
      </c>
      <c r="BO248" s="62"/>
      <c r="BP248" s="49"/>
      <c r="BQ248" s="49"/>
      <c r="BR248" s="49"/>
      <c r="BS248" s="49"/>
      <c r="BT248" s="49"/>
      <c r="BU248" s="49"/>
      <c r="BV248" s="49"/>
      <c r="BW248" s="49"/>
      <c r="BX248" s="49"/>
      <c r="BY248" s="49"/>
      <c r="BZ248" s="49"/>
      <c r="CA248" s="49"/>
    </row>
    <row r="249" spans="1:79">
      <c r="A249" s="49"/>
      <c r="B249" s="49"/>
      <c r="C249" s="49"/>
      <c r="D249" s="612"/>
      <c r="E249" s="612"/>
      <c r="F249" s="612"/>
      <c r="G249" s="70"/>
      <c r="H249" s="66"/>
      <c r="I249" s="73"/>
      <c r="J249" s="67"/>
      <c r="K249" s="67"/>
      <c r="L249" s="67"/>
      <c r="M249" s="67"/>
      <c r="N249" s="67"/>
      <c r="O249" s="62"/>
      <c r="P249" s="49"/>
      <c r="Q249" s="49"/>
      <c r="R249" s="49" t="s">
        <v>4156</v>
      </c>
      <c r="S249" s="49"/>
      <c r="T249" s="49" t="s">
        <v>4163</v>
      </c>
      <c r="U249" s="49"/>
      <c r="V249" s="49"/>
      <c r="W249" s="49"/>
      <c r="X249" s="49"/>
      <c r="Y249" s="49"/>
      <c r="Z249" s="49" t="s">
        <v>163</v>
      </c>
      <c r="AA249" s="49"/>
      <c r="AB249" s="49"/>
      <c r="AC249" s="49"/>
      <c r="AD249" s="49"/>
      <c r="AE249" s="49"/>
      <c r="AF249" s="110">
        <v>20</v>
      </c>
      <c r="AG249" s="111">
        <v>1000</v>
      </c>
      <c r="AH249" s="49"/>
      <c r="AI249" s="49"/>
      <c r="AJ249" s="62" t="s">
        <v>4164</v>
      </c>
      <c r="AK249" s="49" t="s">
        <v>3423</v>
      </c>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105">
        <v>8</v>
      </c>
      <c r="BL249" s="62">
        <v>1068</v>
      </c>
      <c r="BM249" s="62">
        <f t="shared" si="3"/>
        <v>213.6</v>
      </c>
      <c r="BN249" s="62">
        <v>13000</v>
      </c>
      <c r="BO249" s="49"/>
      <c r="BP249" s="49"/>
      <c r="BQ249" s="49"/>
      <c r="BR249" s="49"/>
      <c r="BS249" s="49"/>
      <c r="BT249" s="49"/>
      <c r="BU249" s="49"/>
      <c r="BV249" s="49"/>
      <c r="BW249" s="49"/>
      <c r="BX249" s="49"/>
      <c r="BY249" s="49"/>
      <c r="BZ249" s="49"/>
      <c r="CA249" s="49"/>
    </row>
    <row r="250" spans="1:79">
      <c r="A250" s="49"/>
      <c r="B250" s="49"/>
      <c r="C250" s="49"/>
      <c r="D250" s="68"/>
      <c r="E250" s="68"/>
      <c r="F250" s="68"/>
      <c r="G250" s="68"/>
      <c r="H250" s="68"/>
      <c r="I250" s="74"/>
      <c r="J250" s="75"/>
      <c r="K250" s="75"/>
      <c r="L250" s="75"/>
      <c r="M250" s="75"/>
      <c r="N250" s="75"/>
      <c r="O250" s="62"/>
      <c r="P250" s="49"/>
      <c r="Q250" s="49"/>
      <c r="R250" s="49" t="s">
        <v>163</v>
      </c>
      <c r="S250" s="49"/>
      <c r="T250" s="49" t="s">
        <v>163</v>
      </c>
      <c r="U250" s="49"/>
      <c r="V250" s="49"/>
      <c r="W250" s="49"/>
      <c r="X250" s="49"/>
      <c r="Y250" s="49"/>
      <c r="Z250" s="49" t="s">
        <v>163</v>
      </c>
      <c r="AA250" s="49"/>
      <c r="AB250" s="49"/>
      <c r="AC250" s="49"/>
      <c r="AD250" s="49"/>
      <c r="AE250" s="49"/>
      <c r="AF250" s="110"/>
      <c r="AG250" s="111"/>
      <c r="AH250" s="49"/>
      <c r="AI250" s="49"/>
      <c r="AJ250" s="62" t="s">
        <v>4165</v>
      </c>
      <c r="AK250" s="49" t="s">
        <v>3395</v>
      </c>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97"/>
      <c r="BK250" s="100">
        <v>9</v>
      </c>
      <c r="BL250" s="62">
        <v>1128</v>
      </c>
      <c r="BM250" s="62">
        <f t="shared" si="3"/>
        <v>225.6</v>
      </c>
      <c r="BN250" s="62">
        <v>13000</v>
      </c>
      <c r="BO250" s="49"/>
      <c r="BP250" s="49"/>
      <c r="BQ250" s="49"/>
      <c r="BR250" s="49"/>
      <c r="BS250" s="49"/>
      <c r="BT250" s="49"/>
      <c r="BU250" s="49"/>
      <c r="BV250" s="49"/>
      <c r="BW250" s="49"/>
      <c r="BX250" s="49"/>
      <c r="BY250" s="49"/>
      <c r="BZ250" s="49"/>
      <c r="CA250" s="49"/>
    </row>
    <row r="251" spans="1:79">
      <c r="A251" s="49"/>
      <c r="B251" s="49"/>
      <c r="C251" s="49"/>
      <c r="D251" s="72" t="s">
        <v>3555</v>
      </c>
      <c r="E251" s="72"/>
      <c r="F251" s="72" t="s">
        <v>4166</v>
      </c>
      <c r="G251" s="72"/>
      <c r="H251" s="72"/>
      <c r="I251" s="72"/>
      <c r="J251" s="72"/>
      <c r="K251" s="72"/>
      <c r="L251" s="72" t="s">
        <v>4021</v>
      </c>
      <c r="M251" s="70"/>
      <c r="N251" s="70"/>
      <c r="O251" s="62"/>
      <c r="P251" s="49"/>
      <c r="Q251" s="49"/>
      <c r="R251" s="49" t="s">
        <v>4167</v>
      </c>
      <c r="S251" s="49"/>
      <c r="T251" s="49" t="s">
        <v>4168</v>
      </c>
      <c r="U251" s="49"/>
      <c r="V251" s="49"/>
      <c r="W251" s="49"/>
      <c r="X251" s="49"/>
      <c r="Y251" s="49"/>
      <c r="Z251" s="49" t="s">
        <v>4169</v>
      </c>
      <c r="AA251" s="49"/>
      <c r="AB251" s="49"/>
      <c r="AC251" s="49"/>
      <c r="AD251" s="49"/>
      <c r="AE251" s="49"/>
      <c r="AF251" s="110">
        <v>5</v>
      </c>
      <c r="AG251" s="111">
        <v>10</v>
      </c>
      <c r="AH251" s="49"/>
      <c r="AI251" s="49"/>
      <c r="AJ251" s="62" t="s">
        <v>4170</v>
      </c>
      <c r="AK251" s="49" t="s">
        <v>3406</v>
      </c>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112">
        <v>10</v>
      </c>
      <c r="BL251" s="62">
        <v>1200</v>
      </c>
      <c r="BM251" s="62">
        <f t="shared" si="3"/>
        <v>240</v>
      </c>
      <c r="BN251" s="62">
        <v>13000</v>
      </c>
      <c r="BO251" s="49"/>
      <c r="BP251" s="49"/>
      <c r="BQ251" s="49"/>
      <c r="BR251" s="49"/>
      <c r="BS251" s="49"/>
      <c r="BT251" s="49"/>
      <c r="BU251" s="49"/>
      <c r="BV251" s="49"/>
      <c r="BW251" s="49"/>
      <c r="BX251" s="49"/>
      <c r="BY251" s="49"/>
      <c r="BZ251" s="49"/>
      <c r="CA251" s="49"/>
    </row>
    <row r="252" spans="1:79">
      <c r="A252" s="49"/>
      <c r="B252" s="49"/>
      <c r="C252" s="49"/>
      <c r="D252" s="70" t="s">
        <v>4171</v>
      </c>
      <c r="E252" s="70"/>
      <c r="F252" s="70" t="s">
        <v>4172</v>
      </c>
      <c r="G252" s="70"/>
      <c r="H252" s="70"/>
      <c r="I252" s="70"/>
      <c r="J252" s="70"/>
      <c r="K252" s="70"/>
      <c r="L252" s="70">
        <v>20</v>
      </c>
      <c r="M252" s="70"/>
      <c r="N252" s="70"/>
      <c r="O252" s="62"/>
      <c r="P252" s="49"/>
      <c r="Q252" s="49"/>
      <c r="R252" s="49" t="s">
        <v>4167</v>
      </c>
      <c r="S252" s="49"/>
      <c r="T252" s="49" t="s">
        <v>4173</v>
      </c>
      <c r="U252" s="49"/>
      <c r="V252" s="49"/>
      <c r="W252" s="49"/>
      <c r="X252" s="49"/>
      <c r="Y252" s="49"/>
      <c r="Z252" s="49" t="s">
        <v>4169</v>
      </c>
      <c r="AA252" s="49"/>
      <c r="AB252" s="49"/>
      <c r="AC252" s="49"/>
      <c r="AD252" s="49"/>
      <c r="AE252" s="49"/>
      <c r="AF252" s="110">
        <v>10</v>
      </c>
      <c r="AG252" s="111">
        <v>100</v>
      </c>
      <c r="AH252" s="49"/>
      <c r="AI252" s="49"/>
      <c r="AJ252" s="62" t="s">
        <v>4174</v>
      </c>
      <c r="AK252" s="49" t="s">
        <v>4175</v>
      </c>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113">
        <v>11</v>
      </c>
      <c r="BL252" s="62">
        <v>1500</v>
      </c>
      <c r="BM252" s="62">
        <f t="shared" si="3"/>
        <v>300</v>
      </c>
      <c r="BN252" s="62" t="s">
        <v>2071</v>
      </c>
      <c r="BO252" s="49"/>
      <c r="BP252" s="49"/>
      <c r="BQ252" s="49"/>
      <c r="BR252" s="49"/>
      <c r="BS252" s="49"/>
      <c r="BT252" s="49"/>
      <c r="BU252" s="49"/>
      <c r="BV252" s="49"/>
      <c r="BW252" s="49"/>
      <c r="BX252" s="49"/>
      <c r="BY252" s="49"/>
      <c r="BZ252" s="49"/>
      <c r="CA252" s="49"/>
    </row>
    <row r="253" spans="1:79">
      <c r="A253" s="49"/>
      <c r="B253" s="49"/>
      <c r="C253" s="49"/>
      <c r="D253" s="70" t="s">
        <v>4176</v>
      </c>
      <c r="E253" s="70"/>
      <c r="F253" s="70" t="s">
        <v>4177</v>
      </c>
      <c r="G253" s="70"/>
      <c r="H253" s="70"/>
      <c r="I253" s="70"/>
      <c r="J253" s="70"/>
      <c r="K253" s="70"/>
      <c r="L253" s="70">
        <v>20</v>
      </c>
      <c r="M253" s="70"/>
      <c r="N253" s="70"/>
      <c r="O253" s="62"/>
      <c r="P253" s="49"/>
      <c r="Q253" s="49"/>
      <c r="R253" s="49" t="s">
        <v>4167</v>
      </c>
      <c r="S253" s="49"/>
      <c r="T253" s="49" t="s">
        <v>4178</v>
      </c>
      <c r="U253" s="49"/>
      <c r="V253" s="49"/>
      <c r="W253" s="49"/>
      <c r="X253" s="49"/>
      <c r="Y253" s="49"/>
      <c r="Z253" s="49" t="s">
        <v>4169</v>
      </c>
      <c r="AA253" s="49"/>
      <c r="AB253" s="49"/>
      <c r="AC253" s="49"/>
      <c r="AD253" s="49"/>
      <c r="AE253" s="49"/>
      <c r="AF253" s="110">
        <v>20</v>
      </c>
      <c r="AG253" s="111">
        <v>1000</v>
      </c>
      <c r="AH253" s="49"/>
      <c r="AI253" s="49"/>
      <c r="AJ253" s="62" t="s">
        <v>4179</v>
      </c>
      <c r="AK253" s="49" t="s">
        <v>4180</v>
      </c>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row>
    <row r="254" spans="1:79">
      <c r="A254" s="49"/>
      <c r="B254" s="49"/>
      <c r="C254" s="49"/>
      <c r="D254" s="70" t="s">
        <v>4181</v>
      </c>
      <c r="E254" s="70"/>
      <c r="F254" s="70" t="s">
        <v>4182</v>
      </c>
      <c r="G254" s="70"/>
      <c r="H254" s="70"/>
      <c r="I254" s="70"/>
      <c r="J254" s="70"/>
      <c r="K254" s="70"/>
      <c r="L254" s="70">
        <v>20</v>
      </c>
      <c r="M254" s="70"/>
      <c r="N254" s="70"/>
      <c r="O254" s="62"/>
      <c r="P254" s="49"/>
      <c r="Q254" s="49"/>
      <c r="R254" s="49" t="s">
        <v>163</v>
      </c>
      <c r="S254" s="49"/>
      <c r="T254" s="49" t="s">
        <v>163</v>
      </c>
      <c r="U254" s="49"/>
      <c r="V254" s="49"/>
      <c r="W254" s="49"/>
      <c r="X254" s="49"/>
      <c r="Y254" s="49"/>
      <c r="Z254" s="49" t="s">
        <v>163</v>
      </c>
      <c r="AA254" s="49"/>
      <c r="AB254" s="49"/>
      <c r="AC254" s="49"/>
      <c r="AD254" s="49"/>
      <c r="AE254" s="49"/>
      <c r="AF254" s="110"/>
      <c r="AG254" s="111"/>
      <c r="AH254" s="49"/>
      <c r="AI254" s="49"/>
      <c r="AJ254" s="62" t="s">
        <v>4183</v>
      </c>
      <c r="AK254" s="49" t="s">
        <v>4184</v>
      </c>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t="s">
        <v>4185</v>
      </c>
      <c r="BJ254" s="49"/>
      <c r="BK254" s="49" t="s">
        <v>4186</v>
      </c>
      <c r="BL254" s="49"/>
      <c r="BM254" s="49"/>
      <c r="BN254" s="49"/>
      <c r="BO254" s="49"/>
      <c r="BP254" s="49"/>
      <c r="BQ254" s="49"/>
      <c r="BR254" s="49"/>
      <c r="BS254" s="49"/>
      <c r="BT254" s="49"/>
      <c r="BU254" s="49"/>
      <c r="BV254" s="49"/>
      <c r="BW254" s="49"/>
      <c r="BX254" s="49"/>
      <c r="BY254" s="49"/>
      <c r="BZ254" s="49"/>
      <c r="CA254" s="49"/>
    </row>
    <row r="255" spans="1:79">
      <c r="A255" s="49"/>
      <c r="B255" s="49"/>
      <c r="C255" s="49"/>
      <c r="D255" s="70" t="s">
        <v>4187</v>
      </c>
      <c r="E255" s="70"/>
      <c r="F255" s="70" t="s">
        <v>4188</v>
      </c>
      <c r="G255" s="70"/>
      <c r="H255" s="70"/>
      <c r="I255" s="70"/>
      <c r="J255" s="70"/>
      <c r="K255" s="70"/>
      <c r="L255" s="70">
        <v>100</v>
      </c>
      <c r="M255" s="70"/>
      <c r="N255" s="70"/>
      <c r="O255" s="62"/>
      <c r="P255" s="49"/>
      <c r="Q255" s="49"/>
      <c r="R255" s="49" t="s">
        <v>3373</v>
      </c>
      <c r="S255" s="49"/>
      <c r="T255" s="49" t="s">
        <v>4189</v>
      </c>
      <c r="U255" s="49"/>
      <c r="V255" s="49"/>
      <c r="W255" s="49"/>
      <c r="X255" s="49"/>
      <c r="Y255" s="49"/>
      <c r="Z255" s="49" t="s">
        <v>4190</v>
      </c>
      <c r="AA255" s="49"/>
      <c r="AB255" s="49"/>
      <c r="AC255" s="49"/>
      <c r="AD255" s="49"/>
      <c r="AE255" s="49"/>
      <c r="AF255" s="110">
        <v>5</v>
      </c>
      <c r="AG255" s="111">
        <v>10</v>
      </c>
      <c r="AH255" s="49"/>
      <c r="AI255" s="49"/>
      <c r="AJ255" s="62" t="s">
        <v>4191</v>
      </c>
      <c r="AK255" s="49" t="s">
        <v>4192</v>
      </c>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52" t="s">
        <v>1358</v>
      </c>
      <c r="BJ255" s="117"/>
      <c r="BK255" s="108" t="s">
        <v>243</v>
      </c>
      <c r="BL255" s="65" t="s">
        <v>1359</v>
      </c>
      <c r="BM255" s="65" t="s">
        <v>1091</v>
      </c>
      <c r="BN255" s="65" t="s">
        <v>4193</v>
      </c>
      <c r="BO255" s="49"/>
      <c r="BP255" s="49"/>
      <c r="BQ255" s="49"/>
      <c r="BR255" s="49"/>
      <c r="BS255" s="49"/>
      <c r="BT255" s="49"/>
      <c r="BU255" s="49"/>
      <c r="BV255" s="49"/>
      <c r="BW255" s="49"/>
      <c r="BX255" s="49"/>
      <c r="BY255" s="49"/>
      <c r="BZ255" s="49"/>
      <c r="CA255" s="49"/>
    </row>
    <row r="256" spans="1:79">
      <c r="A256" s="49"/>
      <c r="B256" s="49"/>
      <c r="C256" s="49"/>
      <c r="D256" s="70" t="s">
        <v>3344</v>
      </c>
      <c r="E256" s="70"/>
      <c r="F256" s="70" t="s">
        <v>4194</v>
      </c>
      <c r="G256" s="70"/>
      <c r="H256" s="70"/>
      <c r="I256" s="70"/>
      <c r="J256" s="70"/>
      <c r="K256" s="70"/>
      <c r="L256" s="70">
        <v>150</v>
      </c>
      <c r="M256" s="70"/>
      <c r="N256" s="70"/>
      <c r="O256" s="62"/>
      <c r="P256" s="49"/>
      <c r="Q256" s="49"/>
      <c r="R256" s="49" t="s">
        <v>3373</v>
      </c>
      <c r="S256" s="49"/>
      <c r="T256" s="49" t="s">
        <v>4195</v>
      </c>
      <c r="U256" s="49"/>
      <c r="V256" s="49"/>
      <c r="W256" s="49"/>
      <c r="X256" s="49"/>
      <c r="Y256" s="49"/>
      <c r="Z256" s="49" t="s">
        <v>4190</v>
      </c>
      <c r="AA256" s="49"/>
      <c r="AB256" s="49"/>
      <c r="AC256" s="49"/>
      <c r="AD256" s="49"/>
      <c r="AE256" s="49"/>
      <c r="AF256" s="110">
        <v>10</v>
      </c>
      <c r="AG256" s="111">
        <v>100</v>
      </c>
      <c r="AH256" s="49"/>
      <c r="AI256" s="49"/>
      <c r="AJ256" s="62" t="s">
        <v>4196</v>
      </c>
      <c r="AK256" s="49" t="s">
        <v>4197</v>
      </c>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t="s">
        <v>1364</v>
      </c>
      <c r="BJ256" s="118"/>
      <c r="BK256" s="119">
        <v>1</v>
      </c>
      <c r="BL256" s="62">
        <v>25</v>
      </c>
      <c r="BM256" s="62">
        <v>1000</v>
      </c>
      <c r="BN256" s="62">
        <v>1000</v>
      </c>
      <c r="BO256" s="49"/>
      <c r="BP256" s="49"/>
      <c r="BQ256" s="49"/>
      <c r="BR256" s="49"/>
      <c r="BS256" s="49"/>
      <c r="BT256" s="49"/>
      <c r="BU256" s="49"/>
      <c r="BV256" s="49"/>
      <c r="BW256" s="49"/>
      <c r="BX256" s="49"/>
      <c r="BY256" s="49"/>
      <c r="BZ256" s="49"/>
      <c r="CA256" s="49"/>
    </row>
    <row r="257" spans="1:79">
      <c r="A257" s="49"/>
      <c r="B257" s="49"/>
      <c r="C257" s="49"/>
      <c r="D257" s="70" t="s">
        <v>3241</v>
      </c>
      <c r="E257" s="70"/>
      <c r="F257" s="70" t="s">
        <v>4198</v>
      </c>
      <c r="G257" s="70"/>
      <c r="H257" s="70"/>
      <c r="I257" s="70"/>
      <c r="J257" s="70"/>
      <c r="K257" s="70"/>
      <c r="L257" s="70">
        <v>100</v>
      </c>
      <c r="M257" s="70"/>
      <c r="N257" s="70"/>
      <c r="O257" s="62"/>
      <c r="P257" s="49"/>
      <c r="Q257" s="49"/>
      <c r="R257" s="49" t="s">
        <v>3373</v>
      </c>
      <c r="S257" s="49"/>
      <c r="T257" s="49" t="s">
        <v>4199</v>
      </c>
      <c r="U257" s="49"/>
      <c r="V257" s="49"/>
      <c r="W257" s="49"/>
      <c r="X257" s="49"/>
      <c r="Y257" s="49"/>
      <c r="Z257" s="49" t="s">
        <v>4190</v>
      </c>
      <c r="AA257" s="49"/>
      <c r="AB257" s="49"/>
      <c r="AC257" s="49"/>
      <c r="AD257" s="49"/>
      <c r="AE257" s="49"/>
      <c r="AF257" s="110">
        <v>20</v>
      </c>
      <c r="AG257" s="111">
        <v>1000</v>
      </c>
      <c r="AH257" s="49"/>
      <c r="AI257" s="49"/>
      <c r="AJ257" s="62"/>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60" t="s">
        <v>1367</v>
      </c>
      <c r="BJ257" s="125"/>
      <c r="BK257" s="126"/>
      <c r="BL257" s="62"/>
      <c r="BM257" s="62"/>
      <c r="BN257" s="147"/>
      <c r="BO257" s="49"/>
      <c r="BP257" s="49"/>
      <c r="BQ257" s="49"/>
      <c r="BR257" s="49"/>
      <c r="BS257" s="49"/>
      <c r="BT257" s="49"/>
      <c r="BU257" s="49"/>
      <c r="BV257" s="49"/>
      <c r="BW257" s="49"/>
      <c r="BX257" s="49"/>
      <c r="BY257" s="49"/>
      <c r="BZ257" s="49"/>
      <c r="CA257" s="49"/>
    </row>
    <row r="258" spans="1:79">
      <c r="A258" s="49"/>
      <c r="B258" s="49"/>
      <c r="C258" s="49"/>
      <c r="D258" s="70" t="s">
        <v>3236</v>
      </c>
      <c r="E258" s="70"/>
      <c r="F258" s="70" t="s">
        <v>4200</v>
      </c>
      <c r="G258" s="70"/>
      <c r="H258" s="70"/>
      <c r="I258" s="70"/>
      <c r="J258" s="70"/>
      <c r="K258" s="70"/>
      <c r="L258" s="70">
        <v>100</v>
      </c>
      <c r="M258" s="70"/>
      <c r="N258" s="70"/>
      <c r="O258" s="62"/>
      <c r="P258" s="49"/>
      <c r="Q258" s="49"/>
      <c r="R258" s="49" t="s">
        <v>163</v>
      </c>
      <c r="S258" s="49"/>
      <c r="T258" s="49" t="s">
        <v>163</v>
      </c>
      <c r="U258" s="49"/>
      <c r="V258" s="49"/>
      <c r="W258" s="49"/>
      <c r="X258" s="49"/>
      <c r="Y258" s="49"/>
      <c r="Z258" s="49" t="s">
        <v>163</v>
      </c>
      <c r="AA258" s="49"/>
      <c r="AB258" s="49"/>
      <c r="AC258" s="49"/>
      <c r="AD258" s="49"/>
      <c r="AE258" s="49"/>
      <c r="AF258" s="110"/>
      <c r="AG258" s="111"/>
      <c r="AH258" s="49"/>
      <c r="AI258" s="49"/>
      <c r="AJ258" s="62" t="s">
        <v>4201</v>
      </c>
      <c r="AK258" s="49" t="s">
        <v>4202</v>
      </c>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52" t="s">
        <v>1114</v>
      </c>
      <c r="BJ258" s="127"/>
      <c r="BK258" s="126"/>
      <c r="BL258" s="62"/>
      <c r="BM258" s="62"/>
      <c r="BN258" s="147"/>
      <c r="BO258" s="49"/>
      <c r="BP258" s="49"/>
      <c r="BQ258" s="49"/>
      <c r="BR258" s="49"/>
      <c r="BS258" s="49"/>
      <c r="BT258" s="49"/>
      <c r="BU258" s="49"/>
      <c r="BV258" s="49"/>
      <c r="BW258" s="49"/>
      <c r="BX258" s="49"/>
      <c r="BY258" s="49"/>
      <c r="BZ258" s="49"/>
      <c r="CA258" s="49"/>
    </row>
    <row r="259" spans="1:79">
      <c r="A259" s="49"/>
      <c r="B259" s="49"/>
      <c r="C259" s="49"/>
      <c r="D259" s="70" t="s">
        <v>3378</v>
      </c>
      <c r="E259" s="70"/>
      <c r="F259" s="70" t="s">
        <v>4203</v>
      </c>
      <c r="G259" s="70"/>
      <c r="H259" s="70"/>
      <c r="I259" s="70"/>
      <c r="J259" s="70"/>
      <c r="K259" s="70"/>
      <c r="L259" s="70">
        <v>100</v>
      </c>
      <c r="M259" s="70"/>
      <c r="N259" s="70"/>
      <c r="O259" s="62"/>
      <c r="P259" s="49"/>
      <c r="Q259" s="49"/>
      <c r="R259" s="49" t="s">
        <v>4204</v>
      </c>
      <c r="S259" s="49"/>
      <c r="T259" s="49" t="s">
        <v>4205</v>
      </c>
      <c r="U259" s="49"/>
      <c r="V259" s="49"/>
      <c r="W259" s="49"/>
      <c r="X259" s="49"/>
      <c r="Y259" s="49"/>
      <c r="Z259" s="49" t="s">
        <v>4206</v>
      </c>
      <c r="AA259" s="49"/>
      <c r="AB259" s="49"/>
      <c r="AC259" s="49"/>
      <c r="AD259" s="49"/>
      <c r="AE259" s="49"/>
      <c r="AF259" s="110">
        <v>5</v>
      </c>
      <c r="AG259" s="111">
        <v>10</v>
      </c>
      <c r="AH259" s="49"/>
      <c r="AI259" s="49"/>
      <c r="AJ259" s="62" t="s">
        <v>4207</v>
      </c>
      <c r="AK259" s="49" t="s">
        <v>4208</v>
      </c>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t="s">
        <v>4209</v>
      </c>
      <c r="BJ259" s="118"/>
      <c r="BK259" s="128" t="s">
        <v>4210</v>
      </c>
      <c r="BL259" s="62"/>
      <c r="BM259" s="62"/>
      <c r="BN259" s="147"/>
      <c r="BO259" s="49"/>
      <c r="BP259" s="49"/>
      <c r="BQ259" s="49"/>
      <c r="BR259" s="49"/>
      <c r="BS259" s="49"/>
      <c r="BT259" s="49"/>
      <c r="BU259" s="49"/>
      <c r="BV259" s="49"/>
      <c r="BW259" s="49"/>
      <c r="BX259" s="49"/>
      <c r="BY259" s="49"/>
      <c r="BZ259" s="49"/>
      <c r="CA259" s="49"/>
    </row>
    <row r="260" spans="1:79">
      <c r="A260" s="49"/>
      <c r="B260" s="49"/>
      <c r="C260" s="49"/>
      <c r="D260" s="70" t="s">
        <v>3373</v>
      </c>
      <c r="E260" s="70"/>
      <c r="F260" s="70" t="s">
        <v>4211</v>
      </c>
      <c r="G260" s="70"/>
      <c r="H260" s="70"/>
      <c r="I260" s="70"/>
      <c r="J260" s="70"/>
      <c r="K260" s="70"/>
      <c r="L260" s="70">
        <v>100</v>
      </c>
      <c r="M260" s="70"/>
      <c r="N260" s="70"/>
      <c r="O260" s="62"/>
      <c r="P260" s="49"/>
      <c r="Q260" s="49"/>
      <c r="R260" s="49" t="s">
        <v>4204</v>
      </c>
      <c r="S260" s="49"/>
      <c r="T260" s="49" t="s">
        <v>4212</v>
      </c>
      <c r="U260" s="49"/>
      <c r="V260" s="49"/>
      <c r="W260" s="49"/>
      <c r="X260" s="49"/>
      <c r="Y260" s="49"/>
      <c r="Z260" s="49" t="s">
        <v>4206</v>
      </c>
      <c r="AA260" s="49"/>
      <c r="AB260" s="49"/>
      <c r="AC260" s="49"/>
      <c r="AD260" s="49"/>
      <c r="AE260" s="49"/>
      <c r="AF260" s="110">
        <v>10</v>
      </c>
      <c r="AG260" s="111">
        <v>100</v>
      </c>
      <c r="AH260" s="49"/>
      <c r="AI260" s="49"/>
      <c r="AJ260" s="62" t="s">
        <v>4213</v>
      </c>
      <c r="AK260" s="49" t="s">
        <v>4214</v>
      </c>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118"/>
      <c r="BJ260" s="49"/>
      <c r="BK260" s="129"/>
      <c r="BL260" s="62"/>
      <c r="BM260" s="62"/>
      <c r="BN260" s="147"/>
      <c r="BO260" s="49"/>
      <c r="BP260" s="49"/>
      <c r="BQ260" s="49"/>
      <c r="BR260" s="49"/>
      <c r="BS260" s="49"/>
      <c r="BT260" s="49"/>
      <c r="BU260" s="49"/>
      <c r="BV260" s="49"/>
      <c r="BW260" s="49"/>
      <c r="BX260" s="49"/>
      <c r="BY260" s="49"/>
      <c r="BZ260" s="49"/>
      <c r="CA260" s="49"/>
    </row>
    <row r="261" spans="1:79">
      <c r="A261" s="49"/>
      <c r="B261" s="49"/>
      <c r="C261" s="49"/>
      <c r="D261" s="70" t="s">
        <v>3367</v>
      </c>
      <c r="E261" s="70"/>
      <c r="F261" s="70" t="s">
        <v>4215</v>
      </c>
      <c r="G261" s="70"/>
      <c r="H261" s="70"/>
      <c r="I261" s="70"/>
      <c r="J261" s="70"/>
      <c r="K261" s="70"/>
      <c r="L261" s="70">
        <v>100</v>
      </c>
      <c r="M261" s="70"/>
      <c r="N261" s="70"/>
      <c r="O261" s="62"/>
      <c r="P261" s="49"/>
      <c r="Q261" s="49"/>
      <c r="R261" s="49" t="s">
        <v>4204</v>
      </c>
      <c r="S261" s="49"/>
      <c r="T261" s="49" t="s">
        <v>4216</v>
      </c>
      <c r="U261" s="49"/>
      <c r="V261" s="49"/>
      <c r="W261" s="49"/>
      <c r="X261" s="49"/>
      <c r="Y261" s="49"/>
      <c r="Z261" s="49" t="s">
        <v>4206</v>
      </c>
      <c r="AA261" s="49"/>
      <c r="AB261" s="49"/>
      <c r="AC261" s="49"/>
      <c r="AD261" s="49"/>
      <c r="AE261" s="49"/>
      <c r="AF261" s="110">
        <v>450</v>
      </c>
      <c r="AG261" s="111">
        <v>1000</v>
      </c>
      <c r="AH261" s="49"/>
      <c r="AI261" s="49"/>
      <c r="AJ261" s="62" t="s">
        <v>4217</v>
      </c>
      <c r="AK261" s="49" t="s">
        <v>4218</v>
      </c>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130"/>
      <c r="BL261" s="62"/>
      <c r="BM261" s="62"/>
      <c r="BN261" s="147"/>
      <c r="BO261" s="49"/>
      <c r="BP261" s="49"/>
      <c r="BQ261" s="49"/>
      <c r="BR261" s="49"/>
      <c r="BS261" s="49"/>
      <c r="BT261" s="49"/>
      <c r="BU261" s="49"/>
      <c r="BV261" s="49"/>
      <c r="BW261" s="49"/>
      <c r="BX261" s="49"/>
      <c r="BY261" s="49"/>
      <c r="BZ261" s="49"/>
      <c r="CA261" s="49"/>
    </row>
    <row r="262" spans="1:79">
      <c r="A262" s="49"/>
      <c r="B262" s="49"/>
      <c r="C262" s="49"/>
      <c r="D262" s="70" t="s">
        <v>3188</v>
      </c>
      <c r="E262" s="70"/>
      <c r="F262" s="70" t="s">
        <v>4219</v>
      </c>
      <c r="G262" s="70"/>
      <c r="H262" s="70"/>
      <c r="I262" s="70"/>
      <c r="J262" s="70"/>
      <c r="K262" s="70"/>
      <c r="L262" s="70">
        <v>100</v>
      </c>
      <c r="M262" s="70"/>
      <c r="N262" s="70"/>
      <c r="O262" s="62"/>
      <c r="P262" s="49"/>
      <c r="Q262" s="49"/>
      <c r="R262" s="49" t="s">
        <v>163</v>
      </c>
      <c r="S262" s="49"/>
      <c r="T262" s="49" t="s">
        <v>163</v>
      </c>
      <c r="U262" s="49"/>
      <c r="V262" s="49"/>
      <c r="W262" s="49"/>
      <c r="X262" s="49"/>
      <c r="Y262" s="49"/>
      <c r="Z262" s="49" t="s">
        <v>163</v>
      </c>
      <c r="AA262" s="49"/>
      <c r="AB262" s="49"/>
      <c r="AC262" s="49"/>
      <c r="AD262" s="49"/>
      <c r="AE262" s="49"/>
      <c r="AF262" s="110"/>
      <c r="AG262" s="111"/>
      <c r="AH262" s="49"/>
      <c r="AI262" s="49"/>
      <c r="AJ262" s="62" t="s">
        <v>4220</v>
      </c>
      <c r="AK262" s="49" t="s">
        <v>4221</v>
      </c>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t="s">
        <v>4222</v>
      </c>
      <c r="BJ262" s="49"/>
      <c r="BK262" s="49" t="s">
        <v>4223</v>
      </c>
      <c r="BL262" s="49"/>
      <c r="BM262" s="49"/>
      <c r="BN262" s="147"/>
      <c r="BO262" s="49"/>
      <c r="BP262" s="49"/>
      <c r="BQ262" s="49"/>
      <c r="BR262" s="49"/>
      <c r="BS262" s="49"/>
      <c r="BT262" s="49"/>
      <c r="BU262" s="49"/>
      <c r="BV262" s="49"/>
      <c r="BW262" s="49"/>
      <c r="BX262" s="49"/>
      <c r="BY262" s="49"/>
      <c r="BZ262" s="49"/>
      <c r="CA262" s="49"/>
    </row>
    <row r="263" spans="1:79">
      <c r="A263" s="49"/>
      <c r="B263" s="49"/>
      <c r="C263" s="49"/>
      <c r="D263" s="70" t="s">
        <v>3179</v>
      </c>
      <c r="E263" s="70"/>
      <c r="F263" s="70" t="s">
        <v>4224</v>
      </c>
      <c r="G263" s="70"/>
      <c r="H263" s="70"/>
      <c r="I263" s="70"/>
      <c r="J263" s="70"/>
      <c r="K263" s="70"/>
      <c r="L263" s="70">
        <v>50</v>
      </c>
      <c r="M263" s="70"/>
      <c r="N263" s="70"/>
      <c r="O263" s="62"/>
      <c r="P263" s="49"/>
      <c r="Q263" s="49"/>
      <c r="R263" s="49" t="s">
        <v>4225</v>
      </c>
      <c r="S263" s="49"/>
      <c r="T263" s="49" t="s">
        <v>4226</v>
      </c>
      <c r="U263" s="49"/>
      <c r="V263" s="49"/>
      <c r="W263" s="49"/>
      <c r="X263" s="49"/>
      <c r="Y263" s="49"/>
      <c r="Z263" s="49" t="s">
        <v>4227</v>
      </c>
      <c r="AA263" s="49"/>
      <c r="AB263" s="49"/>
      <c r="AC263" s="49"/>
      <c r="AD263" s="49"/>
      <c r="AE263" s="49"/>
      <c r="AF263" s="110">
        <v>5</v>
      </c>
      <c r="AG263" s="111">
        <v>10</v>
      </c>
      <c r="AH263" s="49"/>
      <c r="AI263" s="49"/>
      <c r="AJ263" s="62" t="s">
        <v>4228</v>
      </c>
      <c r="AK263" s="49" t="s">
        <v>4229</v>
      </c>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52" t="s">
        <v>4230</v>
      </c>
      <c r="BJ263" s="117"/>
      <c r="BK263" s="108" t="s">
        <v>243</v>
      </c>
      <c r="BL263" s="65" t="s">
        <v>1297</v>
      </c>
      <c r="BM263" s="65" t="s">
        <v>1091</v>
      </c>
      <c r="BN263" s="65" t="s">
        <v>4231</v>
      </c>
      <c r="BO263" s="49"/>
      <c r="BP263" s="49"/>
      <c r="BQ263" s="49"/>
      <c r="BR263" s="49"/>
      <c r="BS263" s="49"/>
      <c r="BT263" s="49"/>
      <c r="BU263" s="49"/>
      <c r="BV263" s="49"/>
      <c r="BW263" s="49"/>
      <c r="BX263" s="49"/>
      <c r="BY263" s="49"/>
      <c r="BZ263" s="49"/>
      <c r="CA263" s="49"/>
    </row>
    <row r="264" spans="1:79">
      <c r="A264" s="49"/>
      <c r="B264" s="49"/>
      <c r="C264" s="49"/>
      <c r="D264" s="70" t="s">
        <v>3171</v>
      </c>
      <c r="E264" s="70"/>
      <c r="F264" s="70" t="s">
        <v>4232</v>
      </c>
      <c r="G264" s="70"/>
      <c r="H264" s="70"/>
      <c r="I264" s="70"/>
      <c r="J264" s="70"/>
      <c r="K264" s="70"/>
      <c r="L264" s="70">
        <v>50</v>
      </c>
      <c r="M264" s="70"/>
      <c r="N264" s="70"/>
      <c r="O264" s="62"/>
      <c r="P264" s="49"/>
      <c r="Q264" s="49"/>
      <c r="R264" s="49" t="s">
        <v>4225</v>
      </c>
      <c r="S264" s="49"/>
      <c r="T264" s="49" t="s">
        <v>4233</v>
      </c>
      <c r="U264" s="49"/>
      <c r="V264" s="49"/>
      <c r="W264" s="49"/>
      <c r="X264" s="49"/>
      <c r="Y264" s="49"/>
      <c r="Z264" s="49" t="s">
        <v>4227</v>
      </c>
      <c r="AA264" s="49"/>
      <c r="AB264" s="49"/>
      <c r="AC264" s="49"/>
      <c r="AD264" s="49"/>
      <c r="AE264" s="49"/>
      <c r="AF264" s="110">
        <v>10</v>
      </c>
      <c r="AG264" s="111">
        <v>100</v>
      </c>
      <c r="AH264" s="49"/>
      <c r="AI264" s="49"/>
      <c r="AJ264" s="62" t="s">
        <v>4234</v>
      </c>
      <c r="AK264" s="49" t="s">
        <v>4235</v>
      </c>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t="s">
        <v>4236</v>
      </c>
      <c r="BJ264" s="118"/>
      <c r="BK264" s="119">
        <v>1</v>
      </c>
      <c r="BL264" s="62" t="s">
        <v>4237</v>
      </c>
      <c r="BM264" s="62">
        <v>12500</v>
      </c>
      <c r="BN264" s="62">
        <v>2000</v>
      </c>
      <c r="BO264" s="49"/>
      <c r="BP264" s="49"/>
      <c r="BQ264" s="49"/>
      <c r="BR264" s="49"/>
      <c r="BS264" s="49"/>
      <c r="BT264" s="49"/>
      <c r="BU264" s="49"/>
      <c r="BV264" s="49"/>
      <c r="BW264" s="49"/>
      <c r="BX264" s="49"/>
      <c r="BY264" s="49"/>
      <c r="BZ264" s="49"/>
      <c r="CA264" s="49"/>
    </row>
    <row r="265" spans="1:79">
      <c r="A265" s="49"/>
      <c r="B265" s="49"/>
      <c r="C265" s="49"/>
      <c r="D265" s="70" t="s">
        <v>3339</v>
      </c>
      <c r="E265" s="70"/>
      <c r="F265" s="70" t="s">
        <v>4238</v>
      </c>
      <c r="G265" s="70"/>
      <c r="H265" s="70"/>
      <c r="I265" s="70"/>
      <c r="J265" s="70"/>
      <c r="K265" s="70"/>
      <c r="L265" s="70">
        <v>100</v>
      </c>
      <c r="M265" s="70"/>
      <c r="N265" s="70"/>
      <c r="O265" s="62"/>
      <c r="P265" s="49"/>
      <c r="Q265" s="49"/>
      <c r="R265" s="49" t="s">
        <v>4225</v>
      </c>
      <c r="S265" s="49"/>
      <c r="T265" s="49" t="s">
        <v>4239</v>
      </c>
      <c r="U265" s="49"/>
      <c r="V265" s="49"/>
      <c r="W265" s="49"/>
      <c r="X265" s="49"/>
      <c r="Y265" s="49"/>
      <c r="Z265" s="49" t="s">
        <v>4227</v>
      </c>
      <c r="AA265" s="49"/>
      <c r="AB265" s="49"/>
      <c r="AC265" s="49"/>
      <c r="AD265" s="49"/>
      <c r="AE265" s="49"/>
      <c r="AF265" s="110">
        <v>20</v>
      </c>
      <c r="AG265" s="111">
        <v>1000</v>
      </c>
      <c r="AH265" s="49"/>
      <c r="AI265" s="49"/>
      <c r="AJ265" s="62" t="s">
        <v>4240</v>
      </c>
      <c r="AK265" s="49" t="s">
        <v>4241</v>
      </c>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60" t="s">
        <v>4242</v>
      </c>
      <c r="BJ265" s="125"/>
      <c r="BK265" s="126"/>
      <c r="BL265" s="62"/>
      <c r="BM265" s="62"/>
      <c r="BN265" s="49"/>
      <c r="BO265" s="49"/>
      <c r="BP265" s="49"/>
      <c r="BQ265" s="49"/>
      <c r="BR265" s="49"/>
      <c r="BS265" s="49"/>
      <c r="BT265" s="49"/>
      <c r="BU265" s="49"/>
      <c r="BV265" s="49"/>
      <c r="BW265" s="49"/>
      <c r="BX265" s="49"/>
      <c r="BY265" s="49"/>
      <c r="BZ265" s="49"/>
      <c r="CA265" s="49"/>
    </row>
    <row r="266" spans="1:79">
      <c r="A266" s="49"/>
      <c r="B266" s="49"/>
      <c r="C266" s="49"/>
      <c r="D266" s="70" t="s">
        <v>3349</v>
      </c>
      <c r="E266" s="70"/>
      <c r="F266" s="70" t="s">
        <v>4243</v>
      </c>
      <c r="G266" s="70"/>
      <c r="H266" s="70"/>
      <c r="I266" s="70"/>
      <c r="J266" s="70"/>
      <c r="K266" s="70"/>
      <c r="L266" s="70">
        <v>100</v>
      </c>
      <c r="M266" s="70"/>
      <c r="N266" s="70"/>
      <c r="O266" s="62"/>
      <c r="P266" s="49"/>
      <c r="Q266" s="49"/>
      <c r="R266" s="49" t="s">
        <v>163</v>
      </c>
      <c r="S266" s="49"/>
      <c r="T266" s="49" t="s">
        <v>163</v>
      </c>
      <c r="U266" s="49"/>
      <c r="V266" s="49"/>
      <c r="W266" s="49"/>
      <c r="X266" s="49"/>
      <c r="Y266" s="49"/>
      <c r="Z266" s="49" t="s">
        <v>163</v>
      </c>
      <c r="AA266" s="49"/>
      <c r="AB266" s="49"/>
      <c r="AC266" s="49"/>
      <c r="AD266" s="49"/>
      <c r="AE266" s="49"/>
      <c r="AF266" s="110"/>
      <c r="AG266" s="111"/>
      <c r="AH266" s="49"/>
      <c r="AI266" s="49"/>
      <c r="AJ266" s="62" t="s">
        <v>4244</v>
      </c>
      <c r="AK266" s="49" t="s">
        <v>4245</v>
      </c>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52" t="s">
        <v>1223</v>
      </c>
      <c r="BJ266" s="127"/>
      <c r="BK266" s="126"/>
      <c r="BL266" s="62"/>
      <c r="BM266" s="62"/>
      <c r="BN266" s="49"/>
      <c r="BO266" s="49"/>
      <c r="BP266" s="49"/>
      <c r="BQ266" s="49"/>
      <c r="BR266" s="49"/>
      <c r="BS266" s="49"/>
      <c r="BT266" s="49"/>
      <c r="BU266" s="49"/>
      <c r="BV266" s="49"/>
      <c r="BW266" s="49"/>
      <c r="BX266" s="49"/>
      <c r="BY266" s="49"/>
      <c r="BZ266" s="49"/>
      <c r="CA266" s="49"/>
    </row>
    <row r="267" spans="1:79">
      <c r="A267" s="49"/>
      <c r="B267" s="49"/>
      <c r="C267" s="49"/>
      <c r="D267" s="70" t="s">
        <v>3362</v>
      </c>
      <c r="E267" s="70"/>
      <c r="F267" s="70" t="s">
        <v>4246</v>
      </c>
      <c r="G267" s="70"/>
      <c r="H267" s="70"/>
      <c r="I267" s="70"/>
      <c r="J267" s="70"/>
      <c r="K267" s="70"/>
      <c r="L267" s="70">
        <v>100</v>
      </c>
      <c r="M267" s="70"/>
      <c r="N267" s="70"/>
      <c r="O267" s="62"/>
      <c r="P267" s="49"/>
      <c r="Q267" s="49"/>
      <c r="R267" s="49" t="s">
        <v>4247</v>
      </c>
      <c r="S267" s="49"/>
      <c r="T267" s="49" t="s">
        <v>4248</v>
      </c>
      <c r="U267" s="49"/>
      <c r="V267" s="49"/>
      <c r="W267" s="49"/>
      <c r="X267" s="49"/>
      <c r="Y267" s="49"/>
      <c r="Z267" s="49" t="s">
        <v>4249</v>
      </c>
      <c r="AA267" s="49"/>
      <c r="AB267" s="49"/>
      <c r="AC267" s="49"/>
      <c r="AD267" s="49"/>
      <c r="AE267" s="49"/>
      <c r="AF267" s="110">
        <v>5</v>
      </c>
      <c r="AG267" s="111">
        <v>10</v>
      </c>
      <c r="AH267" s="49"/>
      <c r="AI267" s="49"/>
      <c r="AJ267" s="62" t="s">
        <v>4250</v>
      </c>
      <c r="AK267" s="49" t="s">
        <v>4251</v>
      </c>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t="s">
        <v>4209</v>
      </c>
      <c r="BJ267" s="118"/>
      <c r="BK267" s="131" t="s">
        <v>4252</v>
      </c>
      <c r="BL267" s="62"/>
      <c r="BM267" s="62"/>
      <c r="BN267" s="49"/>
      <c r="BO267" s="49"/>
      <c r="BP267" s="49"/>
      <c r="BQ267" s="49"/>
      <c r="BR267" s="49"/>
      <c r="BS267" s="49"/>
      <c r="BT267" s="49"/>
      <c r="BU267" s="49"/>
      <c r="BV267" s="49"/>
      <c r="BW267" s="49"/>
      <c r="BX267" s="49"/>
      <c r="BY267" s="49"/>
      <c r="BZ267" s="49"/>
      <c r="CA267" s="49"/>
    </row>
    <row r="268" spans="1:79">
      <c r="A268" s="49"/>
      <c r="B268" s="49"/>
      <c r="C268" s="49"/>
      <c r="D268" s="70" t="s">
        <v>3354</v>
      </c>
      <c r="E268" s="70"/>
      <c r="F268" s="70" t="s">
        <v>4253</v>
      </c>
      <c r="G268" s="70"/>
      <c r="H268" s="70"/>
      <c r="I268" s="70"/>
      <c r="J268" s="70"/>
      <c r="K268" s="70"/>
      <c r="L268" s="70">
        <v>100</v>
      </c>
      <c r="M268" s="70"/>
      <c r="N268" s="70"/>
      <c r="O268" s="62"/>
      <c r="P268" s="49"/>
      <c r="Q268" s="49"/>
      <c r="R268" s="49" t="s">
        <v>4247</v>
      </c>
      <c r="S268" s="49"/>
      <c r="T268" s="49" t="s">
        <v>4254</v>
      </c>
      <c r="U268" s="49"/>
      <c r="V268" s="49"/>
      <c r="W268" s="49"/>
      <c r="X268" s="49"/>
      <c r="Y268" s="49"/>
      <c r="Z268" s="49" t="s">
        <v>4249</v>
      </c>
      <c r="AA268" s="49"/>
      <c r="AB268" s="49"/>
      <c r="AC268" s="49"/>
      <c r="AD268" s="49"/>
      <c r="AE268" s="49"/>
      <c r="AF268" s="110">
        <v>10</v>
      </c>
      <c r="AG268" s="111">
        <v>100</v>
      </c>
      <c r="AH268" s="49"/>
      <c r="AI268" s="49"/>
      <c r="AJ268" s="62" t="s">
        <v>4255</v>
      </c>
      <c r="AK268" s="49" t="s">
        <v>4256</v>
      </c>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row>
    <row r="269" spans="1:79">
      <c r="A269" s="49"/>
      <c r="B269" s="49"/>
      <c r="C269" s="49"/>
      <c r="D269" s="70" t="s">
        <v>4257</v>
      </c>
      <c r="E269" s="70"/>
      <c r="F269" s="70" t="s">
        <v>4258</v>
      </c>
      <c r="G269" s="70"/>
      <c r="H269" s="70"/>
      <c r="I269" s="70"/>
      <c r="J269" s="70"/>
      <c r="K269" s="70"/>
      <c r="L269" s="70">
        <v>100</v>
      </c>
      <c r="M269" s="70"/>
      <c r="N269" s="70"/>
      <c r="O269" s="62"/>
      <c r="P269" s="49"/>
      <c r="Q269" s="49"/>
      <c r="R269" s="49" t="s">
        <v>4247</v>
      </c>
      <c r="S269" s="49"/>
      <c r="T269" s="49" t="s">
        <v>4259</v>
      </c>
      <c r="U269" s="49"/>
      <c r="V269" s="49"/>
      <c r="W269" s="49"/>
      <c r="X269" s="49"/>
      <c r="Y269" s="49"/>
      <c r="Z269" s="49" t="s">
        <v>4249</v>
      </c>
      <c r="AA269" s="49"/>
      <c r="AB269" s="49"/>
      <c r="AC269" s="49"/>
      <c r="AD269" s="49"/>
      <c r="AE269" s="49"/>
      <c r="AF269" s="110">
        <v>20</v>
      </c>
      <c r="AG269" s="111">
        <v>1000</v>
      </c>
      <c r="AH269" s="49"/>
      <c r="AI269" s="49"/>
      <c r="AJ269" s="62" t="s">
        <v>4260</v>
      </c>
      <c r="AK269" s="49" t="s">
        <v>4261</v>
      </c>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row>
    <row r="270" spans="1:79">
      <c r="A270" s="49"/>
      <c r="B270" s="49"/>
      <c r="C270" s="49"/>
      <c r="D270" s="70" t="s">
        <v>3215</v>
      </c>
      <c r="E270" s="70"/>
      <c r="F270" s="70" t="s">
        <v>4262</v>
      </c>
      <c r="G270" s="70"/>
      <c r="H270" s="70"/>
      <c r="I270" s="70"/>
      <c r="J270" s="70"/>
      <c r="K270" s="70"/>
      <c r="L270" s="70">
        <v>100</v>
      </c>
      <c r="M270" s="70"/>
      <c r="N270" s="70"/>
      <c r="O270" s="62"/>
      <c r="P270" s="49"/>
      <c r="Q270" s="49"/>
      <c r="R270" s="49" t="s">
        <v>163</v>
      </c>
      <c r="S270" s="49"/>
      <c r="T270" s="49" t="s">
        <v>163</v>
      </c>
      <c r="U270" s="49"/>
      <c r="V270" s="49"/>
      <c r="W270" s="49"/>
      <c r="X270" s="49"/>
      <c r="Y270" s="49"/>
      <c r="Z270" s="49" t="s">
        <v>163</v>
      </c>
      <c r="AA270" s="49"/>
      <c r="AB270" s="49"/>
      <c r="AC270" s="49"/>
      <c r="AD270" s="49"/>
      <c r="AE270" s="49"/>
      <c r="AF270" s="110"/>
      <c r="AG270" s="111"/>
      <c r="AH270" s="49"/>
      <c r="AI270" s="49"/>
      <c r="AJ270" s="62" t="s">
        <v>4263</v>
      </c>
      <c r="AK270" s="49" t="s">
        <v>4264</v>
      </c>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row>
    <row r="271" spans="1:79">
      <c r="A271" s="49"/>
      <c r="B271" s="49"/>
      <c r="C271" s="49"/>
      <c r="D271" s="70" t="s">
        <v>3208</v>
      </c>
      <c r="E271" s="70"/>
      <c r="F271" s="70" t="s">
        <v>4265</v>
      </c>
      <c r="G271" s="70"/>
      <c r="H271" s="70"/>
      <c r="I271" s="70"/>
      <c r="J271" s="70"/>
      <c r="K271" s="70"/>
      <c r="L271" s="70">
        <v>100</v>
      </c>
      <c r="M271" s="70"/>
      <c r="N271" s="70"/>
      <c r="O271" s="62"/>
      <c r="P271" s="49"/>
      <c r="Q271" s="49"/>
      <c r="R271" s="49" t="s">
        <v>4266</v>
      </c>
      <c r="S271" s="49"/>
      <c r="T271" s="49" t="s">
        <v>4267</v>
      </c>
      <c r="U271" s="49"/>
      <c r="V271" s="49"/>
      <c r="W271" s="49"/>
      <c r="X271" s="49"/>
      <c r="Y271" s="49"/>
      <c r="Z271" s="49" t="s">
        <v>4268</v>
      </c>
      <c r="AA271" s="49"/>
      <c r="AB271" s="49"/>
      <c r="AC271" s="49"/>
      <c r="AD271" s="49"/>
      <c r="AE271" s="49"/>
      <c r="AF271" s="110">
        <v>5</v>
      </c>
      <c r="AG271" s="111">
        <v>10</v>
      </c>
      <c r="AH271" s="49"/>
      <c r="AI271" s="49"/>
      <c r="AJ271" s="62" t="s">
        <v>4269</v>
      </c>
      <c r="AK271" s="49" t="s">
        <v>4270</v>
      </c>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t="s">
        <v>4271</v>
      </c>
      <c r="BJ271" s="49"/>
      <c r="BK271" s="49" t="s">
        <v>4272</v>
      </c>
      <c r="BL271" s="49"/>
      <c r="BM271" s="49"/>
      <c r="BN271" s="49"/>
      <c r="BO271" s="49"/>
      <c r="BP271" s="49"/>
      <c r="BQ271" s="49"/>
      <c r="BR271" s="49"/>
      <c r="BS271" s="49"/>
      <c r="BT271" s="49"/>
      <c r="BU271" s="49"/>
      <c r="BV271" s="49"/>
      <c r="BW271" s="49"/>
      <c r="BX271" s="49"/>
      <c r="BY271" s="49"/>
      <c r="BZ271" s="49"/>
      <c r="CA271" s="49"/>
    </row>
    <row r="272" spans="1:79">
      <c r="A272" s="49"/>
      <c r="B272" s="49"/>
      <c r="C272" s="49"/>
      <c r="D272" s="70" t="s">
        <v>3284</v>
      </c>
      <c r="E272" s="70"/>
      <c r="F272" s="70" t="s">
        <v>4273</v>
      </c>
      <c r="G272" s="70"/>
      <c r="H272" s="70"/>
      <c r="I272" s="70"/>
      <c r="J272" s="70"/>
      <c r="K272" s="70"/>
      <c r="L272" s="70">
        <v>100</v>
      </c>
      <c r="M272" s="70"/>
      <c r="N272" s="70"/>
      <c r="O272" s="62"/>
      <c r="P272" s="49"/>
      <c r="Q272" s="49"/>
      <c r="R272" s="49" t="s">
        <v>4266</v>
      </c>
      <c r="S272" s="49"/>
      <c r="T272" s="49" t="s">
        <v>4274</v>
      </c>
      <c r="U272" s="49"/>
      <c r="V272" s="49"/>
      <c r="W272" s="49"/>
      <c r="X272" s="49"/>
      <c r="Y272" s="49"/>
      <c r="Z272" s="49" t="s">
        <v>4268</v>
      </c>
      <c r="AA272" s="49"/>
      <c r="AB272" s="49"/>
      <c r="AC272" s="49"/>
      <c r="AD272" s="49"/>
      <c r="AE272" s="49"/>
      <c r="AF272" s="110">
        <v>10</v>
      </c>
      <c r="AG272" s="111">
        <v>100</v>
      </c>
      <c r="AH272" s="49"/>
      <c r="AI272" s="49"/>
      <c r="AJ272" s="62" t="s">
        <v>4275</v>
      </c>
      <c r="AK272" s="49" t="s">
        <v>4276</v>
      </c>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52" t="s">
        <v>4230</v>
      </c>
      <c r="BJ272" s="117"/>
      <c r="BK272" s="108" t="s">
        <v>243</v>
      </c>
      <c r="BL272" s="65" t="s">
        <v>4277</v>
      </c>
      <c r="BM272" s="65" t="s">
        <v>1091</v>
      </c>
      <c r="BN272" s="65" t="s">
        <v>4231</v>
      </c>
      <c r="BO272" s="49"/>
      <c r="BP272" s="49"/>
      <c r="BQ272" s="49"/>
      <c r="BR272" s="49"/>
      <c r="BS272" s="49"/>
      <c r="BT272" s="49"/>
      <c r="BU272" s="49"/>
      <c r="BV272" s="49"/>
      <c r="BW272" s="49"/>
      <c r="BX272" s="49"/>
      <c r="BY272" s="49"/>
      <c r="BZ272" s="49"/>
      <c r="CA272" s="49"/>
    </row>
    <row r="273" spans="1:79">
      <c r="A273" s="49"/>
      <c r="B273" s="49"/>
      <c r="C273" s="49"/>
      <c r="D273" s="70" t="s">
        <v>3280</v>
      </c>
      <c r="E273" s="70"/>
      <c r="F273" s="70" t="s">
        <v>4278</v>
      </c>
      <c r="G273" s="70"/>
      <c r="H273" s="70"/>
      <c r="I273" s="70"/>
      <c r="J273" s="70"/>
      <c r="K273" s="70"/>
      <c r="L273" s="70">
        <v>100</v>
      </c>
      <c r="M273" s="70"/>
      <c r="N273" s="70"/>
      <c r="O273" s="62"/>
      <c r="P273" s="49"/>
      <c r="Q273" s="49"/>
      <c r="R273" s="49" t="s">
        <v>4266</v>
      </c>
      <c r="S273" s="49"/>
      <c r="T273" s="49" t="s">
        <v>4279</v>
      </c>
      <c r="U273" s="49"/>
      <c r="V273" s="49"/>
      <c r="W273" s="49"/>
      <c r="X273" s="49"/>
      <c r="Y273" s="49"/>
      <c r="Z273" s="49" t="s">
        <v>4268</v>
      </c>
      <c r="AA273" s="49"/>
      <c r="AB273" s="49"/>
      <c r="AC273" s="49"/>
      <c r="AD273" s="49"/>
      <c r="AE273" s="49"/>
      <c r="AF273" s="110">
        <v>50</v>
      </c>
      <c r="AG273" s="111">
        <v>1000</v>
      </c>
      <c r="AH273" s="49"/>
      <c r="AI273" s="49"/>
      <c r="AJ273" s="62" t="s">
        <v>4280</v>
      </c>
      <c r="AK273" s="49" t="s">
        <v>4281</v>
      </c>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t="s">
        <v>4236</v>
      </c>
      <c r="BJ273" s="118"/>
      <c r="BK273" s="119">
        <v>1</v>
      </c>
      <c r="BL273" s="62" t="s">
        <v>1476</v>
      </c>
      <c r="BM273" s="62">
        <v>12500</v>
      </c>
      <c r="BN273" s="62">
        <v>2500</v>
      </c>
      <c r="BO273" s="49"/>
      <c r="BP273" s="49"/>
      <c r="BQ273" s="49"/>
      <c r="BR273" s="49"/>
      <c r="BS273" s="49"/>
      <c r="BT273" s="49"/>
      <c r="BU273" s="49"/>
      <c r="BV273" s="49"/>
      <c r="BW273" s="49"/>
      <c r="BX273" s="49"/>
      <c r="BY273" s="49"/>
      <c r="BZ273" s="49"/>
      <c r="CA273" s="49"/>
    </row>
    <row r="274" spans="1:79">
      <c r="A274" s="49"/>
      <c r="B274" s="49"/>
      <c r="C274" s="49"/>
      <c r="D274" s="70" t="s">
        <v>3320</v>
      </c>
      <c r="E274" s="70"/>
      <c r="F274" s="70" t="s">
        <v>4282</v>
      </c>
      <c r="G274" s="70"/>
      <c r="H274" s="70"/>
      <c r="I274" s="70"/>
      <c r="J274" s="70"/>
      <c r="K274" s="70"/>
      <c r="L274" s="70">
        <v>100</v>
      </c>
      <c r="M274" s="70"/>
      <c r="N274" s="70"/>
      <c r="O274" s="62"/>
      <c r="P274" s="49"/>
      <c r="Q274" s="49"/>
      <c r="R274" s="49" t="s">
        <v>163</v>
      </c>
      <c r="S274" s="49"/>
      <c r="T274" s="49" t="s">
        <v>163</v>
      </c>
      <c r="U274" s="49"/>
      <c r="V274" s="49"/>
      <c r="W274" s="49"/>
      <c r="X274" s="49"/>
      <c r="Y274" s="49"/>
      <c r="Z274" s="49" t="s">
        <v>163</v>
      </c>
      <c r="AA274" s="49"/>
      <c r="AB274" s="49"/>
      <c r="AC274" s="49"/>
      <c r="AD274" s="49"/>
      <c r="AE274" s="49"/>
      <c r="AF274" s="110"/>
      <c r="AG274" s="111"/>
      <c r="AH274" s="49"/>
      <c r="AI274" s="49"/>
      <c r="AJ274" s="62" t="s">
        <v>4283</v>
      </c>
      <c r="AK274" s="49" t="s">
        <v>4284</v>
      </c>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60" t="s">
        <v>4285</v>
      </c>
      <c r="BJ274" s="125"/>
      <c r="BK274" s="126"/>
      <c r="BL274" s="62"/>
      <c r="BM274" s="62"/>
      <c r="BN274" s="49"/>
      <c r="BO274" s="49"/>
      <c r="BP274" s="49"/>
      <c r="BQ274" s="49"/>
      <c r="BR274" s="49"/>
      <c r="BS274" s="49"/>
      <c r="BT274" s="49"/>
      <c r="BU274" s="49"/>
      <c r="BV274" s="49"/>
      <c r="BW274" s="49"/>
      <c r="BX274" s="49"/>
      <c r="BY274" s="49"/>
      <c r="BZ274" s="49"/>
      <c r="CA274" s="49"/>
    </row>
    <row r="275" spans="1:79">
      <c r="A275" s="49"/>
      <c r="B275" s="49"/>
      <c r="C275" s="49"/>
      <c r="D275" s="70" t="s">
        <v>3313</v>
      </c>
      <c r="E275" s="70"/>
      <c r="F275" s="70" t="s">
        <v>4286</v>
      </c>
      <c r="G275" s="70"/>
      <c r="H275" s="70"/>
      <c r="I275" s="70"/>
      <c r="J275" s="70"/>
      <c r="K275" s="70"/>
      <c r="L275" s="70">
        <v>100</v>
      </c>
      <c r="M275" s="70"/>
      <c r="N275" s="70"/>
      <c r="O275" s="62"/>
      <c r="P275" s="49"/>
      <c r="Q275" s="49"/>
      <c r="R275" s="49" t="s">
        <v>4287</v>
      </c>
      <c r="S275" s="49"/>
      <c r="T275" s="49" t="s">
        <v>4288</v>
      </c>
      <c r="U275" s="49"/>
      <c r="V275" s="49"/>
      <c r="W275" s="49"/>
      <c r="X275" s="49"/>
      <c r="Y275" s="49"/>
      <c r="Z275" s="49" t="s">
        <v>4289</v>
      </c>
      <c r="AA275" s="49"/>
      <c r="AB275" s="49"/>
      <c r="AC275" s="49"/>
      <c r="AD275" s="49"/>
      <c r="AE275" s="49"/>
      <c r="AF275" s="110">
        <v>5</v>
      </c>
      <c r="AG275" s="111">
        <v>10</v>
      </c>
      <c r="AH275" s="49"/>
      <c r="AI275" s="49"/>
      <c r="AJ275" s="62" t="s">
        <v>4290</v>
      </c>
      <c r="AK275" s="49" t="s">
        <v>4291</v>
      </c>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52" t="s">
        <v>1223</v>
      </c>
      <c r="BJ275" s="127"/>
      <c r="BK275" s="131" t="s">
        <v>4292</v>
      </c>
      <c r="BL275" s="62"/>
      <c r="BM275" s="62"/>
      <c r="BN275" s="49"/>
      <c r="BO275" s="49"/>
      <c r="BP275" s="49"/>
      <c r="BQ275" s="49"/>
      <c r="BR275" s="49"/>
      <c r="BS275" s="49"/>
      <c r="BT275" s="49"/>
      <c r="BU275" s="49"/>
      <c r="BV275" s="49"/>
      <c r="BW275" s="49"/>
      <c r="BX275" s="49"/>
      <c r="BY275" s="49"/>
      <c r="BZ275" s="49"/>
      <c r="CA275" s="49"/>
    </row>
    <row r="276" spans="1:79">
      <c r="A276" s="49"/>
      <c r="B276" s="49"/>
      <c r="C276" s="49"/>
      <c r="D276" s="70" t="s">
        <v>3307</v>
      </c>
      <c r="E276" s="70"/>
      <c r="F276" s="70" t="s">
        <v>4293</v>
      </c>
      <c r="G276" s="70"/>
      <c r="H276" s="70"/>
      <c r="I276" s="70"/>
      <c r="J276" s="70"/>
      <c r="K276" s="70"/>
      <c r="L276" s="70">
        <v>100</v>
      </c>
      <c r="M276" s="70"/>
      <c r="N276" s="70"/>
      <c r="O276" s="62"/>
      <c r="P276" s="49"/>
      <c r="Q276" s="49"/>
      <c r="R276" s="49" t="s">
        <v>4287</v>
      </c>
      <c r="S276" s="49"/>
      <c r="T276" s="49" t="s">
        <v>4294</v>
      </c>
      <c r="U276" s="49"/>
      <c r="V276" s="49"/>
      <c r="W276" s="49"/>
      <c r="X276" s="49"/>
      <c r="Y276" s="49"/>
      <c r="Z276" s="49" t="s">
        <v>4289</v>
      </c>
      <c r="AA276" s="49"/>
      <c r="AB276" s="49"/>
      <c r="AC276" s="49"/>
      <c r="AD276" s="49"/>
      <c r="AE276" s="49"/>
      <c r="AF276" s="110">
        <v>10</v>
      </c>
      <c r="AG276" s="111">
        <v>100</v>
      </c>
      <c r="AH276" s="49"/>
      <c r="AI276" s="49"/>
      <c r="AJ276" s="62" t="s">
        <v>4295</v>
      </c>
      <c r="AK276" s="49" t="s">
        <v>4296</v>
      </c>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t="s">
        <v>4209</v>
      </c>
      <c r="BJ276" s="118"/>
      <c r="BK276" s="132" t="s">
        <v>4297</v>
      </c>
      <c r="BL276" s="62"/>
      <c r="BM276" s="62"/>
      <c r="BN276" s="49"/>
      <c r="BO276" s="49"/>
      <c r="BP276" s="49"/>
      <c r="BQ276" s="49"/>
      <c r="BR276" s="49"/>
      <c r="BS276" s="49"/>
      <c r="BT276" s="49"/>
      <c r="BU276" s="49"/>
      <c r="BV276" s="49"/>
      <c r="BW276" s="49"/>
      <c r="BX276" s="49"/>
      <c r="BY276" s="49"/>
      <c r="BZ276" s="49"/>
      <c r="CA276" s="49"/>
    </row>
    <row r="277" spans="1:79">
      <c r="A277" s="49"/>
      <c r="B277" s="49"/>
      <c r="C277" s="49"/>
      <c r="D277" s="70" t="s">
        <v>3300</v>
      </c>
      <c r="E277" s="70"/>
      <c r="F277" s="70" t="s">
        <v>4298</v>
      </c>
      <c r="G277" s="70"/>
      <c r="H277" s="70"/>
      <c r="I277" s="70"/>
      <c r="J277" s="70"/>
      <c r="K277" s="70"/>
      <c r="L277" s="70">
        <v>100</v>
      </c>
      <c r="M277" s="70"/>
      <c r="N277" s="70"/>
      <c r="O277" s="62"/>
      <c r="P277" s="49"/>
      <c r="Q277" s="49"/>
      <c r="R277" s="49" t="s">
        <v>4287</v>
      </c>
      <c r="S277" s="49"/>
      <c r="T277" s="49" t="s">
        <v>4299</v>
      </c>
      <c r="U277" s="49"/>
      <c r="V277" s="49"/>
      <c r="W277" s="49"/>
      <c r="X277" s="49"/>
      <c r="Y277" s="49"/>
      <c r="Z277" s="49" t="s">
        <v>4289</v>
      </c>
      <c r="AA277" s="49"/>
      <c r="AB277" s="49"/>
      <c r="AC277" s="49"/>
      <c r="AD277" s="49"/>
      <c r="AE277" s="49"/>
      <c r="AF277" s="110">
        <v>30</v>
      </c>
      <c r="AG277" s="111">
        <v>1000</v>
      </c>
      <c r="AH277" s="49"/>
      <c r="AI277" s="49"/>
      <c r="AJ277" s="62" t="s">
        <v>4300</v>
      </c>
      <c r="AK277" s="49" t="s">
        <v>4301</v>
      </c>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row>
    <row r="278" spans="1:79">
      <c r="A278" s="49"/>
      <c r="B278" s="49"/>
      <c r="C278" s="49"/>
      <c r="D278" s="70" t="s">
        <v>3269</v>
      </c>
      <c r="E278" s="70"/>
      <c r="F278" s="70" t="s">
        <v>4302</v>
      </c>
      <c r="G278" s="70"/>
      <c r="H278" s="70"/>
      <c r="I278" s="70"/>
      <c r="J278" s="70"/>
      <c r="K278" s="70"/>
      <c r="L278" s="70">
        <v>150</v>
      </c>
      <c r="M278" s="70"/>
      <c r="N278" s="70"/>
      <c r="O278" s="62"/>
      <c r="P278" s="49"/>
      <c r="Q278" s="49"/>
      <c r="R278" s="49" t="s">
        <v>163</v>
      </c>
      <c r="S278" s="49"/>
      <c r="T278" s="49" t="s">
        <v>163</v>
      </c>
      <c r="U278" s="49"/>
      <c r="V278" s="49"/>
      <c r="W278" s="49"/>
      <c r="X278" s="49"/>
      <c r="Y278" s="49"/>
      <c r="Z278" s="49" t="s">
        <v>163</v>
      </c>
      <c r="AA278" s="49"/>
      <c r="AB278" s="49"/>
      <c r="AC278" s="49"/>
      <c r="AD278" s="49"/>
      <c r="AE278" s="49"/>
      <c r="AF278" s="110"/>
      <c r="AG278" s="111"/>
      <c r="AH278" s="49"/>
      <c r="AI278" s="49"/>
      <c r="AJ278" s="62" t="s">
        <v>4303</v>
      </c>
      <c r="AK278" s="49" t="s">
        <v>4304</v>
      </c>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row>
    <row r="279" spans="1:79">
      <c r="A279" s="49"/>
      <c r="B279" s="49"/>
      <c r="C279" s="49"/>
      <c r="D279" s="70" t="s">
        <v>3264</v>
      </c>
      <c r="E279" s="70"/>
      <c r="F279" s="70" t="s">
        <v>4305</v>
      </c>
      <c r="G279" s="70"/>
      <c r="H279" s="70"/>
      <c r="I279" s="70"/>
      <c r="J279" s="70"/>
      <c r="K279" s="70"/>
      <c r="L279" s="70">
        <v>150</v>
      </c>
      <c r="M279" s="70"/>
      <c r="N279" s="70"/>
      <c r="O279" s="62"/>
      <c r="P279" s="49"/>
      <c r="Q279" s="49"/>
      <c r="R279" s="49" t="s">
        <v>4187</v>
      </c>
      <c r="S279" s="49"/>
      <c r="T279" s="49" t="s">
        <v>4306</v>
      </c>
      <c r="U279" s="49"/>
      <c r="V279" s="49"/>
      <c r="W279" s="49"/>
      <c r="X279" s="49"/>
      <c r="Y279" s="49"/>
      <c r="Z279" s="49" t="s">
        <v>4307</v>
      </c>
      <c r="AA279" s="49"/>
      <c r="AB279" s="49"/>
      <c r="AC279" s="49"/>
      <c r="AD279" s="49"/>
      <c r="AE279" s="49"/>
      <c r="AF279" s="110">
        <v>5</v>
      </c>
      <c r="AG279" s="111">
        <v>10</v>
      </c>
      <c r="AH279" s="49"/>
      <c r="AI279" s="49"/>
      <c r="AJ279" s="62" t="s">
        <v>4308</v>
      </c>
      <c r="AK279" s="49" t="s">
        <v>4309</v>
      </c>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row>
    <row r="280" spans="1:79">
      <c r="A280" s="49"/>
      <c r="B280" s="49"/>
      <c r="C280" s="49"/>
      <c r="D280" s="70" t="s">
        <v>3274</v>
      </c>
      <c r="E280" s="70"/>
      <c r="F280" s="82" t="s">
        <v>4310</v>
      </c>
      <c r="G280" s="70"/>
      <c r="H280" s="70"/>
      <c r="I280" s="70"/>
      <c r="J280" s="70"/>
      <c r="K280" s="70"/>
      <c r="L280" s="70">
        <v>150</v>
      </c>
      <c r="M280" s="70"/>
      <c r="N280" s="70"/>
      <c r="O280" s="62"/>
      <c r="P280" s="49"/>
      <c r="Q280" s="49"/>
      <c r="R280" s="49" t="s">
        <v>4187</v>
      </c>
      <c r="S280" s="49"/>
      <c r="T280" s="49" t="s">
        <v>4311</v>
      </c>
      <c r="U280" s="49"/>
      <c r="V280" s="49"/>
      <c r="W280" s="49"/>
      <c r="X280" s="49"/>
      <c r="Y280" s="49"/>
      <c r="Z280" s="49" t="s">
        <v>4307</v>
      </c>
      <c r="AA280" s="49"/>
      <c r="AB280" s="49"/>
      <c r="AC280" s="49"/>
      <c r="AD280" s="49"/>
      <c r="AE280" s="49"/>
      <c r="AF280" s="110">
        <v>10</v>
      </c>
      <c r="AG280" s="111">
        <v>100</v>
      </c>
      <c r="AH280" s="49"/>
      <c r="AI280" s="49"/>
      <c r="AJ280" s="62" t="s">
        <v>4312</v>
      </c>
      <c r="AK280" s="49" t="s">
        <v>4313</v>
      </c>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t="s">
        <v>29</v>
      </c>
      <c r="BJ280" s="133"/>
      <c r="BK280" s="133"/>
      <c r="BL280" s="133"/>
      <c r="BM280" s="133"/>
      <c r="BN280" s="133"/>
      <c r="BO280" s="133"/>
      <c r="BP280" s="133"/>
      <c r="BQ280" s="49"/>
      <c r="BR280" s="49"/>
      <c r="BS280" s="49"/>
      <c r="BT280" s="49"/>
      <c r="BU280" s="49"/>
      <c r="BV280" s="49"/>
      <c r="BW280" s="49"/>
      <c r="BX280" s="49"/>
      <c r="BY280" s="49"/>
      <c r="BZ280" s="49"/>
      <c r="CA280" s="49"/>
    </row>
    <row r="281" spans="1:79">
      <c r="A281" s="49"/>
      <c r="B281" s="49"/>
      <c r="C281" s="49"/>
      <c r="D281" s="70" t="s">
        <v>4314</v>
      </c>
      <c r="E281" s="70"/>
      <c r="F281" s="70" t="s">
        <v>4315</v>
      </c>
      <c r="G281" s="70"/>
      <c r="H281" s="70"/>
      <c r="I281" s="70"/>
      <c r="J281" s="70"/>
      <c r="K281" s="70"/>
      <c r="L281" s="70">
        <v>250</v>
      </c>
      <c r="M281" s="70"/>
      <c r="N281" s="70"/>
      <c r="O281" s="62"/>
      <c r="P281" s="49"/>
      <c r="Q281" s="49"/>
      <c r="R281" s="49" t="s">
        <v>4187</v>
      </c>
      <c r="S281" s="49"/>
      <c r="T281" s="49" t="s">
        <v>4316</v>
      </c>
      <c r="U281" s="49"/>
      <c r="V281" s="49"/>
      <c r="W281" s="49"/>
      <c r="X281" s="49"/>
      <c r="Y281" s="49"/>
      <c r="Z281" s="49" t="s">
        <v>4307</v>
      </c>
      <c r="AA281" s="49"/>
      <c r="AB281" s="49"/>
      <c r="AC281" s="49"/>
      <c r="AD281" s="49"/>
      <c r="AE281" s="49"/>
      <c r="AF281" s="110">
        <v>20</v>
      </c>
      <c r="AG281" s="111">
        <v>1000</v>
      </c>
      <c r="AH281" s="49"/>
      <c r="AI281" s="49"/>
      <c r="AJ281" s="62" t="s">
        <v>4317</v>
      </c>
      <c r="AK281" s="49" t="s">
        <v>4318</v>
      </c>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134" t="s">
        <v>860</v>
      </c>
      <c r="BJ281" s="135"/>
      <c r="BK281" s="136" t="s">
        <v>243</v>
      </c>
      <c r="BL281" s="136" t="s">
        <v>861</v>
      </c>
      <c r="BM281" s="136" t="s">
        <v>4089</v>
      </c>
      <c r="BN281" s="148" t="s">
        <v>246</v>
      </c>
      <c r="BO281" s="148" t="s">
        <v>247</v>
      </c>
      <c r="BP281" s="133"/>
      <c r="BQ281" s="49"/>
      <c r="BR281" s="49"/>
      <c r="BS281" s="49"/>
      <c r="BT281" s="49"/>
      <c r="BU281" s="49"/>
      <c r="BV281" s="49"/>
      <c r="BW281" s="49"/>
      <c r="BX281" s="49"/>
      <c r="BY281" s="49"/>
      <c r="BZ281" s="49"/>
      <c r="CA281" s="49"/>
    </row>
    <row r="282" spans="1:79">
      <c r="A282" s="49"/>
      <c r="B282" s="49"/>
      <c r="C282" s="49"/>
      <c r="D282" s="70" t="s">
        <v>3329</v>
      </c>
      <c r="E282" s="70"/>
      <c r="F282" s="82" t="s">
        <v>4319</v>
      </c>
      <c r="G282" s="70"/>
      <c r="H282" s="70"/>
      <c r="I282" s="70"/>
      <c r="J282" s="70"/>
      <c r="K282" s="70"/>
      <c r="L282" s="70">
        <v>250</v>
      </c>
      <c r="M282" s="70"/>
      <c r="N282" s="70"/>
      <c r="O282" s="62"/>
      <c r="P282" s="49"/>
      <c r="Q282" s="49"/>
      <c r="R282" s="49" t="s">
        <v>163</v>
      </c>
      <c r="S282" s="49"/>
      <c r="T282" s="49" t="s">
        <v>163</v>
      </c>
      <c r="U282" s="49"/>
      <c r="V282" s="49"/>
      <c r="W282" s="49"/>
      <c r="X282" s="49"/>
      <c r="Y282" s="49"/>
      <c r="Z282" s="49" t="s">
        <v>163</v>
      </c>
      <c r="AA282" s="49"/>
      <c r="AB282" s="49"/>
      <c r="AC282" s="49"/>
      <c r="AD282" s="49"/>
      <c r="AE282" s="49"/>
      <c r="AF282" s="110"/>
      <c r="AG282" s="111"/>
      <c r="AH282" s="49"/>
      <c r="AI282" s="49"/>
      <c r="AJ282" s="62" t="s">
        <v>4320</v>
      </c>
      <c r="AK282" s="49" t="s">
        <v>4321</v>
      </c>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137" t="s">
        <v>864</v>
      </c>
      <c r="BJ282" s="138"/>
      <c r="BK282" s="92">
        <v>1</v>
      </c>
      <c r="BL282" s="139">
        <v>4</v>
      </c>
      <c r="BM282" s="120">
        <v>26000</v>
      </c>
      <c r="BN282" s="120"/>
      <c r="BO282" s="149"/>
      <c r="BP282" s="133"/>
      <c r="BQ282" s="49"/>
      <c r="BR282" s="49"/>
      <c r="BS282" s="49"/>
      <c r="BT282" s="49"/>
      <c r="BU282" s="49"/>
      <c r="BV282" s="49"/>
      <c r="BW282" s="49"/>
      <c r="BX282" s="49"/>
      <c r="BY282" s="49"/>
      <c r="BZ282" s="49"/>
      <c r="CA282" s="49"/>
    </row>
    <row r="283" spans="1:79">
      <c r="A283" s="49"/>
      <c r="B283" s="49"/>
      <c r="C283" s="49"/>
      <c r="D283" s="70" t="s">
        <v>3462</v>
      </c>
      <c r="E283" s="70"/>
      <c r="F283" s="70" t="s">
        <v>4322</v>
      </c>
      <c r="G283" s="70"/>
      <c r="H283" s="70"/>
      <c r="I283" s="70"/>
      <c r="J283" s="70"/>
      <c r="K283" s="70"/>
      <c r="L283" s="70">
        <v>100</v>
      </c>
      <c r="M283" s="70"/>
      <c r="N283" s="70"/>
      <c r="O283" s="62"/>
      <c r="P283" s="49"/>
      <c r="Q283" s="49"/>
      <c r="R283" s="49" t="s">
        <v>4323</v>
      </c>
      <c r="S283" s="49"/>
      <c r="T283" s="49" t="s">
        <v>4324</v>
      </c>
      <c r="U283" s="49"/>
      <c r="V283" s="49"/>
      <c r="W283" s="49"/>
      <c r="X283" s="49"/>
      <c r="Y283" s="49"/>
      <c r="Z283" s="49" t="s">
        <v>4325</v>
      </c>
      <c r="AA283" s="49"/>
      <c r="AB283" s="49"/>
      <c r="AC283" s="49"/>
      <c r="AD283" s="49"/>
      <c r="AE283" s="49"/>
      <c r="AF283" s="110">
        <v>5</v>
      </c>
      <c r="AG283" s="111">
        <v>10</v>
      </c>
      <c r="AH283" s="49"/>
      <c r="AI283" s="49"/>
      <c r="AJ283" s="62" t="s">
        <v>4326</v>
      </c>
      <c r="AK283" s="49" t="s">
        <v>4327</v>
      </c>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137"/>
      <c r="BJ283" s="138"/>
      <c r="BK283" s="92">
        <v>2</v>
      </c>
      <c r="BL283" s="139">
        <v>5</v>
      </c>
      <c r="BM283" s="120">
        <v>29000</v>
      </c>
      <c r="BN283" s="120">
        <v>4000000</v>
      </c>
      <c r="BO283" s="149">
        <v>5</v>
      </c>
      <c r="BP283" s="133"/>
      <c r="BQ283" s="49"/>
      <c r="BR283" s="49"/>
      <c r="BS283" s="49"/>
      <c r="BT283" s="49"/>
      <c r="BU283" s="49"/>
      <c r="BV283" s="49"/>
      <c r="BW283" s="49"/>
      <c r="BX283" s="49"/>
      <c r="BY283" s="49"/>
      <c r="BZ283" s="49"/>
      <c r="CA283" s="49"/>
    </row>
    <row r="284" spans="1:79">
      <c r="A284" s="49"/>
      <c r="B284" s="49"/>
      <c r="C284" s="49"/>
      <c r="D284" s="70" t="s">
        <v>3455</v>
      </c>
      <c r="E284" s="70"/>
      <c r="F284" s="70" t="s">
        <v>4328</v>
      </c>
      <c r="G284" s="70"/>
      <c r="H284" s="70"/>
      <c r="I284" s="70"/>
      <c r="J284" s="70"/>
      <c r="K284" s="70"/>
      <c r="L284" s="70">
        <v>100</v>
      </c>
      <c r="M284" s="70"/>
      <c r="N284" s="70"/>
      <c r="O284" s="62"/>
      <c r="P284" s="49"/>
      <c r="Q284" s="49"/>
      <c r="R284" s="49" t="s">
        <v>4323</v>
      </c>
      <c r="S284" s="49"/>
      <c r="T284" s="49" t="s">
        <v>4329</v>
      </c>
      <c r="U284" s="49"/>
      <c r="V284" s="49"/>
      <c r="W284" s="49"/>
      <c r="X284" s="49"/>
      <c r="Y284" s="49"/>
      <c r="Z284" s="49" t="s">
        <v>4325</v>
      </c>
      <c r="AA284" s="49"/>
      <c r="AB284" s="49"/>
      <c r="AC284" s="49"/>
      <c r="AD284" s="49"/>
      <c r="AE284" s="49"/>
      <c r="AF284" s="110">
        <v>50</v>
      </c>
      <c r="AG284" s="111">
        <v>100</v>
      </c>
      <c r="AH284" s="49"/>
      <c r="AI284" s="49"/>
      <c r="AJ284" s="62" t="s">
        <v>4330</v>
      </c>
      <c r="AK284" s="49" t="s">
        <v>4331</v>
      </c>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134" t="s">
        <v>788</v>
      </c>
      <c r="BJ284" s="135"/>
      <c r="BK284" s="92">
        <v>3</v>
      </c>
      <c r="BL284" s="139">
        <v>6</v>
      </c>
      <c r="BM284" s="120">
        <v>32000</v>
      </c>
      <c r="BN284" s="120">
        <v>5000000</v>
      </c>
      <c r="BO284" s="149">
        <v>7</v>
      </c>
      <c r="BP284" s="133"/>
      <c r="BQ284" s="49"/>
      <c r="BR284" s="49"/>
      <c r="BS284" s="49"/>
      <c r="BT284" s="49"/>
      <c r="BU284" s="49"/>
      <c r="BV284" s="49"/>
      <c r="BW284" s="49"/>
      <c r="BX284" s="49"/>
      <c r="BY284" s="49"/>
      <c r="BZ284" s="49"/>
      <c r="CA284" s="49"/>
    </row>
    <row r="285" spans="1:79">
      <c r="A285" s="49"/>
      <c r="B285" s="49"/>
      <c r="C285" s="49"/>
      <c r="D285" s="70" t="s">
        <v>3467</v>
      </c>
      <c r="E285" s="70"/>
      <c r="F285" s="70" t="s">
        <v>4332</v>
      </c>
      <c r="G285" s="70"/>
      <c r="H285" s="70"/>
      <c r="I285" s="70"/>
      <c r="J285" s="70"/>
      <c r="K285" s="70"/>
      <c r="L285" s="70">
        <v>100</v>
      </c>
      <c r="M285" s="70"/>
      <c r="N285" s="70"/>
      <c r="O285" s="62"/>
      <c r="P285" s="49"/>
      <c r="Q285" s="49"/>
      <c r="R285" s="49" t="s">
        <v>4323</v>
      </c>
      <c r="S285" s="49"/>
      <c r="T285" s="49" t="s">
        <v>4333</v>
      </c>
      <c r="U285" s="49"/>
      <c r="V285" s="49"/>
      <c r="W285" s="49"/>
      <c r="X285" s="49"/>
      <c r="Y285" s="49"/>
      <c r="Z285" s="49" t="s">
        <v>4325</v>
      </c>
      <c r="AA285" s="49"/>
      <c r="AB285" s="49"/>
      <c r="AC285" s="49"/>
      <c r="AD285" s="49"/>
      <c r="AE285" s="49"/>
      <c r="AF285" s="110">
        <v>100</v>
      </c>
      <c r="AG285" s="111">
        <v>1000</v>
      </c>
      <c r="AH285" s="49"/>
      <c r="AI285" s="49"/>
      <c r="AJ285" s="62" t="s">
        <v>4334</v>
      </c>
      <c r="AK285" s="49" t="s">
        <v>4335</v>
      </c>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137" t="s">
        <v>794</v>
      </c>
      <c r="BJ285" s="138"/>
      <c r="BK285" s="92">
        <v>4</v>
      </c>
      <c r="BL285" s="139">
        <v>7</v>
      </c>
      <c r="BM285" s="120">
        <v>35000</v>
      </c>
      <c r="BN285" s="120">
        <v>6500000</v>
      </c>
      <c r="BO285" s="149">
        <v>10</v>
      </c>
      <c r="BP285" s="133"/>
      <c r="BQ285" s="49"/>
      <c r="BR285" s="49"/>
      <c r="BS285" s="49"/>
      <c r="BT285" s="49"/>
      <c r="BU285" s="49"/>
      <c r="BV285" s="49"/>
      <c r="BW285" s="49"/>
      <c r="BX285" s="49"/>
      <c r="BY285" s="49"/>
      <c r="BZ285" s="49"/>
      <c r="CA285" s="49"/>
    </row>
    <row r="286" spans="1:79">
      <c r="A286" s="49"/>
      <c r="B286" s="49"/>
      <c r="C286" s="49"/>
      <c r="D286" s="70" t="s">
        <v>3448</v>
      </c>
      <c r="E286" s="70"/>
      <c r="F286" s="70" t="s">
        <v>4336</v>
      </c>
      <c r="G286" s="70"/>
      <c r="H286" s="70"/>
      <c r="I286" s="70"/>
      <c r="J286" s="70"/>
      <c r="K286" s="70"/>
      <c r="L286" s="70">
        <v>100</v>
      </c>
      <c r="M286" s="70"/>
      <c r="N286" s="70"/>
      <c r="O286" s="62"/>
      <c r="P286" s="49"/>
      <c r="Q286" s="49"/>
      <c r="R286" s="49" t="s">
        <v>163</v>
      </c>
      <c r="S286" s="49"/>
      <c r="T286" s="49" t="s">
        <v>163</v>
      </c>
      <c r="U286" s="49"/>
      <c r="V286" s="49"/>
      <c r="W286" s="49"/>
      <c r="X286" s="49"/>
      <c r="Y286" s="49"/>
      <c r="Z286" s="49" t="s">
        <v>163</v>
      </c>
      <c r="AA286" s="49"/>
      <c r="AB286" s="49"/>
      <c r="AC286" s="49"/>
      <c r="AD286" s="49"/>
      <c r="AE286" s="49"/>
      <c r="AF286" s="110"/>
      <c r="AG286" s="111"/>
      <c r="AH286" s="49"/>
      <c r="AI286" s="49"/>
      <c r="AJ286" s="62"/>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140"/>
      <c r="BJ286" s="141"/>
      <c r="BK286" s="92">
        <v>5</v>
      </c>
      <c r="BL286" s="139">
        <v>8</v>
      </c>
      <c r="BM286" s="120">
        <v>38000</v>
      </c>
      <c r="BN286" s="120">
        <v>8000000</v>
      </c>
      <c r="BO286" s="149">
        <v>14</v>
      </c>
      <c r="BP286" s="133"/>
      <c r="BQ286" s="49"/>
      <c r="BR286" s="49"/>
      <c r="BS286" s="49"/>
      <c r="BT286" s="49"/>
      <c r="BU286" s="49"/>
      <c r="BV286" s="49"/>
      <c r="BW286" s="49"/>
      <c r="BX286" s="49"/>
      <c r="BY286" s="49"/>
      <c r="BZ286" s="49"/>
      <c r="CA286" s="49"/>
    </row>
    <row r="287" spans="1:79">
      <c r="A287" s="49"/>
      <c r="B287" s="49"/>
      <c r="C287" s="49"/>
      <c r="D287" s="70" t="s">
        <v>3288</v>
      </c>
      <c r="E287" s="70"/>
      <c r="F287" s="70" t="s">
        <v>4337</v>
      </c>
      <c r="G287" s="70"/>
      <c r="H287" s="70"/>
      <c r="I287" s="70"/>
      <c r="J287" s="70"/>
      <c r="K287" s="70"/>
      <c r="L287" s="70">
        <v>100</v>
      </c>
      <c r="M287" s="70"/>
      <c r="N287" s="70"/>
      <c r="O287" s="62"/>
      <c r="P287" s="49"/>
      <c r="Q287" s="49"/>
      <c r="R287" s="49" t="s">
        <v>4338</v>
      </c>
      <c r="S287" s="49"/>
      <c r="T287" s="49" t="s">
        <v>4339</v>
      </c>
      <c r="U287" s="49"/>
      <c r="V287" s="49"/>
      <c r="W287" s="49"/>
      <c r="X287" s="49"/>
      <c r="Y287" s="49"/>
      <c r="Z287" s="49" t="s">
        <v>4340</v>
      </c>
      <c r="AA287" s="49"/>
      <c r="AB287" s="49"/>
      <c r="AC287" s="49"/>
      <c r="AD287" s="49"/>
      <c r="AE287" s="49"/>
      <c r="AF287" s="110">
        <v>5</v>
      </c>
      <c r="AG287" s="111">
        <v>10</v>
      </c>
      <c r="AH287" s="49"/>
      <c r="AI287" s="49"/>
      <c r="AJ287" s="62" t="s">
        <v>4341</v>
      </c>
      <c r="AK287" s="49" t="s">
        <v>4342</v>
      </c>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134" t="s">
        <v>385</v>
      </c>
      <c r="BJ287" s="135"/>
      <c r="BK287" s="133"/>
      <c r="BL287" s="133"/>
      <c r="BM287" s="133"/>
      <c r="BN287" s="133"/>
      <c r="BO287" s="133"/>
      <c r="BP287" s="133"/>
      <c r="BQ287" s="49"/>
      <c r="BR287" s="49"/>
      <c r="BS287" s="49"/>
      <c r="BT287" s="49"/>
      <c r="BU287" s="49"/>
      <c r="BV287" s="49"/>
      <c r="BW287" s="49"/>
      <c r="BX287" s="49"/>
      <c r="BY287" s="49"/>
      <c r="BZ287" s="49"/>
      <c r="CA287" s="49"/>
    </row>
    <row r="288" spans="1:79">
      <c r="A288" s="49"/>
      <c r="B288" s="49"/>
      <c r="C288" s="49"/>
      <c r="D288" s="70" t="s">
        <v>3222</v>
      </c>
      <c r="E288" s="70"/>
      <c r="F288" s="70" t="s">
        <v>4343</v>
      </c>
      <c r="G288" s="70"/>
      <c r="H288" s="70"/>
      <c r="I288" s="70"/>
      <c r="J288" s="70"/>
      <c r="K288" s="70"/>
      <c r="L288" s="70">
        <v>100</v>
      </c>
      <c r="M288" s="70"/>
      <c r="N288" s="70"/>
      <c r="O288" s="62"/>
      <c r="P288" s="49"/>
      <c r="Q288" s="49"/>
      <c r="R288" s="49" t="s">
        <v>4338</v>
      </c>
      <c r="S288" s="49"/>
      <c r="T288" s="49" t="s">
        <v>4344</v>
      </c>
      <c r="U288" s="49"/>
      <c r="V288" s="49"/>
      <c r="W288" s="49"/>
      <c r="X288" s="49"/>
      <c r="Y288" s="49"/>
      <c r="Z288" s="49" t="s">
        <v>4340</v>
      </c>
      <c r="AA288" s="49"/>
      <c r="AB288" s="49"/>
      <c r="AC288" s="49"/>
      <c r="AD288" s="49"/>
      <c r="AE288" s="49"/>
      <c r="AF288" s="110">
        <v>25</v>
      </c>
      <c r="AG288" s="111">
        <v>100</v>
      </c>
      <c r="AH288" s="49"/>
      <c r="AI288" s="49"/>
      <c r="AJ288" s="62" t="s">
        <v>4345</v>
      </c>
      <c r="AK288" s="49" t="s">
        <v>4346</v>
      </c>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137" t="s">
        <v>4347</v>
      </c>
      <c r="BJ288" s="138"/>
      <c r="BK288" s="137" t="s">
        <v>4348</v>
      </c>
      <c r="BL288" s="133"/>
      <c r="BM288" s="133"/>
      <c r="BN288" s="133"/>
      <c r="BO288" s="133"/>
      <c r="BP288" s="133"/>
      <c r="BQ288" s="49"/>
      <c r="BR288" s="49"/>
      <c r="BS288" s="49"/>
      <c r="BT288" s="49"/>
      <c r="BU288" s="49"/>
      <c r="BV288" s="49"/>
      <c r="BW288" s="49"/>
      <c r="BX288" s="49"/>
      <c r="BY288" s="49"/>
      <c r="BZ288" s="49"/>
      <c r="CA288" s="49"/>
    </row>
    <row r="289" spans="1:79">
      <c r="A289" s="49"/>
      <c r="B289" s="49"/>
      <c r="C289" s="49"/>
      <c r="D289" s="70" t="s">
        <v>3231</v>
      </c>
      <c r="E289" s="70"/>
      <c r="F289" s="70" t="s">
        <v>4349</v>
      </c>
      <c r="G289" s="70"/>
      <c r="H289" s="70"/>
      <c r="I289" s="70"/>
      <c r="J289" s="70"/>
      <c r="K289" s="70"/>
      <c r="L289" s="70">
        <v>100</v>
      </c>
      <c r="M289" s="70"/>
      <c r="N289" s="70"/>
      <c r="O289" s="62"/>
      <c r="P289" s="49"/>
      <c r="Q289" s="49"/>
      <c r="R289" s="49" t="s">
        <v>4338</v>
      </c>
      <c r="S289" s="49"/>
      <c r="T289" s="49" t="s">
        <v>4350</v>
      </c>
      <c r="U289" s="49"/>
      <c r="V289" s="49"/>
      <c r="W289" s="49"/>
      <c r="X289" s="49"/>
      <c r="Y289" s="49"/>
      <c r="Z289" s="49" t="s">
        <v>4340</v>
      </c>
      <c r="AA289" s="49"/>
      <c r="AB289" s="49"/>
      <c r="AC289" s="49"/>
      <c r="AD289" s="49"/>
      <c r="AE289" s="49"/>
      <c r="AF289" s="110">
        <v>250</v>
      </c>
      <c r="AG289" s="111">
        <v>1000</v>
      </c>
      <c r="AH289" s="49"/>
      <c r="AI289" s="49"/>
      <c r="AJ289" s="62" t="s">
        <v>4351</v>
      </c>
      <c r="AK289" s="49" t="s">
        <v>4352</v>
      </c>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133"/>
      <c r="BJ289" s="133"/>
      <c r="BK289" s="49"/>
      <c r="BL289" s="133"/>
      <c r="BM289" s="133"/>
      <c r="BN289" s="133"/>
      <c r="BO289" s="133"/>
      <c r="BP289" s="133"/>
      <c r="BQ289" s="49"/>
      <c r="BR289" s="49"/>
      <c r="BS289" s="49"/>
      <c r="BT289" s="49"/>
      <c r="BU289" s="49"/>
      <c r="BV289" s="49"/>
      <c r="BW289" s="49"/>
      <c r="BX289" s="49"/>
      <c r="BY289" s="49"/>
      <c r="BZ289" s="49"/>
      <c r="CA289" s="49"/>
    </row>
    <row r="290" spans="1:79">
      <c r="A290" s="49"/>
      <c r="B290" s="49"/>
      <c r="C290" s="49"/>
      <c r="D290" s="70" t="s">
        <v>3193</v>
      </c>
      <c r="E290" s="70"/>
      <c r="F290" s="70" t="s">
        <v>4353</v>
      </c>
      <c r="G290" s="70"/>
      <c r="H290" s="70"/>
      <c r="I290" s="70"/>
      <c r="J290" s="70"/>
      <c r="K290" s="70"/>
      <c r="L290" s="70">
        <v>100</v>
      </c>
      <c r="M290" s="70"/>
      <c r="N290" s="70"/>
      <c r="O290" s="62"/>
      <c r="P290" s="49"/>
      <c r="Q290" s="49"/>
      <c r="R290" s="49" t="s">
        <v>163</v>
      </c>
      <c r="S290" s="49"/>
      <c r="T290" s="49" t="s">
        <v>163</v>
      </c>
      <c r="U290" s="49"/>
      <c r="V290" s="49"/>
      <c r="W290" s="49"/>
      <c r="X290" s="49"/>
      <c r="Y290" s="49"/>
      <c r="Z290" s="49" t="s">
        <v>163</v>
      </c>
      <c r="AA290" s="49"/>
      <c r="AB290" s="49"/>
      <c r="AC290" s="49"/>
      <c r="AD290" s="49"/>
      <c r="AE290" s="49"/>
      <c r="AF290" s="110"/>
      <c r="AG290" s="111"/>
      <c r="AH290" s="49"/>
      <c r="AI290" s="49"/>
      <c r="AJ290" s="62" t="s">
        <v>4354</v>
      </c>
      <c r="AK290" s="49" t="s">
        <v>4355</v>
      </c>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row>
    <row r="291" spans="1:79">
      <c r="A291" s="49"/>
      <c r="B291" s="49"/>
      <c r="C291" s="49"/>
      <c r="D291" s="70" t="s">
        <v>3201</v>
      </c>
      <c r="E291" s="70"/>
      <c r="F291" s="70" t="s">
        <v>4356</v>
      </c>
      <c r="G291" s="70"/>
      <c r="H291" s="70"/>
      <c r="I291" s="70"/>
      <c r="J291" s="70"/>
      <c r="K291" s="70"/>
      <c r="L291" s="70">
        <v>100</v>
      </c>
      <c r="M291" s="70"/>
      <c r="N291" s="70"/>
      <c r="O291" s="62"/>
      <c r="P291" s="49"/>
      <c r="Q291" s="49"/>
      <c r="R291" s="49" t="s">
        <v>4357</v>
      </c>
      <c r="S291" s="49"/>
      <c r="T291" s="49" t="s">
        <v>4358</v>
      </c>
      <c r="U291" s="49"/>
      <c r="V291" s="49"/>
      <c r="W291" s="49"/>
      <c r="X291" s="49"/>
      <c r="Y291" s="49"/>
      <c r="Z291" s="49" t="s">
        <v>4359</v>
      </c>
      <c r="AA291" s="49"/>
      <c r="AB291" s="49"/>
      <c r="AC291" s="49"/>
      <c r="AD291" s="49"/>
      <c r="AE291" s="49"/>
      <c r="AF291" s="110">
        <v>5</v>
      </c>
      <c r="AG291" s="111">
        <v>10</v>
      </c>
      <c r="AH291" s="49"/>
      <c r="AI291" s="49"/>
      <c r="AJ291" s="62" t="s">
        <v>4360</v>
      </c>
      <c r="AK291" s="49" t="s">
        <v>4361</v>
      </c>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t="s">
        <v>5</v>
      </c>
      <c r="BJ291" s="133"/>
      <c r="BK291" s="142" t="s">
        <v>4362</v>
      </c>
      <c r="BL291" s="133"/>
      <c r="BM291" s="133"/>
      <c r="BN291" s="133"/>
      <c r="BO291" s="133"/>
      <c r="BP291" s="133"/>
      <c r="BQ291" s="49"/>
      <c r="BR291" s="49"/>
      <c r="BS291" s="49"/>
      <c r="BT291" s="49"/>
      <c r="BU291" s="49"/>
      <c r="BV291" s="49"/>
      <c r="BW291" s="49"/>
      <c r="BX291" s="49"/>
      <c r="BY291" s="49"/>
      <c r="BZ291" s="49"/>
      <c r="CA291" s="49"/>
    </row>
    <row r="292" spans="1:79">
      <c r="A292" s="49"/>
      <c r="B292" s="49"/>
      <c r="C292" s="49"/>
      <c r="D292" s="70" t="s">
        <v>3254</v>
      </c>
      <c r="E292" s="70"/>
      <c r="F292" s="70" t="s">
        <v>4363</v>
      </c>
      <c r="G292" s="70"/>
      <c r="H292" s="70"/>
      <c r="I292" s="70"/>
      <c r="J292" s="70"/>
      <c r="K292" s="70"/>
      <c r="L292" s="70">
        <v>100</v>
      </c>
      <c r="M292" s="70"/>
      <c r="N292" s="70"/>
      <c r="O292" s="62"/>
      <c r="P292" s="49"/>
      <c r="Q292" s="49"/>
      <c r="R292" s="49" t="s">
        <v>4357</v>
      </c>
      <c r="S292" s="49"/>
      <c r="T292" s="49" t="s">
        <v>4364</v>
      </c>
      <c r="U292" s="49"/>
      <c r="V292" s="49"/>
      <c r="W292" s="49"/>
      <c r="X292" s="49"/>
      <c r="Y292" s="49"/>
      <c r="Z292" s="49" t="s">
        <v>4359</v>
      </c>
      <c r="AA292" s="49"/>
      <c r="AB292" s="49"/>
      <c r="AC292" s="49"/>
      <c r="AD292" s="49"/>
      <c r="AE292" s="49"/>
      <c r="AF292" s="110">
        <v>10</v>
      </c>
      <c r="AG292" s="111">
        <v>100</v>
      </c>
      <c r="AH292" s="49"/>
      <c r="AI292" s="49"/>
      <c r="AJ292" s="62" t="s">
        <v>4365</v>
      </c>
      <c r="AK292" s="49" t="s">
        <v>4366</v>
      </c>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134" t="s">
        <v>763</v>
      </c>
      <c r="BJ292" s="135"/>
      <c r="BK292" s="136" t="s">
        <v>243</v>
      </c>
      <c r="BL292" s="136" t="s">
        <v>764</v>
      </c>
      <c r="BM292" s="136" t="s">
        <v>250</v>
      </c>
      <c r="BN292" s="136" t="s">
        <v>4089</v>
      </c>
      <c r="BO292" s="148" t="s">
        <v>246</v>
      </c>
      <c r="BP292" s="148" t="s">
        <v>247</v>
      </c>
      <c r="BQ292" s="49"/>
      <c r="BR292" s="49"/>
      <c r="BS292" s="49"/>
      <c r="BT292" s="49"/>
      <c r="BU292" s="49"/>
      <c r="BV292" s="49"/>
      <c r="BW292" s="49"/>
      <c r="BX292" s="49"/>
      <c r="BY292" s="49"/>
      <c r="BZ292" s="49"/>
      <c r="CA292" s="49"/>
    </row>
    <row r="293" spans="1:79">
      <c r="A293" s="49"/>
      <c r="B293" s="49"/>
      <c r="C293" s="49"/>
      <c r="D293" s="70" t="s">
        <v>3246</v>
      </c>
      <c r="E293" s="70"/>
      <c r="F293" s="70" t="s">
        <v>4367</v>
      </c>
      <c r="G293" s="70"/>
      <c r="H293" s="70"/>
      <c r="I293" s="70"/>
      <c r="J293" s="70"/>
      <c r="K293" s="70"/>
      <c r="L293" s="70">
        <v>200</v>
      </c>
      <c r="M293" s="70"/>
      <c r="N293" s="70"/>
      <c r="O293" s="62"/>
      <c r="P293" s="49"/>
      <c r="Q293" s="49"/>
      <c r="R293" s="49" t="s">
        <v>4357</v>
      </c>
      <c r="S293" s="49"/>
      <c r="T293" s="49" t="s">
        <v>4368</v>
      </c>
      <c r="U293" s="49"/>
      <c r="V293" s="49"/>
      <c r="W293" s="49"/>
      <c r="X293" s="49"/>
      <c r="Y293" s="49"/>
      <c r="Z293" s="49" t="s">
        <v>4359</v>
      </c>
      <c r="AA293" s="49"/>
      <c r="AB293" s="49"/>
      <c r="AC293" s="49"/>
      <c r="AD293" s="49"/>
      <c r="AE293" s="49"/>
      <c r="AF293" s="110">
        <v>20</v>
      </c>
      <c r="AG293" s="111">
        <v>1000</v>
      </c>
      <c r="AH293" s="49"/>
      <c r="AI293" s="49"/>
      <c r="AJ293" s="62" t="s">
        <v>4369</v>
      </c>
      <c r="AK293" s="49" t="s">
        <v>4370</v>
      </c>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137" t="s">
        <v>4371</v>
      </c>
      <c r="BJ293" s="138"/>
      <c r="BK293" s="87">
        <v>1</v>
      </c>
      <c r="BL293" s="120">
        <v>300</v>
      </c>
      <c r="BM293" s="120">
        <v>50</v>
      </c>
      <c r="BN293" s="120">
        <v>15000</v>
      </c>
      <c r="BO293" s="120"/>
      <c r="BP293" s="149"/>
      <c r="BQ293" s="49"/>
      <c r="BR293" s="49"/>
      <c r="BS293" s="49"/>
      <c r="BT293" s="49"/>
      <c r="BU293" s="49"/>
      <c r="BV293" s="49"/>
      <c r="BW293" s="49"/>
      <c r="BX293" s="49"/>
      <c r="BY293" s="49"/>
      <c r="BZ293" s="49"/>
      <c r="CA293" s="49"/>
    </row>
    <row r="294" spans="1:79">
      <c r="A294" s="49"/>
      <c r="B294" s="49"/>
      <c r="C294" s="49"/>
      <c r="D294" s="70" t="s">
        <v>4372</v>
      </c>
      <c r="E294" s="70"/>
      <c r="F294" s="70" t="s">
        <v>4373</v>
      </c>
      <c r="G294" s="70"/>
      <c r="H294" s="70"/>
      <c r="I294" s="70"/>
      <c r="J294" s="70"/>
      <c r="K294" s="70"/>
      <c r="L294" s="70">
        <v>100</v>
      </c>
      <c r="M294" s="70"/>
      <c r="N294" s="70"/>
      <c r="O294" s="62"/>
      <c r="P294" s="49"/>
      <c r="Q294" s="49"/>
      <c r="R294" s="49" t="s">
        <v>163</v>
      </c>
      <c r="S294" s="49"/>
      <c r="T294" s="49" t="s">
        <v>163</v>
      </c>
      <c r="U294" s="49"/>
      <c r="V294" s="49"/>
      <c r="W294" s="49"/>
      <c r="X294" s="49"/>
      <c r="Y294" s="49"/>
      <c r="Z294" s="49" t="s">
        <v>163</v>
      </c>
      <c r="AA294" s="49"/>
      <c r="AB294" s="49"/>
      <c r="AC294" s="49"/>
      <c r="AD294" s="49"/>
      <c r="AE294" s="49"/>
      <c r="AF294" s="110"/>
      <c r="AG294" s="111"/>
      <c r="AH294" s="49"/>
      <c r="AI294" s="49"/>
      <c r="AJ294" s="62" t="s">
        <v>4374</v>
      </c>
      <c r="AK294" s="49" t="s">
        <v>4375</v>
      </c>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137" t="s">
        <v>4376</v>
      </c>
      <c r="BJ294" s="138"/>
      <c r="BK294" s="87">
        <v>2</v>
      </c>
      <c r="BL294" s="120">
        <v>360</v>
      </c>
      <c r="BM294" s="120">
        <v>60</v>
      </c>
      <c r="BN294" s="120">
        <v>16500</v>
      </c>
      <c r="BO294" s="150">
        <v>200000</v>
      </c>
      <c r="BP294" s="149">
        <v>1</v>
      </c>
      <c r="BQ294" s="49"/>
      <c r="BR294" s="49"/>
      <c r="BS294" s="49"/>
      <c r="BT294" s="49"/>
      <c r="BU294" s="49"/>
      <c r="BV294" s="49"/>
      <c r="BW294" s="49"/>
      <c r="BX294" s="49"/>
      <c r="BY294" s="49"/>
      <c r="BZ294" s="49"/>
      <c r="CA294" s="49"/>
    </row>
    <row r="295" spans="1:79">
      <c r="A295" s="49"/>
      <c r="B295" s="49"/>
      <c r="C295" s="49"/>
      <c r="D295" s="70" t="s">
        <v>4377</v>
      </c>
      <c r="E295" s="70"/>
      <c r="F295" s="70" t="s">
        <v>4378</v>
      </c>
      <c r="G295" s="70"/>
      <c r="H295" s="70"/>
      <c r="I295" s="70"/>
      <c r="J295" s="70"/>
      <c r="K295" s="70"/>
      <c r="L295" s="70">
        <v>100</v>
      </c>
      <c r="M295" s="70"/>
      <c r="N295" s="70"/>
      <c r="O295" s="62"/>
      <c r="P295" s="49"/>
      <c r="Q295" s="49"/>
      <c r="R295" s="49" t="s">
        <v>4379</v>
      </c>
      <c r="S295" s="49"/>
      <c r="T295" s="49" t="s">
        <v>4380</v>
      </c>
      <c r="U295" s="49"/>
      <c r="V295" s="49"/>
      <c r="W295" s="49"/>
      <c r="X295" s="49"/>
      <c r="Y295" s="49"/>
      <c r="Z295" s="49" t="s">
        <v>4381</v>
      </c>
      <c r="AA295" s="49"/>
      <c r="AB295" s="49"/>
      <c r="AC295" s="49"/>
      <c r="AD295" s="49"/>
      <c r="AE295" s="49"/>
      <c r="AF295" s="110">
        <v>5</v>
      </c>
      <c r="AG295" s="111">
        <v>10</v>
      </c>
      <c r="AH295" s="49"/>
      <c r="AI295" s="49"/>
      <c r="AJ295" s="62" t="s">
        <v>4382</v>
      </c>
      <c r="AK295" s="49" t="s">
        <v>4383</v>
      </c>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140" t="s">
        <v>4384</v>
      </c>
      <c r="BJ295" s="143"/>
      <c r="BK295" s="87">
        <v>3</v>
      </c>
      <c r="BL295" s="120">
        <v>420</v>
      </c>
      <c r="BM295" s="120">
        <v>70</v>
      </c>
      <c r="BN295" s="120">
        <v>18000</v>
      </c>
      <c r="BO295" s="150">
        <v>500000</v>
      </c>
      <c r="BP295" s="149">
        <v>2</v>
      </c>
      <c r="BQ295" s="49"/>
      <c r="BR295" s="49"/>
      <c r="BS295" s="49"/>
      <c r="BT295" s="49"/>
      <c r="BU295" s="49"/>
      <c r="BV295" s="49"/>
      <c r="BW295" s="49"/>
      <c r="BX295" s="49"/>
      <c r="BY295" s="49"/>
      <c r="BZ295" s="49"/>
      <c r="CA295" s="49"/>
    </row>
    <row r="296" spans="1:79">
      <c r="A296" s="49"/>
      <c r="B296" s="49"/>
      <c r="C296" s="49"/>
      <c r="D296" s="70" t="s">
        <v>4385</v>
      </c>
      <c r="E296" s="70"/>
      <c r="F296" s="70" t="s">
        <v>4386</v>
      </c>
      <c r="G296" s="70"/>
      <c r="H296" s="70"/>
      <c r="I296" s="70"/>
      <c r="J296" s="70"/>
      <c r="K296" s="70"/>
      <c r="L296" s="70">
        <v>100</v>
      </c>
      <c r="M296" s="70"/>
      <c r="N296" s="70"/>
      <c r="O296" s="62"/>
      <c r="P296" s="49"/>
      <c r="Q296" s="49"/>
      <c r="R296" s="49" t="s">
        <v>4379</v>
      </c>
      <c r="S296" s="49"/>
      <c r="T296" s="49" t="s">
        <v>4387</v>
      </c>
      <c r="U296" s="49"/>
      <c r="V296" s="49"/>
      <c r="W296" s="49"/>
      <c r="X296" s="49"/>
      <c r="Y296" s="49"/>
      <c r="Z296" s="49" t="s">
        <v>4381</v>
      </c>
      <c r="AA296" s="49"/>
      <c r="AB296" s="49"/>
      <c r="AC296" s="49"/>
      <c r="AD296" s="49"/>
      <c r="AE296" s="49"/>
      <c r="AF296" s="110">
        <v>10</v>
      </c>
      <c r="AG296" s="111">
        <v>100</v>
      </c>
      <c r="AH296" s="49"/>
      <c r="AI296" s="49"/>
      <c r="AJ296" s="62" t="s">
        <v>4388</v>
      </c>
      <c r="AK296" s="49" t="s">
        <v>4389</v>
      </c>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134" t="s">
        <v>788</v>
      </c>
      <c r="BJ296" s="135"/>
      <c r="BK296" s="87">
        <v>4</v>
      </c>
      <c r="BL296" s="120">
        <v>480</v>
      </c>
      <c r="BM296" s="120">
        <v>80</v>
      </c>
      <c r="BN296" s="120">
        <v>20000</v>
      </c>
      <c r="BO296" s="150">
        <v>1000000</v>
      </c>
      <c r="BP296" s="149">
        <v>3</v>
      </c>
      <c r="BQ296" s="49"/>
      <c r="BR296" s="49"/>
      <c r="BS296" s="49"/>
      <c r="BT296" s="49"/>
      <c r="BU296" s="49"/>
      <c r="BV296" s="49"/>
      <c r="BW296" s="49"/>
      <c r="BX296" s="49"/>
      <c r="BY296" s="49"/>
      <c r="BZ296" s="49"/>
      <c r="CA296" s="49"/>
    </row>
    <row r="297" spans="1:79">
      <c r="A297" s="49"/>
      <c r="B297" s="49"/>
      <c r="C297" s="49"/>
      <c r="D297" s="70" t="s">
        <v>4390</v>
      </c>
      <c r="E297" s="70"/>
      <c r="F297" s="70" t="s">
        <v>4391</v>
      </c>
      <c r="G297" s="70"/>
      <c r="H297" s="70"/>
      <c r="I297" s="70"/>
      <c r="J297" s="70"/>
      <c r="K297" s="70"/>
      <c r="L297" s="70">
        <v>100</v>
      </c>
      <c r="M297" s="70"/>
      <c r="N297" s="70"/>
      <c r="O297" s="62"/>
      <c r="P297" s="49"/>
      <c r="Q297" s="49"/>
      <c r="R297" s="49" t="s">
        <v>4379</v>
      </c>
      <c r="S297" s="49"/>
      <c r="T297" s="49" t="s">
        <v>4392</v>
      </c>
      <c r="U297" s="49"/>
      <c r="V297" s="49"/>
      <c r="W297" s="49"/>
      <c r="X297" s="49"/>
      <c r="Y297" s="49"/>
      <c r="Z297" s="49" t="s">
        <v>4381</v>
      </c>
      <c r="AA297" s="49"/>
      <c r="AB297" s="49"/>
      <c r="AC297" s="49"/>
      <c r="AD297" s="49"/>
      <c r="AE297" s="49"/>
      <c r="AF297" s="110">
        <v>20</v>
      </c>
      <c r="AG297" s="111">
        <v>1000</v>
      </c>
      <c r="AH297" s="49"/>
      <c r="AI297" s="49"/>
      <c r="AJ297" s="62" t="s">
        <v>4393</v>
      </c>
      <c r="AK297" s="49" t="s">
        <v>4394</v>
      </c>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137" t="s">
        <v>4395</v>
      </c>
      <c r="BJ297" s="138"/>
      <c r="BK297" s="90">
        <v>5</v>
      </c>
      <c r="BL297" s="120">
        <v>540</v>
      </c>
      <c r="BM297" s="120">
        <v>90</v>
      </c>
      <c r="BN297" s="120">
        <v>22000</v>
      </c>
      <c r="BO297" s="150">
        <v>2000000</v>
      </c>
      <c r="BP297" s="149">
        <v>4</v>
      </c>
      <c r="BQ297" s="49"/>
      <c r="BR297" s="49"/>
      <c r="BS297" s="49"/>
      <c r="BT297" s="49"/>
      <c r="BU297" s="49"/>
      <c r="BV297" s="49"/>
      <c r="BW297" s="49"/>
      <c r="BX297" s="49"/>
      <c r="BY297" s="49"/>
      <c r="BZ297" s="49"/>
      <c r="CA297" s="49"/>
    </row>
    <row r="298" spans="1:79">
      <c r="A298" s="49"/>
      <c r="B298" s="49"/>
      <c r="C298" s="49"/>
      <c r="D298" s="70" t="s">
        <v>4396</v>
      </c>
      <c r="E298" s="70"/>
      <c r="F298" s="70" t="s">
        <v>4397</v>
      </c>
      <c r="G298" s="70"/>
      <c r="H298" s="70"/>
      <c r="I298" s="70"/>
      <c r="J298" s="70"/>
      <c r="K298" s="70"/>
      <c r="L298" s="70">
        <v>100</v>
      </c>
      <c r="M298" s="70"/>
      <c r="N298" s="70"/>
      <c r="O298" s="62"/>
      <c r="P298" s="49"/>
      <c r="Q298" s="49"/>
      <c r="R298" s="49" t="s">
        <v>163</v>
      </c>
      <c r="S298" s="49"/>
      <c r="T298" s="49" t="s">
        <v>163</v>
      </c>
      <c r="U298" s="49"/>
      <c r="V298" s="49"/>
      <c r="W298" s="49"/>
      <c r="X298" s="49"/>
      <c r="Y298" s="49"/>
      <c r="Z298" s="49" t="s">
        <v>163</v>
      </c>
      <c r="AA298" s="49"/>
      <c r="AB298" s="49"/>
      <c r="AC298" s="49"/>
      <c r="AD298" s="49"/>
      <c r="AE298" s="49"/>
      <c r="AF298" s="110"/>
      <c r="AG298" s="111"/>
      <c r="AH298" s="49"/>
      <c r="AI298" s="49"/>
      <c r="AJ298" s="62" t="s">
        <v>4398</v>
      </c>
      <c r="AK298" s="49" t="s">
        <v>4399</v>
      </c>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144"/>
      <c r="BJ298" s="141"/>
      <c r="BK298" s="91">
        <v>6</v>
      </c>
      <c r="BL298" s="120">
        <v>600</v>
      </c>
      <c r="BM298" s="120">
        <v>100</v>
      </c>
      <c r="BN298" s="120">
        <v>24000</v>
      </c>
      <c r="BO298" s="150">
        <v>4000000</v>
      </c>
      <c r="BP298" s="149">
        <v>6</v>
      </c>
      <c r="BQ298" s="49"/>
      <c r="BR298" s="49"/>
      <c r="BS298" s="49"/>
      <c r="BT298" s="49"/>
      <c r="BU298" s="49"/>
      <c r="BV298" s="49"/>
      <c r="BW298" s="49"/>
      <c r="BX298" s="49"/>
      <c r="BY298" s="49"/>
      <c r="BZ298" s="49"/>
      <c r="CA298" s="49"/>
    </row>
    <row r="299" spans="1:79">
      <c r="A299" s="49"/>
      <c r="B299" s="49"/>
      <c r="C299" s="49"/>
      <c r="D299" s="70" t="s">
        <v>4400</v>
      </c>
      <c r="E299" s="70"/>
      <c r="F299" s="70" t="s">
        <v>4401</v>
      </c>
      <c r="G299" s="70"/>
      <c r="H299" s="70"/>
      <c r="I299" s="70"/>
      <c r="J299" s="70"/>
      <c r="K299" s="70"/>
      <c r="L299" s="70">
        <v>100</v>
      </c>
      <c r="M299" s="70"/>
      <c r="N299" s="70"/>
      <c r="O299" s="62"/>
      <c r="P299" s="49"/>
      <c r="Q299" s="49"/>
      <c r="R299" s="49" t="s">
        <v>4402</v>
      </c>
      <c r="S299" s="49"/>
      <c r="T299" s="49" t="s">
        <v>4403</v>
      </c>
      <c r="U299" s="49"/>
      <c r="V299" s="49"/>
      <c r="W299" s="49"/>
      <c r="X299" s="49"/>
      <c r="Y299" s="49"/>
      <c r="Z299" s="49" t="s">
        <v>163</v>
      </c>
      <c r="AA299" s="49"/>
      <c r="AB299" s="49"/>
      <c r="AC299" s="49"/>
      <c r="AD299" s="49"/>
      <c r="AE299" s="49"/>
      <c r="AF299" s="110">
        <v>250</v>
      </c>
      <c r="AG299" s="111">
        <v>100</v>
      </c>
      <c r="AH299" s="49"/>
      <c r="AI299" s="49"/>
      <c r="AJ299" s="62" t="s">
        <v>4404</v>
      </c>
      <c r="AK299" s="49" t="s">
        <v>4405</v>
      </c>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134" t="s">
        <v>385</v>
      </c>
      <c r="BJ299" s="135"/>
      <c r="BK299" s="92">
        <v>7</v>
      </c>
      <c r="BL299" s="120">
        <v>660</v>
      </c>
      <c r="BM299" s="120">
        <v>110</v>
      </c>
      <c r="BN299" s="120">
        <v>26000</v>
      </c>
      <c r="BO299" s="150">
        <v>6000000</v>
      </c>
      <c r="BP299" s="149">
        <v>10</v>
      </c>
      <c r="BQ299" s="49"/>
      <c r="BR299" s="49"/>
      <c r="BS299" s="49"/>
      <c r="BT299" s="49"/>
      <c r="BU299" s="49"/>
      <c r="BV299" s="49"/>
      <c r="BW299" s="49"/>
      <c r="BX299" s="49"/>
      <c r="BY299" s="49"/>
      <c r="BZ299" s="49"/>
      <c r="CA299" s="49"/>
    </row>
    <row r="300" spans="1:79">
      <c r="A300" s="49"/>
      <c r="B300" s="49"/>
      <c r="C300" s="49"/>
      <c r="D300" s="70" t="s">
        <v>4406</v>
      </c>
      <c r="E300" s="70"/>
      <c r="F300" s="70" t="s">
        <v>4407</v>
      </c>
      <c r="G300" s="70"/>
      <c r="H300" s="70"/>
      <c r="I300" s="70"/>
      <c r="J300" s="70"/>
      <c r="K300" s="70"/>
      <c r="L300" s="70">
        <v>100</v>
      </c>
      <c r="M300" s="70"/>
      <c r="N300" s="70"/>
      <c r="O300" s="62"/>
      <c r="P300" s="49"/>
      <c r="Q300" s="49"/>
      <c r="R300" s="49" t="s">
        <v>4402</v>
      </c>
      <c r="S300" s="49"/>
      <c r="T300" s="49" t="s">
        <v>4408</v>
      </c>
      <c r="U300" s="49"/>
      <c r="V300" s="49"/>
      <c r="W300" s="49"/>
      <c r="X300" s="49"/>
      <c r="Y300" s="49"/>
      <c r="Z300" s="49" t="s">
        <v>163</v>
      </c>
      <c r="AA300" s="49"/>
      <c r="AB300" s="49"/>
      <c r="AC300" s="49"/>
      <c r="AD300" s="49"/>
      <c r="AE300" s="49"/>
      <c r="AF300" s="110">
        <v>1000</v>
      </c>
      <c r="AG300" s="111">
        <v>500</v>
      </c>
      <c r="AH300" s="49"/>
      <c r="AI300" s="49"/>
      <c r="AJ300" s="62" t="s">
        <v>4409</v>
      </c>
      <c r="AK300" s="49" t="s">
        <v>4410</v>
      </c>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137" t="s">
        <v>4115</v>
      </c>
      <c r="BJ300" s="138"/>
      <c r="BK300" s="133"/>
      <c r="BL300" s="133"/>
      <c r="BM300" s="133"/>
      <c r="BN300" s="133"/>
      <c r="BO300" s="133"/>
      <c r="BP300" s="133"/>
      <c r="BQ300" s="49"/>
      <c r="BR300" s="49"/>
      <c r="BS300" s="49"/>
      <c r="BT300" s="49"/>
      <c r="BU300" s="49"/>
      <c r="BV300" s="49"/>
      <c r="BW300" s="49"/>
      <c r="BX300" s="49"/>
      <c r="BY300" s="49"/>
      <c r="BZ300" s="49"/>
      <c r="CA300" s="49"/>
    </row>
    <row r="301" spans="1:79">
      <c r="A301" s="49"/>
      <c r="B301" s="49"/>
      <c r="C301" s="49"/>
      <c r="D301" s="70" t="s">
        <v>4411</v>
      </c>
      <c r="E301" s="70"/>
      <c r="F301" s="70" t="s">
        <v>4412</v>
      </c>
      <c r="G301" s="70"/>
      <c r="H301" s="70"/>
      <c r="I301" s="70"/>
      <c r="J301" s="70"/>
      <c r="K301" s="70"/>
      <c r="L301" s="70">
        <v>100</v>
      </c>
      <c r="M301" s="70"/>
      <c r="N301" s="70"/>
      <c r="O301" s="62"/>
      <c r="P301" s="49"/>
      <c r="Q301" s="49"/>
      <c r="R301" s="49" t="s">
        <v>4402</v>
      </c>
      <c r="S301" s="49"/>
      <c r="T301" s="49" t="s">
        <v>4413</v>
      </c>
      <c r="U301" s="49"/>
      <c r="V301" s="49"/>
      <c r="W301" s="49"/>
      <c r="X301" s="49"/>
      <c r="Y301" s="49"/>
      <c r="Z301" s="49" t="s">
        <v>163</v>
      </c>
      <c r="AA301" s="49"/>
      <c r="AB301" s="49"/>
      <c r="AC301" s="49"/>
      <c r="AD301" s="49"/>
      <c r="AE301" s="49"/>
      <c r="AF301" s="110">
        <v>2000</v>
      </c>
      <c r="AG301" s="111">
        <v>2000</v>
      </c>
      <c r="AH301" s="49"/>
      <c r="AI301" s="49"/>
      <c r="AJ301" s="62" t="s">
        <v>4414</v>
      </c>
      <c r="AK301" s="49" t="s">
        <v>4415</v>
      </c>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row>
    <row r="302" spans="1:79">
      <c r="A302" s="49"/>
      <c r="B302" s="49"/>
      <c r="C302" s="49"/>
      <c r="D302" s="70" t="s">
        <v>4416</v>
      </c>
      <c r="E302" s="70"/>
      <c r="F302" s="70" t="s">
        <v>4417</v>
      </c>
      <c r="G302" s="70"/>
      <c r="H302" s="70"/>
      <c r="I302" s="70"/>
      <c r="J302" s="70"/>
      <c r="K302" s="70"/>
      <c r="L302" s="70">
        <v>100</v>
      </c>
      <c r="M302" s="70"/>
      <c r="N302" s="70"/>
      <c r="O302" s="62"/>
      <c r="P302" s="49"/>
      <c r="Q302" s="49"/>
      <c r="R302" s="49" t="s">
        <v>163</v>
      </c>
      <c r="S302" s="49"/>
      <c r="T302" s="49" t="s">
        <v>163</v>
      </c>
      <c r="U302" s="49"/>
      <c r="V302" s="49"/>
      <c r="W302" s="49"/>
      <c r="X302" s="49"/>
      <c r="Y302" s="49"/>
      <c r="Z302" s="49" t="s">
        <v>163</v>
      </c>
      <c r="AA302" s="49"/>
      <c r="AB302" s="49"/>
      <c r="AC302" s="49"/>
      <c r="AD302" s="49"/>
      <c r="AE302" s="49"/>
      <c r="AF302" s="110"/>
      <c r="AG302" s="111"/>
      <c r="AH302" s="49"/>
      <c r="AI302" s="49"/>
      <c r="AJ302" s="62" t="s">
        <v>4418</v>
      </c>
      <c r="AK302" s="49" t="s">
        <v>4419</v>
      </c>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row>
    <row r="303" spans="1:79">
      <c r="A303" s="49"/>
      <c r="B303" s="49"/>
      <c r="C303" s="49"/>
      <c r="D303" s="70" t="s">
        <v>4420</v>
      </c>
      <c r="E303" s="70"/>
      <c r="F303" s="70" t="s">
        <v>4421</v>
      </c>
      <c r="G303" s="70"/>
      <c r="H303" s="70"/>
      <c r="I303" s="70"/>
      <c r="J303" s="70"/>
      <c r="K303" s="70"/>
      <c r="L303" s="70">
        <v>100</v>
      </c>
      <c r="M303" s="70"/>
      <c r="N303" s="70"/>
      <c r="O303" s="62"/>
      <c r="P303" s="49"/>
      <c r="Q303" s="49"/>
      <c r="R303" s="49" t="s">
        <v>4422</v>
      </c>
      <c r="S303" s="49"/>
      <c r="T303" s="49" t="s">
        <v>4423</v>
      </c>
      <c r="U303" s="49"/>
      <c r="V303" s="49"/>
      <c r="W303" s="49"/>
      <c r="X303" s="49"/>
      <c r="Y303" s="49"/>
      <c r="Z303" s="49" t="s">
        <v>4424</v>
      </c>
      <c r="AA303" s="49"/>
      <c r="AB303" s="49"/>
      <c r="AC303" s="49"/>
      <c r="AD303" s="49"/>
      <c r="AE303" s="49"/>
      <c r="AF303" s="110">
        <v>50</v>
      </c>
      <c r="AG303" s="111">
        <v>50</v>
      </c>
      <c r="AH303" s="49"/>
      <c r="AI303" s="49"/>
      <c r="AJ303" s="62" t="s">
        <v>4425</v>
      </c>
      <c r="AK303" s="49" t="s">
        <v>4426</v>
      </c>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t="s">
        <v>4427</v>
      </c>
      <c r="BJ303" s="137"/>
      <c r="BK303" s="137" t="s">
        <v>4428</v>
      </c>
      <c r="BL303" s="137"/>
      <c r="BM303" s="137"/>
      <c r="BN303" s="137"/>
      <c r="BO303" s="49"/>
      <c r="BP303" s="49"/>
      <c r="BQ303" s="49"/>
      <c r="BR303" s="49"/>
      <c r="BS303" s="49"/>
      <c r="BT303" s="49"/>
      <c r="BU303" s="49"/>
      <c r="BV303" s="49"/>
      <c r="BW303" s="49"/>
      <c r="BX303" s="49"/>
      <c r="BY303" s="49"/>
      <c r="BZ303" s="49"/>
      <c r="CA303" s="49"/>
    </row>
    <row r="304" spans="1:79">
      <c r="A304" s="49"/>
      <c r="B304" s="49"/>
      <c r="C304" s="49"/>
      <c r="D304" s="70" t="s">
        <v>4429</v>
      </c>
      <c r="E304" s="70"/>
      <c r="F304" s="70" t="s">
        <v>4430</v>
      </c>
      <c r="G304" s="70"/>
      <c r="H304" s="70"/>
      <c r="I304" s="70"/>
      <c r="J304" s="70"/>
      <c r="K304" s="70"/>
      <c r="L304" s="70">
        <v>100</v>
      </c>
      <c r="M304" s="70"/>
      <c r="N304" s="70"/>
      <c r="O304" s="62"/>
      <c r="P304" s="49"/>
      <c r="Q304" s="49"/>
      <c r="R304" s="49" t="s">
        <v>4422</v>
      </c>
      <c r="S304" s="49"/>
      <c r="T304" s="49" t="s">
        <v>4431</v>
      </c>
      <c r="U304" s="49"/>
      <c r="V304" s="49"/>
      <c r="W304" s="49"/>
      <c r="X304" s="49"/>
      <c r="Y304" s="49"/>
      <c r="Z304" s="49" t="s">
        <v>4424</v>
      </c>
      <c r="AA304" s="49"/>
      <c r="AB304" s="49"/>
      <c r="AC304" s="49"/>
      <c r="AD304" s="49"/>
      <c r="AE304" s="49"/>
      <c r="AF304" s="110">
        <v>100</v>
      </c>
      <c r="AG304" s="111">
        <v>100</v>
      </c>
      <c r="AH304" s="49"/>
      <c r="AI304" s="49"/>
      <c r="AJ304" s="62" t="s">
        <v>4432</v>
      </c>
      <c r="AK304" s="49" t="s">
        <v>4433</v>
      </c>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134" t="s">
        <v>4434</v>
      </c>
      <c r="BJ304" s="145"/>
      <c r="BK304" s="136" t="s">
        <v>243</v>
      </c>
      <c r="BL304" s="136" t="s">
        <v>244</v>
      </c>
      <c r="BM304" s="136" t="s">
        <v>4435</v>
      </c>
      <c r="BN304" s="136" t="s">
        <v>4436</v>
      </c>
      <c r="BO304" s="49"/>
      <c r="BP304" s="49"/>
      <c r="BQ304" s="49"/>
      <c r="BR304" s="49"/>
      <c r="BS304" s="49"/>
      <c r="BT304" s="49"/>
      <c r="BU304" s="49"/>
      <c r="BV304" s="49"/>
      <c r="BW304" s="49"/>
      <c r="BX304" s="49"/>
      <c r="BY304" s="49"/>
      <c r="BZ304" s="49"/>
      <c r="CA304" s="49"/>
    </row>
    <row r="305" spans="1:79">
      <c r="A305" s="49"/>
      <c r="B305" s="49"/>
      <c r="C305" s="49"/>
      <c r="D305" s="70" t="s">
        <v>4437</v>
      </c>
      <c r="E305" s="70"/>
      <c r="F305" s="70" t="s">
        <v>4438</v>
      </c>
      <c r="G305" s="70"/>
      <c r="H305" s="70"/>
      <c r="I305" s="70"/>
      <c r="J305" s="70"/>
      <c r="K305" s="70"/>
      <c r="L305" s="70">
        <v>100</v>
      </c>
      <c r="M305" s="70"/>
      <c r="N305" s="70"/>
      <c r="O305" s="62"/>
      <c r="P305" s="49"/>
      <c r="Q305" s="49"/>
      <c r="R305" s="49" t="s">
        <v>4422</v>
      </c>
      <c r="S305" s="49"/>
      <c r="T305" s="49" t="s">
        <v>4439</v>
      </c>
      <c r="U305" s="49"/>
      <c r="V305" s="49"/>
      <c r="W305" s="49"/>
      <c r="X305" s="49"/>
      <c r="Y305" s="49"/>
      <c r="Z305" s="49" t="s">
        <v>4424</v>
      </c>
      <c r="AA305" s="49"/>
      <c r="AB305" s="49"/>
      <c r="AC305" s="49"/>
      <c r="AD305" s="49"/>
      <c r="AE305" s="49"/>
      <c r="AF305" s="110">
        <v>200</v>
      </c>
      <c r="AG305" s="111">
        <v>1000</v>
      </c>
      <c r="AH305" s="49"/>
      <c r="AI305" s="49"/>
      <c r="AJ305" s="62" t="s">
        <v>4440</v>
      </c>
      <c r="AK305" s="49" t="s">
        <v>4441</v>
      </c>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137" t="s">
        <v>349</v>
      </c>
      <c r="BJ305" s="146"/>
      <c r="BK305" s="121">
        <v>1</v>
      </c>
      <c r="BL305" s="120">
        <v>100000</v>
      </c>
      <c r="BM305" s="120">
        <v>50</v>
      </c>
      <c r="BN305" s="151">
        <f>BM305*0.75</f>
        <v>37.5</v>
      </c>
      <c r="BO305" s="49"/>
      <c r="BP305" s="49"/>
      <c r="BQ305" s="49"/>
      <c r="BR305" s="49"/>
      <c r="BS305" s="49"/>
      <c r="BT305" s="49"/>
      <c r="BU305" s="49"/>
      <c r="BV305" s="49"/>
      <c r="BW305" s="49"/>
      <c r="BX305" s="49"/>
      <c r="BY305" s="49"/>
      <c r="BZ305" s="49"/>
      <c r="CA305" s="49"/>
    </row>
    <row r="306" spans="1:79">
      <c r="A306" s="49"/>
      <c r="B306" s="49"/>
      <c r="C306" s="49"/>
      <c r="D306" s="70" t="s">
        <v>4442</v>
      </c>
      <c r="E306" s="70"/>
      <c r="F306" s="70" t="s">
        <v>4443</v>
      </c>
      <c r="G306" s="70"/>
      <c r="H306" s="70"/>
      <c r="I306" s="70"/>
      <c r="J306" s="70"/>
      <c r="K306" s="70"/>
      <c r="L306" s="70">
        <v>100</v>
      </c>
      <c r="M306" s="70"/>
      <c r="N306" s="70"/>
      <c r="O306" s="62"/>
      <c r="P306" s="49"/>
      <c r="Q306" s="49"/>
      <c r="R306" s="49" t="s">
        <v>163</v>
      </c>
      <c r="S306" s="49"/>
      <c r="T306" s="49" t="s">
        <v>163</v>
      </c>
      <c r="U306" s="49"/>
      <c r="V306" s="49"/>
      <c r="W306" s="49"/>
      <c r="X306" s="49"/>
      <c r="Y306" s="49"/>
      <c r="Z306" s="49" t="s">
        <v>163</v>
      </c>
      <c r="AA306" s="49"/>
      <c r="AB306" s="49"/>
      <c r="AC306" s="49"/>
      <c r="AD306" s="49"/>
      <c r="AE306" s="49"/>
      <c r="AF306" s="110"/>
      <c r="AG306" s="111"/>
      <c r="AH306" s="49"/>
      <c r="AI306" s="49"/>
      <c r="AJ306" s="62" t="s">
        <v>4444</v>
      </c>
      <c r="AK306" s="49" t="s">
        <v>4445</v>
      </c>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137" t="s">
        <v>283</v>
      </c>
      <c r="BJ306" s="146"/>
      <c r="BK306" s="121">
        <v>2</v>
      </c>
      <c r="BL306" s="120">
        <v>100500</v>
      </c>
      <c r="BM306" s="120">
        <v>55</v>
      </c>
      <c r="BN306" s="151">
        <f>BM306*0.75</f>
        <v>41.25</v>
      </c>
      <c r="BO306" s="49"/>
      <c r="BP306" s="49"/>
      <c r="BQ306" s="49"/>
      <c r="BR306" s="49"/>
      <c r="BS306" s="49"/>
      <c r="BT306" s="49"/>
      <c r="BU306" s="49"/>
      <c r="BV306" s="49"/>
      <c r="BW306" s="49"/>
      <c r="BX306" s="49"/>
      <c r="BY306" s="49"/>
      <c r="BZ306" s="49"/>
      <c r="CA306" s="49"/>
    </row>
    <row r="307" spans="1:79">
      <c r="A307" s="49"/>
      <c r="B307" s="49"/>
      <c r="C307" s="49"/>
      <c r="D307" s="70" t="s">
        <v>4446</v>
      </c>
      <c r="E307" s="70"/>
      <c r="F307" s="70" t="s">
        <v>4447</v>
      </c>
      <c r="G307" s="70"/>
      <c r="H307" s="70"/>
      <c r="I307" s="70"/>
      <c r="J307" s="70"/>
      <c r="K307" s="70"/>
      <c r="L307" s="70">
        <v>100</v>
      </c>
      <c r="M307" s="70"/>
      <c r="N307" s="70"/>
      <c r="O307" s="62"/>
      <c r="P307" s="49"/>
      <c r="Q307" s="49"/>
      <c r="R307" s="49" t="s">
        <v>4448</v>
      </c>
      <c r="S307" s="49"/>
      <c r="T307" s="49" t="s">
        <v>4449</v>
      </c>
      <c r="U307" s="49"/>
      <c r="V307" s="49"/>
      <c r="W307" s="49"/>
      <c r="X307" s="49"/>
      <c r="Y307" s="49"/>
      <c r="Z307" s="49" t="s">
        <v>4450</v>
      </c>
      <c r="AA307" s="49"/>
      <c r="AB307" s="49"/>
      <c r="AC307" s="49"/>
      <c r="AD307" s="49"/>
      <c r="AE307" s="49"/>
      <c r="AF307" s="110">
        <v>100</v>
      </c>
      <c r="AG307" s="111">
        <v>50</v>
      </c>
      <c r="AH307" s="49"/>
      <c r="AI307" s="49"/>
      <c r="AJ307" s="62" t="s">
        <v>4451</v>
      </c>
      <c r="AK307" s="49" t="s">
        <v>4452</v>
      </c>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140" t="s">
        <v>897</v>
      </c>
      <c r="BJ307" s="141"/>
      <c r="BK307" s="121">
        <v>3</v>
      </c>
      <c r="BL307" s="120">
        <v>101000</v>
      </c>
      <c r="BM307" s="120">
        <v>60</v>
      </c>
      <c r="BN307" s="151">
        <f>BM307*0.75</f>
        <v>45</v>
      </c>
      <c r="BO307" s="49"/>
      <c r="BP307" s="49"/>
      <c r="BQ307" s="49"/>
      <c r="BR307" s="49"/>
      <c r="BS307" s="49"/>
      <c r="BT307" s="49"/>
      <c r="BU307" s="49"/>
      <c r="BV307" s="49"/>
      <c r="BW307" s="49"/>
      <c r="BX307" s="49"/>
      <c r="BY307" s="49"/>
      <c r="BZ307" s="49"/>
      <c r="CA307" s="49"/>
    </row>
    <row r="308" spans="1:79">
      <c r="A308" s="49"/>
      <c r="B308" s="49"/>
      <c r="C308" s="49"/>
      <c r="D308" s="70" t="s">
        <v>4453</v>
      </c>
      <c r="E308" s="70"/>
      <c r="F308" s="70" t="s">
        <v>4454</v>
      </c>
      <c r="G308" s="70"/>
      <c r="H308" s="70"/>
      <c r="I308" s="70"/>
      <c r="J308" s="70"/>
      <c r="K308" s="70"/>
      <c r="L308" s="70">
        <v>100</v>
      </c>
      <c r="M308" s="70"/>
      <c r="N308" s="70"/>
      <c r="O308" s="62"/>
      <c r="P308" s="49"/>
      <c r="Q308" s="49"/>
      <c r="R308" s="49" t="s">
        <v>4448</v>
      </c>
      <c r="S308" s="49"/>
      <c r="T308" s="49" t="s">
        <v>4455</v>
      </c>
      <c r="U308" s="49"/>
      <c r="V308" s="49"/>
      <c r="W308" s="49"/>
      <c r="X308" s="49"/>
      <c r="Y308" s="49"/>
      <c r="Z308" s="49" t="s">
        <v>4450</v>
      </c>
      <c r="AA308" s="49"/>
      <c r="AB308" s="49"/>
      <c r="AC308" s="49"/>
      <c r="AD308" s="49"/>
      <c r="AE308" s="49"/>
      <c r="AF308" s="110">
        <v>200</v>
      </c>
      <c r="AG308" s="111">
        <v>500</v>
      </c>
      <c r="AH308" s="49"/>
      <c r="AI308" s="49"/>
      <c r="AJ308" s="62" t="s">
        <v>4456</v>
      </c>
      <c r="AK308" s="49" t="s">
        <v>4457</v>
      </c>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134" t="s">
        <v>695</v>
      </c>
      <c r="BJ308" s="145"/>
      <c r="BK308" s="91"/>
      <c r="BL308" s="120"/>
      <c r="BM308" s="120"/>
      <c r="BN308" s="151"/>
      <c r="BO308" s="49"/>
      <c r="BP308" s="49"/>
      <c r="BQ308" s="49"/>
      <c r="BR308" s="49"/>
      <c r="BS308" s="49"/>
      <c r="BT308" s="49"/>
      <c r="BU308" s="49"/>
      <c r="BV308" s="49"/>
      <c r="BW308" s="49"/>
      <c r="BX308" s="49"/>
      <c r="BY308" s="49"/>
      <c r="BZ308" s="49"/>
      <c r="CA308" s="49"/>
    </row>
    <row r="309" spans="1:79">
      <c r="A309" s="49"/>
      <c r="B309" s="49"/>
      <c r="C309" s="49"/>
      <c r="D309" s="70" t="s">
        <v>4458</v>
      </c>
      <c r="E309" s="70"/>
      <c r="F309" s="70" t="s">
        <v>4459</v>
      </c>
      <c r="G309" s="70"/>
      <c r="H309" s="70"/>
      <c r="I309" s="70"/>
      <c r="J309" s="70"/>
      <c r="K309" s="70"/>
      <c r="L309" s="70">
        <v>100</v>
      </c>
      <c r="M309" s="70"/>
      <c r="N309" s="70"/>
      <c r="O309" s="62"/>
      <c r="P309" s="49"/>
      <c r="Q309" s="49"/>
      <c r="R309" s="49" t="s">
        <v>4448</v>
      </c>
      <c r="S309" s="49"/>
      <c r="T309" s="49" t="s">
        <v>4460</v>
      </c>
      <c r="U309" s="49"/>
      <c r="V309" s="49"/>
      <c r="W309" s="49"/>
      <c r="X309" s="49"/>
      <c r="Y309" s="49"/>
      <c r="Z309" s="49" t="s">
        <v>4450</v>
      </c>
      <c r="AA309" s="49"/>
      <c r="AB309" s="49"/>
      <c r="AC309" s="49"/>
      <c r="AD309" s="49"/>
      <c r="AE309" s="49"/>
      <c r="AF309" s="110">
        <v>1000</v>
      </c>
      <c r="AG309" s="111">
        <v>5000</v>
      </c>
      <c r="AH309" s="49"/>
      <c r="AI309" s="49"/>
      <c r="AJ309" s="62" t="s">
        <v>4461</v>
      </c>
      <c r="AK309" s="49" t="s">
        <v>4462</v>
      </c>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137"/>
      <c r="BJ309" s="146"/>
      <c r="BK309" s="93"/>
      <c r="BL309" s="120"/>
      <c r="BM309" s="120"/>
      <c r="BN309" s="151"/>
      <c r="BO309" s="49"/>
      <c r="BP309" s="49"/>
      <c r="BQ309" s="49"/>
      <c r="BR309" s="49"/>
      <c r="BS309" s="49"/>
      <c r="BT309" s="49"/>
      <c r="BU309" s="49"/>
      <c r="BV309" s="49"/>
      <c r="BW309" s="49"/>
      <c r="BX309" s="49"/>
      <c r="BY309" s="49"/>
      <c r="BZ309" s="49"/>
      <c r="CA309" s="49"/>
    </row>
    <row r="310" spans="1:79">
      <c r="A310" s="49"/>
      <c r="B310" s="49"/>
      <c r="C310" s="49"/>
      <c r="D310" s="70" t="s">
        <v>4463</v>
      </c>
      <c r="E310" s="70"/>
      <c r="F310" s="70" t="s">
        <v>4464</v>
      </c>
      <c r="G310" s="70"/>
      <c r="H310" s="70"/>
      <c r="I310" s="70"/>
      <c r="J310" s="70"/>
      <c r="K310" s="70"/>
      <c r="L310" s="70">
        <v>100</v>
      </c>
      <c r="M310" s="70"/>
      <c r="N310" s="70"/>
      <c r="O310" s="62"/>
      <c r="P310" s="49"/>
      <c r="Q310" s="49"/>
      <c r="R310" s="49" t="s">
        <v>163</v>
      </c>
      <c r="S310" s="49"/>
      <c r="T310" s="49" t="s">
        <v>163</v>
      </c>
      <c r="U310" s="49"/>
      <c r="V310" s="49"/>
      <c r="W310" s="49"/>
      <c r="X310" s="49"/>
      <c r="Y310" s="49"/>
      <c r="Z310" s="49" t="s">
        <v>163</v>
      </c>
      <c r="AA310" s="49"/>
      <c r="AB310" s="49"/>
      <c r="AC310" s="49"/>
      <c r="AD310" s="49"/>
      <c r="AE310" s="49"/>
      <c r="AF310" s="110"/>
      <c r="AG310" s="111"/>
      <c r="AH310" s="49"/>
      <c r="AI310" s="49"/>
      <c r="AJ310" s="62" t="s">
        <v>4465</v>
      </c>
      <c r="AK310" s="49" t="s">
        <v>4466</v>
      </c>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140"/>
      <c r="BJ310" s="141"/>
      <c r="BK310" s="120"/>
      <c r="BL310" s="120"/>
      <c r="BM310" s="120"/>
      <c r="BN310" s="120"/>
      <c r="BO310" s="49"/>
      <c r="BP310" s="49"/>
      <c r="BQ310" s="49"/>
      <c r="BR310" s="49"/>
      <c r="BS310" s="49"/>
      <c r="BT310" s="49"/>
      <c r="BU310" s="49"/>
      <c r="BV310" s="49"/>
      <c r="BW310" s="49"/>
      <c r="BX310" s="49"/>
      <c r="BY310" s="49"/>
      <c r="BZ310" s="49"/>
      <c r="CA310" s="49"/>
    </row>
    <row r="311" spans="1:79">
      <c r="A311" s="49"/>
      <c r="B311" s="49"/>
      <c r="C311" s="49"/>
      <c r="D311" s="70" t="s">
        <v>4467</v>
      </c>
      <c r="E311" s="70"/>
      <c r="F311" s="70" t="s">
        <v>4468</v>
      </c>
      <c r="G311" s="70"/>
      <c r="H311" s="70"/>
      <c r="I311" s="70"/>
      <c r="J311" s="70"/>
      <c r="K311" s="70"/>
      <c r="L311" s="70">
        <v>100</v>
      </c>
      <c r="M311" s="70"/>
      <c r="N311" s="70"/>
      <c r="O311" s="62"/>
      <c r="P311" s="49"/>
      <c r="Q311" s="49"/>
      <c r="R311" s="49" t="s">
        <v>4469</v>
      </c>
      <c r="S311" s="49"/>
      <c r="T311" s="49" t="s">
        <v>4470</v>
      </c>
      <c r="U311" s="49"/>
      <c r="V311" s="49"/>
      <c r="W311" s="49"/>
      <c r="X311" s="49"/>
      <c r="Y311" s="49"/>
      <c r="Z311" s="49" t="s">
        <v>4471</v>
      </c>
      <c r="AA311" s="49"/>
      <c r="AB311" s="49"/>
      <c r="AC311" s="49"/>
      <c r="AD311" s="49"/>
      <c r="AE311" s="49"/>
      <c r="AF311" s="110">
        <v>50</v>
      </c>
      <c r="AG311" s="111">
        <v>50</v>
      </c>
      <c r="AH311" s="49"/>
      <c r="AI311" s="49"/>
      <c r="AJ311" s="62" t="s">
        <v>4472</v>
      </c>
      <c r="AK311" s="49" t="s">
        <v>4473</v>
      </c>
      <c r="AL311" s="49"/>
      <c r="AM311" s="49"/>
      <c r="AN311" s="49"/>
      <c r="AO311" s="49"/>
      <c r="AP311" s="49"/>
      <c r="AQ311" s="49"/>
      <c r="AR311" s="49"/>
      <c r="AS311" s="49"/>
      <c r="AT311" s="49"/>
      <c r="AU311" s="49"/>
      <c r="AV311" s="49"/>
      <c r="AW311" s="49"/>
      <c r="AX311" s="49"/>
      <c r="AY311" s="49"/>
      <c r="AZ311" s="49"/>
      <c r="BA311" s="49"/>
      <c r="BB311" s="49"/>
      <c r="BC311" s="49"/>
      <c r="BD311" s="49"/>
      <c r="BE311" s="49"/>
      <c r="BF311" s="49"/>
      <c r="BG311" s="49"/>
      <c r="BH311" s="49"/>
      <c r="BI311" s="137" t="s">
        <v>305</v>
      </c>
      <c r="BJ311" s="145"/>
      <c r="BK311" s="95" t="s">
        <v>4474</v>
      </c>
      <c r="BL311" s="120"/>
      <c r="BM311" s="120"/>
      <c r="BN311" s="120"/>
      <c r="BO311" s="49"/>
      <c r="BP311" s="49"/>
      <c r="BQ311" s="49"/>
      <c r="BR311" s="49"/>
      <c r="BS311" s="49"/>
      <c r="BT311" s="49"/>
      <c r="BU311" s="49"/>
      <c r="BV311" s="49"/>
      <c r="BW311" s="49"/>
      <c r="BX311" s="49"/>
      <c r="BY311" s="49"/>
      <c r="BZ311" s="49"/>
      <c r="CA311" s="49"/>
    </row>
    <row r="312" spans="1:79">
      <c r="A312" s="49"/>
      <c r="B312" s="49"/>
      <c r="C312" s="49"/>
      <c r="D312" s="70" t="s">
        <v>4475</v>
      </c>
      <c r="E312" s="70"/>
      <c r="F312" s="70" t="s">
        <v>4476</v>
      </c>
      <c r="G312" s="70"/>
      <c r="H312" s="70"/>
      <c r="I312" s="70"/>
      <c r="J312" s="70"/>
      <c r="K312" s="70"/>
      <c r="L312" s="70">
        <v>100</v>
      </c>
      <c r="M312" s="70"/>
      <c r="N312" s="70"/>
      <c r="O312" s="62"/>
      <c r="P312" s="49"/>
      <c r="Q312" s="49"/>
      <c r="R312" s="49" t="s">
        <v>4469</v>
      </c>
      <c r="S312" s="49"/>
      <c r="T312" s="49" t="s">
        <v>4477</v>
      </c>
      <c r="U312" s="49"/>
      <c r="V312" s="49"/>
      <c r="W312" s="49"/>
      <c r="X312" s="49"/>
      <c r="Y312" s="49"/>
      <c r="Z312" s="49" t="s">
        <v>4471</v>
      </c>
      <c r="AA312" s="49"/>
      <c r="AB312" s="49"/>
      <c r="AC312" s="49"/>
      <c r="AD312" s="49"/>
      <c r="AE312" s="49"/>
      <c r="AF312" s="110">
        <v>200</v>
      </c>
      <c r="AG312" s="111">
        <v>500</v>
      </c>
      <c r="AH312" s="49"/>
      <c r="AI312" s="49"/>
      <c r="AJ312" s="62" t="s">
        <v>4478</v>
      </c>
      <c r="AK312" s="49" t="s">
        <v>4479</v>
      </c>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49"/>
      <c r="BY312" s="49"/>
      <c r="BZ312" s="49"/>
      <c r="CA312" s="49"/>
    </row>
    <row r="313" spans="1:79">
      <c r="A313" s="49"/>
      <c r="B313" s="49"/>
      <c r="C313" s="49"/>
      <c r="D313" s="70" t="s">
        <v>4469</v>
      </c>
      <c r="E313" s="70"/>
      <c r="F313" s="70" t="s">
        <v>4480</v>
      </c>
      <c r="G313" s="70"/>
      <c r="H313" s="70"/>
      <c r="I313" s="70"/>
      <c r="J313" s="70"/>
      <c r="K313" s="70"/>
      <c r="L313" s="70">
        <v>100</v>
      </c>
      <c r="M313" s="70"/>
      <c r="N313" s="70"/>
      <c r="O313" s="62"/>
      <c r="P313" s="49"/>
      <c r="Q313" s="49"/>
      <c r="R313" s="49" t="s">
        <v>4469</v>
      </c>
      <c r="S313" s="49"/>
      <c r="T313" s="49" t="s">
        <v>4481</v>
      </c>
      <c r="U313" s="49"/>
      <c r="V313" s="49"/>
      <c r="W313" s="49"/>
      <c r="X313" s="49"/>
      <c r="Y313" s="49"/>
      <c r="Z313" s="49" t="s">
        <v>4471</v>
      </c>
      <c r="AA313" s="49"/>
      <c r="AB313" s="49"/>
      <c r="AC313" s="49"/>
      <c r="AD313" s="49"/>
      <c r="AE313" s="49"/>
      <c r="AF313" s="110">
        <v>1000</v>
      </c>
      <c r="AG313" s="111">
        <v>5000</v>
      </c>
      <c r="AH313" s="49"/>
      <c r="AI313" s="49"/>
      <c r="AJ313" s="62" t="s">
        <v>4482</v>
      </c>
      <c r="AK313" s="49" t="s">
        <v>4483</v>
      </c>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c r="CA313" s="49"/>
    </row>
    <row r="314" spans="1:79">
      <c r="A314" s="49"/>
      <c r="B314" s="49"/>
      <c r="C314" s="49"/>
      <c r="D314" s="70" t="s">
        <v>3962</v>
      </c>
      <c r="E314" s="70"/>
      <c r="F314" s="70" t="s">
        <v>4484</v>
      </c>
      <c r="G314" s="70"/>
      <c r="H314" s="70"/>
      <c r="I314" s="70"/>
      <c r="J314" s="70"/>
      <c r="K314" s="70"/>
      <c r="L314" s="70">
        <v>100</v>
      </c>
      <c r="M314" s="70"/>
      <c r="N314" s="70"/>
      <c r="O314" s="62"/>
      <c r="P314" s="49"/>
      <c r="Q314" s="49"/>
      <c r="R314" s="49" t="s">
        <v>163</v>
      </c>
      <c r="S314" s="49"/>
      <c r="T314" s="49" t="s">
        <v>163</v>
      </c>
      <c r="U314" s="49"/>
      <c r="V314" s="49"/>
      <c r="W314" s="49"/>
      <c r="X314" s="49"/>
      <c r="Y314" s="49"/>
      <c r="Z314" s="49" t="s">
        <v>163</v>
      </c>
      <c r="AA314" s="49"/>
      <c r="AB314" s="49"/>
      <c r="AC314" s="49"/>
      <c r="AD314" s="49"/>
      <c r="AE314" s="49"/>
      <c r="AF314" s="110"/>
      <c r="AG314" s="111"/>
      <c r="AH314" s="49"/>
      <c r="AI314" s="49"/>
      <c r="AJ314" s="62" t="s">
        <v>4485</v>
      </c>
      <c r="AK314" s="49" t="s">
        <v>4486</v>
      </c>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row>
    <row r="315" spans="1:79">
      <c r="A315" s="49"/>
      <c r="B315" s="49"/>
      <c r="C315" s="49"/>
      <c r="D315" s="62" t="s">
        <v>4487</v>
      </c>
      <c r="E315" s="49"/>
      <c r="F315" s="49" t="s">
        <v>4488</v>
      </c>
      <c r="G315" s="71"/>
      <c r="H315" s="49"/>
      <c r="I315" s="49"/>
      <c r="J315" s="49"/>
      <c r="K315" s="49"/>
      <c r="L315" s="70">
        <v>50</v>
      </c>
      <c r="M315" s="62"/>
      <c r="N315" s="62"/>
      <c r="O315" s="62"/>
      <c r="P315" s="49"/>
      <c r="Q315" s="49"/>
      <c r="R315" s="49" t="s">
        <v>4489</v>
      </c>
      <c r="S315" s="49"/>
      <c r="T315" s="49" t="s">
        <v>4490</v>
      </c>
      <c r="U315" s="49"/>
      <c r="V315" s="49"/>
      <c r="W315" s="49"/>
      <c r="X315" s="49"/>
      <c r="Y315" s="49"/>
      <c r="Z315" s="49" t="s">
        <v>4491</v>
      </c>
      <c r="AA315" s="49"/>
      <c r="AB315" s="49"/>
      <c r="AC315" s="49"/>
      <c r="AD315" s="49"/>
      <c r="AE315" s="49"/>
      <c r="AF315" s="110">
        <v>25</v>
      </c>
      <c r="AG315" s="111">
        <v>100</v>
      </c>
      <c r="AH315" s="49"/>
      <c r="AI315" s="49"/>
      <c r="AJ315" s="62" t="s">
        <v>4492</v>
      </c>
      <c r="AK315" s="49" t="s">
        <v>4493</v>
      </c>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c r="CA315" s="49"/>
    </row>
    <row r="316" spans="1:79">
      <c r="A316" s="49"/>
      <c r="B316" s="49"/>
      <c r="C316" s="49"/>
      <c r="D316" s="62" t="s">
        <v>4494</v>
      </c>
      <c r="E316" s="49"/>
      <c r="F316" s="49" t="s">
        <v>4495</v>
      </c>
      <c r="G316" s="71"/>
      <c r="H316" s="49"/>
      <c r="I316" s="49"/>
      <c r="J316" s="49"/>
      <c r="K316" s="49"/>
      <c r="L316" s="70">
        <v>50</v>
      </c>
      <c r="M316" s="62"/>
      <c r="N316" s="62"/>
      <c r="O316" s="62"/>
      <c r="P316" s="49"/>
      <c r="Q316" s="49"/>
      <c r="R316" s="49" t="s">
        <v>4489</v>
      </c>
      <c r="S316" s="49"/>
      <c r="T316" s="49" t="s">
        <v>4496</v>
      </c>
      <c r="U316" s="49"/>
      <c r="V316" s="49"/>
      <c r="W316" s="49"/>
      <c r="X316" s="49"/>
      <c r="Y316" s="49"/>
      <c r="Z316" s="49" t="s">
        <v>4491</v>
      </c>
      <c r="AA316" s="49"/>
      <c r="AB316" s="49"/>
      <c r="AC316" s="49"/>
      <c r="AD316" s="49"/>
      <c r="AE316" s="49"/>
      <c r="AF316" s="110">
        <v>100</v>
      </c>
      <c r="AG316" s="111">
        <v>500</v>
      </c>
      <c r="AH316" s="49"/>
      <c r="AI316" s="49"/>
      <c r="AJ316" s="62" t="s">
        <v>4497</v>
      </c>
      <c r="AK316" s="49" t="s">
        <v>4498</v>
      </c>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row>
    <row r="317" spans="1:79">
      <c r="A317" s="49"/>
      <c r="B317" s="49"/>
      <c r="C317" s="49"/>
      <c r="D317" s="62"/>
      <c r="E317" s="49"/>
      <c r="F317" s="49"/>
      <c r="G317" s="71"/>
      <c r="H317" s="49"/>
      <c r="I317" s="49"/>
      <c r="J317" s="49"/>
      <c r="K317" s="49"/>
      <c r="L317" s="49"/>
      <c r="M317" s="62"/>
      <c r="N317" s="62"/>
      <c r="O317" s="62"/>
      <c r="P317" s="49"/>
      <c r="Q317" s="49"/>
      <c r="R317" s="49" t="s">
        <v>4489</v>
      </c>
      <c r="S317" s="49"/>
      <c r="T317" s="49" t="s">
        <v>4499</v>
      </c>
      <c r="U317" s="49"/>
      <c r="V317" s="49"/>
      <c r="W317" s="49"/>
      <c r="X317" s="49"/>
      <c r="Y317" s="49"/>
      <c r="Z317" s="49" t="s">
        <v>4491</v>
      </c>
      <c r="AA317" s="49"/>
      <c r="AB317" s="49"/>
      <c r="AC317" s="49"/>
      <c r="AD317" s="49"/>
      <c r="AE317" s="49"/>
      <c r="AF317" s="110">
        <v>500</v>
      </c>
      <c r="AG317" s="111">
        <v>5000</v>
      </c>
      <c r="AH317" s="49"/>
      <c r="AI317" s="49"/>
      <c r="AJ317" s="62" t="s">
        <v>4500</v>
      </c>
      <c r="AK317" s="49" t="s">
        <v>4501</v>
      </c>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row>
    <row r="318" spans="1:79">
      <c r="A318" s="49"/>
      <c r="B318" s="49"/>
      <c r="C318" s="49"/>
      <c r="D318" s="62"/>
      <c r="E318" s="49"/>
      <c r="F318" s="49"/>
      <c r="G318" s="71"/>
      <c r="H318" s="49"/>
      <c r="I318" s="49"/>
      <c r="J318" s="49"/>
      <c r="K318" s="49"/>
      <c r="L318" s="49"/>
      <c r="M318" s="62"/>
      <c r="N318" s="62"/>
      <c r="O318" s="62"/>
      <c r="P318" s="49"/>
      <c r="Q318" s="49"/>
      <c r="R318" s="49" t="s">
        <v>163</v>
      </c>
      <c r="S318" s="49"/>
      <c r="T318" s="49" t="s">
        <v>163</v>
      </c>
      <c r="U318" s="49"/>
      <c r="V318" s="49"/>
      <c r="W318" s="49"/>
      <c r="X318" s="49"/>
      <c r="Y318" s="49"/>
      <c r="Z318" s="49" t="s">
        <v>163</v>
      </c>
      <c r="AA318" s="49"/>
      <c r="AB318" s="49"/>
      <c r="AC318" s="49"/>
      <c r="AD318" s="49"/>
      <c r="AE318" s="49"/>
      <c r="AF318" s="110"/>
      <c r="AG318" s="111"/>
      <c r="AH318" s="49"/>
      <c r="AI318" s="49"/>
      <c r="AJ318" s="62" t="s">
        <v>4502</v>
      </c>
      <c r="AK318" s="49" t="s">
        <v>4503</v>
      </c>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row>
    <row r="319" spans="1:79">
      <c r="A319" s="49"/>
      <c r="B319" s="49"/>
      <c r="C319" s="49"/>
      <c r="D319" s="62"/>
      <c r="E319" s="49"/>
      <c r="F319" s="49"/>
      <c r="G319" s="71"/>
      <c r="H319" s="49"/>
      <c r="I319" s="49"/>
      <c r="J319" s="49"/>
      <c r="K319" s="49"/>
      <c r="L319" s="49"/>
      <c r="M319" s="62"/>
      <c r="N319" s="62"/>
      <c r="O319" s="62"/>
      <c r="P319" s="49"/>
      <c r="Q319" s="49"/>
      <c r="R319" s="49" t="s">
        <v>4504</v>
      </c>
      <c r="S319" s="49"/>
      <c r="T319" s="49" t="s">
        <v>4505</v>
      </c>
      <c r="U319" s="49"/>
      <c r="V319" s="49"/>
      <c r="W319" s="49"/>
      <c r="X319" s="49"/>
      <c r="Y319" s="49"/>
      <c r="Z319" s="49" t="s">
        <v>4506</v>
      </c>
      <c r="AA319" s="49"/>
      <c r="AB319" s="49"/>
      <c r="AC319" s="49"/>
      <c r="AD319" s="49"/>
      <c r="AE319" s="49"/>
      <c r="AF319" s="110">
        <v>150</v>
      </c>
      <c r="AG319" s="111">
        <v>100</v>
      </c>
      <c r="AH319" s="49"/>
      <c r="AI319" s="49"/>
      <c r="AJ319" s="62" t="s">
        <v>4507</v>
      </c>
      <c r="AK319" s="49" t="s">
        <v>4508</v>
      </c>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row>
    <row r="320" spans="1:79">
      <c r="A320" s="49"/>
      <c r="B320" s="49"/>
      <c r="C320" s="49"/>
      <c r="D320" s="62"/>
      <c r="E320" s="49"/>
      <c r="F320" s="49"/>
      <c r="G320" s="71"/>
      <c r="H320" s="49"/>
      <c r="I320" s="49"/>
      <c r="J320" s="49"/>
      <c r="K320" s="49"/>
      <c r="L320" s="49"/>
      <c r="M320" s="62"/>
      <c r="N320" s="62"/>
      <c r="O320" s="62"/>
      <c r="P320" s="49"/>
      <c r="Q320" s="49"/>
      <c r="R320" s="49" t="s">
        <v>4504</v>
      </c>
      <c r="S320" s="49"/>
      <c r="T320" s="49" t="s">
        <v>4509</v>
      </c>
      <c r="U320" s="49"/>
      <c r="V320" s="49"/>
      <c r="W320" s="49"/>
      <c r="X320" s="49"/>
      <c r="Y320" s="49"/>
      <c r="Z320" s="49" t="s">
        <v>4506</v>
      </c>
      <c r="AA320" s="49"/>
      <c r="AB320" s="49"/>
      <c r="AC320" s="49"/>
      <c r="AD320" s="49"/>
      <c r="AE320" s="49"/>
      <c r="AF320" s="110">
        <v>300</v>
      </c>
      <c r="AG320" s="111">
        <v>800</v>
      </c>
      <c r="AH320" s="49"/>
      <c r="AI320" s="49"/>
      <c r="AJ320" s="62" t="s">
        <v>4510</v>
      </c>
      <c r="AK320" s="49" t="s">
        <v>4511</v>
      </c>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c r="CA320" s="49"/>
    </row>
    <row r="321" spans="1:79">
      <c r="A321" s="49"/>
      <c r="B321" s="49"/>
      <c r="C321" s="49"/>
      <c r="D321" s="62"/>
      <c r="E321" s="49"/>
      <c r="F321" s="49"/>
      <c r="G321" s="71"/>
      <c r="H321" s="49"/>
      <c r="I321" s="49"/>
      <c r="J321" s="49"/>
      <c r="K321" s="49"/>
      <c r="L321" s="49"/>
      <c r="M321" s="62"/>
      <c r="N321" s="62"/>
      <c r="O321" s="62"/>
      <c r="P321" s="49"/>
      <c r="Q321" s="49"/>
      <c r="R321" s="49" t="s">
        <v>4504</v>
      </c>
      <c r="S321" s="49"/>
      <c r="T321" s="49" t="s">
        <v>4512</v>
      </c>
      <c r="U321" s="49"/>
      <c r="V321" s="49"/>
      <c r="W321" s="49"/>
      <c r="X321" s="49"/>
      <c r="Y321" s="49"/>
      <c r="Z321" s="49" t="s">
        <v>4506</v>
      </c>
      <c r="AA321" s="49"/>
      <c r="AB321" s="49"/>
      <c r="AC321" s="49"/>
      <c r="AD321" s="49"/>
      <c r="AE321" s="49"/>
      <c r="AF321" s="110">
        <v>1000</v>
      </c>
      <c r="AG321" s="111">
        <v>5000</v>
      </c>
      <c r="AH321" s="49"/>
      <c r="AI321" s="49"/>
      <c r="AJ321" s="62" t="s">
        <v>4513</v>
      </c>
      <c r="AK321" s="49" t="s">
        <v>4514</v>
      </c>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row>
    <row r="322" spans="1:79">
      <c r="A322" s="49"/>
      <c r="B322" s="49"/>
      <c r="C322" s="49"/>
      <c r="D322" s="62"/>
      <c r="E322" s="49"/>
      <c r="F322" s="49"/>
      <c r="G322" s="71"/>
      <c r="H322" s="49"/>
      <c r="I322" s="49"/>
      <c r="J322" s="49"/>
      <c r="K322" s="49"/>
      <c r="L322" s="49"/>
      <c r="M322" s="62"/>
      <c r="N322" s="62"/>
      <c r="O322" s="62"/>
      <c r="P322" s="49"/>
      <c r="Q322" s="49"/>
      <c r="R322" s="49" t="s">
        <v>163</v>
      </c>
      <c r="S322" s="49"/>
      <c r="T322" s="49" t="s">
        <v>163</v>
      </c>
      <c r="U322" s="49"/>
      <c r="V322" s="49"/>
      <c r="W322" s="49"/>
      <c r="X322" s="49"/>
      <c r="Y322" s="49"/>
      <c r="Z322" s="49" t="s">
        <v>163</v>
      </c>
      <c r="AA322" s="49"/>
      <c r="AB322" s="49"/>
      <c r="AC322" s="49"/>
      <c r="AD322" s="49"/>
      <c r="AE322" s="49"/>
      <c r="AF322" s="110"/>
      <c r="AG322" s="111"/>
      <c r="AH322" s="49"/>
      <c r="AI322" s="49"/>
      <c r="AJ322" s="62" t="s">
        <v>4515</v>
      </c>
      <c r="AK322" s="49" t="s">
        <v>4516</v>
      </c>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row>
    <row r="323" spans="1:79">
      <c r="A323" s="49"/>
      <c r="B323" s="49"/>
      <c r="C323" s="49"/>
      <c r="D323" s="62"/>
      <c r="E323" s="49"/>
      <c r="F323" s="49"/>
      <c r="G323" s="71"/>
      <c r="H323" s="49"/>
      <c r="I323" s="49"/>
      <c r="J323" s="49"/>
      <c r="K323" s="49"/>
      <c r="L323" s="49"/>
      <c r="M323" s="62"/>
      <c r="N323" s="62"/>
      <c r="O323" s="62"/>
      <c r="P323" s="49"/>
      <c r="Q323" s="49"/>
      <c r="R323" s="49" t="s">
        <v>4517</v>
      </c>
      <c r="S323" s="49"/>
      <c r="T323" s="49" t="s">
        <v>4518</v>
      </c>
      <c r="U323" s="49"/>
      <c r="V323" s="49"/>
      <c r="W323" s="49"/>
      <c r="X323" s="49"/>
      <c r="Y323" s="49"/>
      <c r="Z323" s="49" t="s">
        <v>4519</v>
      </c>
      <c r="AA323" s="49"/>
      <c r="AB323" s="49"/>
      <c r="AC323" s="49"/>
      <c r="AD323" s="49"/>
      <c r="AE323" s="49"/>
      <c r="AF323" s="110">
        <v>20</v>
      </c>
      <c r="AG323" s="111">
        <v>20</v>
      </c>
      <c r="AH323" s="49"/>
      <c r="AI323" s="49"/>
      <c r="AJ323" s="62" t="s">
        <v>4520</v>
      </c>
      <c r="AK323" s="49" t="s">
        <v>4521</v>
      </c>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row>
    <row r="324" spans="1:79">
      <c r="A324" s="49"/>
      <c r="B324" s="49"/>
      <c r="C324" s="49"/>
      <c r="D324" s="62"/>
      <c r="E324" s="49"/>
      <c r="F324" s="49"/>
      <c r="G324" s="71"/>
      <c r="H324" s="49"/>
      <c r="I324" s="49"/>
      <c r="J324" s="49"/>
      <c r="K324" s="49"/>
      <c r="L324" s="49"/>
      <c r="M324" s="62"/>
      <c r="N324" s="62"/>
      <c r="O324" s="62"/>
      <c r="P324" s="49"/>
      <c r="Q324" s="49"/>
      <c r="R324" s="49" t="s">
        <v>4517</v>
      </c>
      <c r="S324" s="49"/>
      <c r="T324" s="49" t="s">
        <v>4522</v>
      </c>
      <c r="U324" s="49"/>
      <c r="V324" s="49"/>
      <c r="W324" s="49"/>
      <c r="X324" s="49"/>
      <c r="Y324" s="49"/>
      <c r="Z324" s="49" t="s">
        <v>4519</v>
      </c>
      <c r="AA324" s="49"/>
      <c r="AB324" s="49"/>
      <c r="AC324" s="49"/>
      <c r="AD324" s="49"/>
      <c r="AE324" s="49"/>
      <c r="AF324" s="110">
        <v>100</v>
      </c>
      <c r="AG324" s="111">
        <v>200</v>
      </c>
      <c r="AH324" s="49"/>
      <c r="AI324" s="49"/>
      <c r="AJ324" s="62" t="s">
        <v>4523</v>
      </c>
      <c r="AK324" s="49" t="s">
        <v>4524</v>
      </c>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row>
    <row r="325" spans="1:79">
      <c r="A325" s="49"/>
      <c r="B325" s="49"/>
      <c r="C325" s="49"/>
      <c r="D325" s="62"/>
      <c r="E325" s="49"/>
      <c r="F325" s="49"/>
      <c r="G325" s="71"/>
      <c r="H325" s="49"/>
      <c r="I325" s="49"/>
      <c r="J325" s="49"/>
      <c r="K325" s="49"/>
      <c r="L325" s="49"/>
      <c r="M325" s="62"/>
      <c r="N325" s="62"/>
      <c r="O325" s="62"/>
      <c r="P325" s="49"/>
      <c r="Q325" s="49"/>
      <c r="R325" s="49" t="s">
        <v>4517</v>
      </c>
      <c r="S325" s="49"/>
      <c r="T325" s="49" t="s">
        <v>4525</v>
      </c>
      <c r="U325" s="49"/>
      <c r="V325" s="49"/>
      <c r="W325" s="49"/>
      <c r="X325" s="49"/>
      <c r="Y325" s="49"/>
      <c r="Z325" s="49" t="s">
        <v>4519</v>
      </c>
      <c r="AA325" s="49"/>
      <c r="AB325" s="49"/>
      <c r="AC325" s="49"/>
      <c r="AD325" s="49"/>
      <c r="AE325" s="49"/>
      <c r="AF325" s="110">
        <v>500</v>
      </c>
      <c r="AG325" s="111">
        <v>2000</v>
      </c>
      <c r="AH325" s="49"/>
      <c r="AI325" s="49"/>
      <c r="AJ325" s="62" t="s">
        <v>4526</v>
      </c>
      <c r="AK325" s="49" t="s">
        <v>4527</v>
      </c>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49"/>
      <c r="BZ325" s="49"/>
      <c r="CA325" s="49"/>
    </row>
    <row r="326" spans="1:79">
      <c r="A326" s="49"/>
      <c r="B326" s="49"/>
      <c r="C326" s="49"/>
      <c r="D326" s="62"/>
      <c r="E326" s="49"/>
      <c r="F326" s="49"/>
      <c r="G326" s="71"/>
      <c r="H326" s="49"/>
      <c r="I326" s="49"/>
      <c r="J326" s="49"/>
      <c r="K326" s="49"/>
      <c r="L326" s="49"/>
      <c r="M326" s="62"/>
      <c r="N326" s="62"/>
      <c r="O326" s="62"/>
      <c r="P326" s="49"/>
      <c r="Q326" s="49"/>
      <c r="R326" s="49" t="s">
        <v>163</v>
      </c>
      <c r="S326" s="49"/>
      <c r="T326" s="49" t="s">
        <v>163</v>
      </c>
      <c r="U326" s="49"/>
      <c r="V326" s="49"/>
      <c r="W326" s="49"/>
      <c r="X326" s="49"/>
      <c r="Y326" s="49"/>
      <c r="Z326" s="49" t="s">
        <v>163</v>
      </c>
      <c r="AA326" s="49"/>
      <c r="AB326" s="49"/>
      <c r="AC326" s="49"/>
      <c r="AD326" s="49"/>
      <c r="AE326" s="49"/>
      <c r="AF326" s="110"/>
      <c r="AG326" s="111"/>
      <c r="AH326" s="49"/>
      <c r="AI326" s="49"/>
      <c r="AJ326" s="62" t="s">
        <v>4528</v>
      </c>
      <c r="AK326" s="49" t="s">
        <v>4529</v>
      </c>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row>
    <row r="327" spans="1:79">
      <c r="A327" s="49"/>
      <c r="B327" s="49"/>
      <c r="C327" s="49"/>
      <c r="D327" s="62"/>
      <c r="E327" s="49"/>
      <c r="F327" s="49"/>
      <c r="G327" s="71"/>
      <c r="H327" s="49"/>
      <c r="I327" s="49"/>
      <c r="J327" s="49"/>
      <c r="K327" s="49"/>
      <c r="L327" s="49"/>
      <c r="M327" s="62"/>
      <c r="N327" s="62"/>
      <c r="O327" s="62"/>
      <c r="P327" s="49"/>
      <c r="Q327" s="49"/>
      <c r="R327" s="49" t="s">
        <v>4530</v>
      </c>
      <c r="S327" s="49"/>
      <c r="T327" s="49" t="s">
        <v>4531</v>
      </c>
      <c r="U327" s="49"/>
      <c r="V327" s="49"/>
      <c r="W327" s="49"/>
      <c r="X327" s="49"/>
      <c r="Y327" s="49"/>
      <c r="Z327" s="49" t="s">
        <v>4532</v>
      </c>
      <c r="AA327" s="49"/>
      <c r="AB327" s="49"/>
      <c r="AC327" s="49"/>
      <c r="AD327" s="49"/>
      <c r="AE327" s="49"/>
      <c r="AF327" s="110">
        <v>50</v>
      </c>
      <c r="AG327" s="111">
        <v>100</v>
      </c>
      <c r="AH327" s="49"/>
      <c r="AI327" s="49"/>
      <c r="AJ327" s="62" t="s">
        <v>4533</v>
      </c>
      <c r="AK327" s="49" t="s">
        <v>4534</v>
      </c>
      <c r="AL327" s="49"/>
      <c r="AM327" s="49"/>
      <c r="AN327" s="49"/>
      <c r="AO327" s="49"/>
      <c r="AP327" s="49"/>
      <c r="AQ327" s="49"/>
      <c r="AR327" s="49"/>
      <c r="AS327" s="49"/>
      <c r="AT327" s="49"/>
      <c r="AU327" s="49"/>
      <c r="AV327" s="49"/>
      <c r="AW327" s="49"/>
      <c r="AX327" s="49"/>
      <c r="AY327" s="49"/>
      <c r="AZ327" s="49"/>
      <c r="BA327" s="49"/>
      <c r="BB327" s="49"/>
      <c r="BC327" s="49"/>
      <c r="BD327" s="49"/>
      <c r="BE327" s="49"/>
      <c r="BF327" s="49"/>
      <c r="BG327" s="49"/>
      <c r="BH327" s="49"/>
      <c r="BI327" s="49"/>
      <c r="BJ327" s="49"/>
      <c r="BK327" s="49"/>
      <c r="BL327" s="49"/>
      <c r="BM327" s="49"/>
      <c r="BN327" s="49"/>
      <c r="BO327" s="49"/>
      <c r="BP327" s="49"/>
      <c r="BQ327" s="49"/>
      <c r="BR327" s="49"/>
      <c r="BS327" s="49"/>
      <c r="BT327" s="49"/>
      <c r="BU327" s="49"/>
      <c r="BV327" s="49"/>
      <c r="BW327" s="49"/>
      <c r="BX327" s="49"/>
      <c r="BY327" s="49"/>
      <c r="BZ327" s="49"/>
      <c r="CA327" s="49"/>
    </row>
    <row r="328" spans="1:79">
      <c r="A328" s="49"/>
      <c r="B328" s="49"/>
      <c r="C328" s="49"/>
      <c r="D328" s="62"/>
      <c r="E328" s="49"/>
      <c r="F328" s="49"/>
      <c r="G328" s="71"/>
      <c r="H328" s="49"/>
      <c r="I328" s="49"/>
      <c r="J328" s="49"/>
      <c r="K328" s="49"/>
      <c r="L328" s="49"/>
      <c r="M328" s="62"/>
      <c r="N328" s="62"/>
      <c r="O328" s="62"/>
      <c r="P328" s="49"/>
      <c r="Q328" s="49"/>
      <c r="R328" s="49" t="s">
        <v>163</v>
      </c>
      <c r="S328" s="49"/>
      <c r="T328" s="49" t="s">
        <v>163</v>
      </c>
      <c r="U328" s="49"/>
      <c r="V328" s="49"/>
      <c r="W328" s="49"/>
      <c r="X328" s="49"/>
      <c r="Y328" s="49"/>
      <c r="Z328" s="49" t="s">
        <v>163</v>
      </c>
      <c r="AA328" s="49"/>
      <c r="AB328" s="49"/>
      <c r="AC328" s="49"/>
      <c r="AD328" s="49"/>
      <c r="AE328" s="49"/>
      <c r="AF328" s="110"/>
      <c r="AG328" s="111"/>
      <c r="AH328" s="49"/>
      <c r="AI328" s="49"/>
      <c r="AJ328" s="62" t="s">
        <v>4535</v>
      </c>
      <c r="AK328" s="49" t="s">
        <v>4536</v>
      </c>
      <c r="AL328" s="49"/>
      <c r="AM328" s="49"/>
      <c r="AN328" s="49"/>
      <c r="AO328" s="49"/>
      <c r="AP328" s="49"/>
      <c r="AQ328" s="49"/>
      <c r="AR328" s="49"/>
      <c r="AS328" s="49"/>
      <c r="AT328" s="49"/>
      <c r="AU328" s="49"/>
      <c r="AV328" s="49"/>
      <c r="AW328" s="49"/>
      <c r="AX328" s="49"/>
      <c r="AY328" s="49"/>
      <c r="AZ328" s="49"/>
      <c r="BA328" s="49"/>
      <c r="BB328" s="49"/>
      <c r="BC328" s="49"/>
      <c r="BD328" s="49"/>
      <c r="BE328" s="49"/>
      <c r="BF328" s="49"/>
      <c r="BG328" s="49"/>
      <c r="BH328" s="49"/>
      <c r="BI328" s="49"/>
      <c r="BJ328" s="49"/>
      <c r="BK328" s="49"/>
      <c r="BL328" s="49"/>
      <c r="BM328" s="49"/>
      <c r="BN328" s="49"/>
      <c r="BO328" s="49"/>
      <c r="BP328" s="49"/>
      <c r="BQ328" s="49"/>
      <c r="BR328" s="49"/>
      <c r="BS328" s="49"/>
      <c r="BT328" s="49"/>
      <c r="BU328" s="49"/>
      <c r="BV328" s="49"/>
      <c r="BW328" s="49"/>
      <c r="BX328" s="49"/>
      <c r="BY328" s="49"/>
      <c r="BZ328" s="49"/>
      <c r="CA328" s="49"/>
    </row>
    <row r="329" spans="1:79">
      <c r="A329" s="49"/>
      <c r="B329" s="49"/>
      <c r="C329" s="49"/>
      <c r="D329" s="62"/>
      <c r="E329" s="49"/>
      <c r="F329" s="49"/>
      <c r="G329" s="71"/>
      <c r="H329" s="49"/>
      <c r="I329" s="49"/>
      <c r="J329" s="49"/>
      <c r="K329" s="49"/>
      <c r="L329" s="49"/>
      <c r="M329" s="62"/>
      <c r="N329" s="62"/>
      <c r="O329" s="62"/>
      <c r="P329" s="49"/>
      <c r="Q329" s="49"/>
      <c r="R329" s="49" t="s">
        <v>4537</v>
      </c>
      <c r="S329" s="49"/>
      <c r="T329" s="49" t="s">
        <v>4538</v>
      </c>
      <c r="U329" s="49"/>
      <c r="V329" s="49"/>
      <c r="W329" s="49"/>
      <c r="X329" s="49"/>
      <c r="Y329" s="49"/>
      <c r="Z329" s="49" t="s">
        <v>4539</v>
      </c>
      <c r="AA329" s="49"/>
      <c r="AB329" s="49"/>
      <c r="AC329" s="49"/>
      <c r="AD329" s="49"/>
      <c r="AE329" s="49"/>
      <c r="AF329" s="110">
        <v>10</v>
      </c>
      <c r="AG329" s="111">
        <v>20</v>
      </c>
      <c r="AH329" s="49"/>
      <c r="AI329" s="49"/>
      <c r="AJ329" s="62" t="s">
        <v>4540</v>
      </c>
      <c r="AK329" s="49" t="s">
        <v>4541</v>
      </c>
      <c r="AL329" s="49"/>
      <c r="AM329" s="49"/>
      <c r="AN329" s="49"/>
      <c r="AO329" s="49"/>
      <c r="AP329" s="49"/>
      <c r="AQ329" s="49"/>
      <c r="AR329" s="49"/>
      <c r="AS329" s="49"/>
      <c r="AT329" s="49"/>
      <c r="AU329" s="49"/>
      <c r="AV329" s="49"/>
      <c r="AW329" s="49"/>
      <c r="AX329" s="49"/>
      <c r="AY329" s="49"/>
      <c r="AZ329" s="49"/>
      <c r="BA329" s="49"/>
      <c r="BB329" s="49"/>
      <c r="BC329" s="49"/>
      <c r="BD329" s="49"/>
      <c r="BE329" s="49"/>
      <c r="BF329" s="49"/>
      <c r="BG329" s="49"/>
      <c r="BH329" s="49"/>
      <c r="BI329" s="49"/>
      <c r="BJ329" s="49"/>
      <c r="BK329" s="49"/>
      <c r="BL329" s="49"/>
      <c r="BM329" s="49"/>
      <c r="BN329" s="49"/>
      <c r="BO329" s="49"/>
      <c r="BP329" s="49"/>
      <c r="BQ329" s="49"/>
      <c r="BR329" s="49"/>
      <c r="BS329" s="49"/>
      <c r="BT329" s="49"/>
      <c r="BU329" s="49"/>
      <c r="BV329" s="49"/>
      <c r="BW329" s="49"/>
      <c r="BX329" s="49"/>
      <c r="BY329" s="49"/>
      <c r="BZ329" s="49"/>
      <c r="CA329" s="49"/>
    </row>
    <row r="330" spans="1:79">
      <c r="A330" s="49"/>
      <c r="B330" s="49"/>
      <c r="C330" s="49"/>
      <c r="D330" s="62"/>
      <c r="E330" s="49"/>
      <c r="F330" s="49"/>
      <c r="G330" s="71"/>
      <c r="H330" s="49"/>
      <c r="I330" s="49"/>
      <c r="J330" s="49"/>
      <c r="K330" s="49"/>
      <c r="L330" s="49"/>
      <c r="M330" s="62"/>
      <c r="N330" s="62"/>
      <c r="O330" s="62"/>
      <c r="P330" s="49"/>
      <c r="Q330" s="49"/>
      <c r="R330" s="49" t="s">
        <v>4537</v>
      </c>
      <c r="S330" s="49"/>
      <c r="T330" s="49" t="s">
        <v>4542</v>
      </c>
      <c r="U330" s="49"/>
      <c r="V330" s="49"/>
      <c r="W330" s="49"/>
      <c r="X330" s="49"/>
      <c r="Y330" s="49"/>
      <c r="Z330" s="49" t="s">
        <v>4539</v>
      </c>
      <c r="AA330" s="49"/>
      <c r="AB330" s="49"/>
      <c r="AC330" s="49"/>
      <c r="AD330" s="49"/>
      <c r="AE330" s="49"/>
      <c r="AF330" s="110">
        <v>30</v>
      </c>
      <c r="AG330" s="111">
        <v>200</v>
      </c>
      <c r="AH330" s="49"/>
      <c r="AI330" s="49"/>
      <c r="AJ330" s="62" t="s">
        <v>4543</v>
      </c>
      <c r="AK330" s="49" t="s">
        <v>4544</v>
      </c>
      <c r="AL330" s="49"/>
      <c r="AM330" s="49"/>
      <c r="AN330" s="49"/>
      <c r="AO330" s="49"/>
      <c r="AP330" s="49"/>
      <c r="AQ330" s="49"/>
      <c r="AR330" s="49"/>
      <c r="AS330" s="49"/>
      <c r="AT330" s="49"/>
      <c r="AU330" s="49"/>
      <c r="AV330" s="49"/>
      <c r="AW330" s="49"/>
      <c r="AX330" s="49"/>
      <c r="AY330" s="49"/>
      <c r="AZ330" s="49"/>
      <c r="BA330" s="49"/>
      <c r="BB330" s="49"/>
      <c r="BC330" s="49"/>
      <c r="BD330" s="49"/>
      <c r="BE330" s="49"/>
      <c r="BF330" s="49"/>
      <c r="BG330" s="49"/>
      <c r="BH330" s="49"/>
      <c r="BI330" s="49"/>
      <c r="BJ330" s="49"/>
      <c r="BK330" s="49"/>
      <c r="BL330" s="49"/>
      <c r="BM330" s="49"/>
      <c r="BN330" s="49"/>
      <c r="BO330" s="49"/>
      <c r="BP330" s="49"/>
      <c r="BQ330" s="49"/>
      <c r="BR330" s="49"/>
      <c r="BS330" s="49"/>
      <c r="BT330" s="49"/>
      <c r="BU330" s="49"/>
      <c r="BV330" s="49"/>
      <c r="BW330" s="49"/>
      <c r="BX330" s="49"/>
      <c r="BY330" s="49"/>
      <c r="BZ330" s="49"/>
      <c r="CA330" s="49"/>
    </row>
    <row r="331" spans="1:79">
      <c r="A331" s="49"/>
      <c r="B331" s="49"/>
      <c r="C331" s="49"/>
      <c r="D331" s="62"/>
      <c r="E331" s="49"/>
      <c r="F331" s="49"/>
      <c r="G331" s="71"/>
      <c r="H331" s="49"/>
      <c r="I331" s="49"/>
      <c r="J331" s="49"/>
      <c r="K331" s="49"/>
      <c r="L331" s="49"/>
      <c r="M331" s="62"/>
      <c r="N331" s="62"/>
      <c r="O331" s="62"/>
      <c r="P331" s="49"/>
      <c r="Q331" s="49"/>
      <c r="R331" s="49" t="s">
        <v>4537</v>
      </c>
      <c r="S331" s="49"/>
      <c r="T331" s="49" t="s">
        <v>4545</v>
      </c>
      <c r="U331" s="49"/>
      <c r="V331" s="49"/>
      <c r="W331" s="49"/>
      <c r="X331" s="49"/>
      <c r="Y331" s="49"/>
      <c r="Z331" s="49" t="s">
        <v>4539</v>
      </c>
      <c r="AA331" s="49"/>
      <c r="AB331" s="49"/>
      <c r="AC331" s="49"/>
      <c r="AD331" s="49"/>
      <c r="AE331" s="49"/>
      <c r="AF331" s="110">
        <v>50</v>
      </c>
      <c r="AG331" s="111">
        <v>2000</v>
      </c>
      <c r="AH331" s="49"/>
      <c r="AI331" s="49"/>
      <c r="AJ331" s="62" t="s">
        <v>4546</v>
      </c>
      <c r="AK331" s="49" t="s">
        <v>4547</v>
      </c>
      <c r="AL331" s="49"/>
      <c r="AM331" s="49"/>
      <c r="AN331" s="49"/>
      <c r="AO331" s="49"/>
      <c r="AP331" s="49"/>
      <c r="AQ331" s="49"/>
      <c r="AR331" s="49"/>
      <c r="AS331" s="49"/>
      <c r="AT331" s="49"/>
      <c r="AU331" s="49"/>
      <c r="AV331" s="49"/>
      <c r="AW331" s="49"/>
      <c r="AX331" s="49"/>
      <c r="AY331" s="49"/>
      <c r="AZ331" s="49"/>
      <c r="BA331" s="49"/>
      <c r="BB331" s="49"/>
      <c r="BC331" s="49"/>
      <c r="BD331" s="49"/>
      <c r="BE331" s="49"/>
      <c r="BF331" s="49"/>
      <c r="BG331" s="49"/>
      <c r="BH331" s="49"/>
      <c r="BI331" s="49"/>
      <c r="BJ331" s="49"/>
      <c r="BK331" s="49"/>
      <c r="BL331" s="49"/>
      <c r="BM331" s="49"/>
      <c r="BN331" s="49"/>
      <c r="BO331" s="49"/>
      <c r="BP331" s="49"/>
      <c r="BQ331" s="49"/>
      <c r="BR331" s="49"/>
      <c r="BS331" s="49"/>
      <c r="BT331" s="49"/>
      <c r="BU331" s="49"/>
      <c r="BV331" s="49"/>
      <c r="BW331" s="49"/>
      <c r="BX331" s="49"/>
      <c r="BY331" s="49"/>
      <c r="BZ331" s="49"/>
      <c r="CA331" s="49"/>
    </row>
    <row r="332" spans="1:79">
      <c r="A332" s="49"/>
      <c r="B332" s="49"/>
      <c r="C332" s="49"/>
      <c r="D332" s="62"/>
      <c r="E332" s="49"/>
      <c r="F332" s="49"/>
      <c r="G332" s="71"/>
      <c r="H332" s="49"/>
      <c r="I332" s="49"/>
      <c r="J332" s="49"/>
      <c r="K332" s="49"/>
      <c r="L332" s="49"/>
      <c r="M332" s="62"/>
      <c r="N332" s="62"/>
      <c r="O332" s="62"/>
      <c r="P332" s="49"/>
      <c r="Q332" s="49"/>
      <c r="R332" s="49" t="s">
        <v>163</v>
      </c>
      <c r="S332" s="49"/>
      <c r="T332" s="49" t="s">
        <v>163</v>
      </c>
      <c r="U332" s="49"/>
      <c r="V332" s="49"/>
      <c r="W332" s="49"/>
      <c r="X332" s="49"/>
      <c r="Y332" s="49"/>
      <c r="Z332" s="49" t="s">
        <v>163</v>
      </c>
      <c r="AA332" s="49"/>
      <c r="AB332" s="49"/>
      <c r="AC332" s="49"/>
      <c r="AD332" s="49"/>
      <c r="AE332" s="49"/>
      <c r="AF332" s="110"/>
      <c r="AG332" s="111"/>
      <c r="AH332" s="49"/>
      <c r="AI332" s="49"/>
      <c r="AJ332" s="62" t="s">
        <v>4548</v>
      </c>
      <c r="AK332" s="49" t="s">
        <v>4549</v>
      </c>
      <c r="AL332" s="49"/>
      <c r="AM332" s="49"/>
      <c r="AN332" s="49"/>
      <c r="AO332" s="49"/>
      <c r="AP332" s="49"/>
      <c r="AQ332" s="49"/>
      <c r="AR332" s="49"/>
      <c r="AS332" s="49"/>
      <c r="AT332" s="49"/>
      <c r="AU332" s="49"/>
      <c r="AV332" s="49"/>
      <c r="AW332" s="49"/>
      <c r="AX332" s="49"/>
      <c r="AY332" s="49"/>
      <c r="AZ332" s="49"/>
      <c r="BA332" s="49"/>
      <c r="BB332" s="49"/>
      <c r="BC332" s="49"/>
      <c r="BD332" s="49"/>
      <c r="BE332" s="49"/>
      <c r="BF332" s="49"/>
      <c r="BG332" s="49"/>
      <c r="BH332" s="49"/>
      <c r="BI332" s="49"/>
      <c r="BJ332" s="49"/>
      <c r="BK332" s="49"/>
      <c r="BL332" s="49"/>
      <c r="BM332" s="49"/>
      <c r="BN332" s="49"/>
      <c r="BO332" s="49"/>
      <c r="BP332" s="49"/>
      <c r="BQ332" s="49"/>
      <c r="BR332" s="49"/>
      <c r="BS332" s="49"/>
      <c r="BT332" s="49"/>
      <c r="BU332" s="49"/>
      <c r="BV332" s="49"/>
      <c r="BW332" s="49"/>
      <c r="BX332" s="49"/>
      <c r="BY332" s="49"/>
      <c r="BZ332" s="49"/>
      <c r="CA332" s="49"/>
    </row>
    <row r="333" spans="1:79">
      <c r="A333" s="49"/>
      <c r="B333" s="49"/>
      <c r="C333" s="49"/>
      <c r="D333" s="62"/>
      <c r="E333" s="49"/>
      <c r="F333" s="49"/>
      <c r="G333" s="71"/>
      <c r="H333" s="49"/>
      <c r="I333" s="49"/>
      <c r="J333" s="49"/>
      <c r="K333" s="49"/>
      <c r="L333" s="49"/>
      <c r="M333" s="62"/>
      <c r="N333" s="62"/>
      <c r="O333" s="62"/>
      <c r="P333" s="49"/>
      <c r="Q333" s="49"/>
      <c r="R333" s="49" t="s">
        <v>4550</v>
      </c>
      <c r="S333" s="49"/>
      <c r="T333" s="49" t="s">
        <v>4551</v>
      </c>
      <c r="U333" s="49"/>
      <c r="V333" s="49"/>
      <c r="W333" s="49"/>
      <c r="X333" s="49"/>
      <c r="Y333" s="49"/>
      <c r="Z333" s="49" t="s">
        <v>163</v>
      </c>
      <c r="AA333" s="49"/>
      <c r="AB333" s="49"/>
      <c r="AC333" s="49"/>
      <c r="AD333" s="49"/>
      <c r="AE333" s="49"/>
      <c r="AF333" s="110">
        <v>10</v>
      </c>
      <c r="AG333" s="111">
        <v>20</v>
      </c>
      <c r="AH333" s="49"/>
      <c r="AI333" s="49"/>
      <c r="AJ333" s="62" t="s">
        <v>4552</v>
      </c>
      <c r="AK333" s="49" t="s">
        <v>4553</v>
      </c>
      <c r="AL333" s="49"/>
      <c r="AM333" s="49"/>
      <c r="AN333" s="49"/>
      <c r="AO333" s="49"/>
      <c r="AP333" s="49"/>
      <c r="AQ333" s="49"/>
      <c r="AR333" s="49"/>
      <c r="AS333" s="49"/>
      <c r="AT333" s="49"/>
      <c r="AU333" s="49"/>
      <c r="AV333" s="49"/>
      <c r="AW333" s="49"/>
      <c r="AX333" s="49"/>
      <c r="AY333" s="49"/>
      <c r="AZ333" s="49"/>
      <c r="BA333" s="49"/>
      <c r="BB333" s="49"/>
      <c r="BC333" s="49"/>
      <c r="BD333" s="49"/>
      <c r="BE333" s="49"/>
      <c r="BF333" s="49"/>
      <c r="BG333" s="49"/>
      <c r="BH333" s="49"/>
      <c r="BI333" s="49"/>
      <c r="BJ333" s="49"/>
      <c r="BK333" s="49"/>
      <c r="BL333" s="49"/>
      <c r="BM333" s="49"/>
      <c r="BN333" s="49"/>
      <c r="BO333" s="49"/>
      <c r="BP333" s="49"/>
      <c r="BQ333" s="49"/>
      <c r="BR333" s="49"/>
      <c r="BS333" s="49"/>
      <c r="BT333" s="49"/>
      <c r="BU333" s="49"/>
      <c r="BV333" s="49"/>
      <c r="BW333" s="49"/>
      <c r="BX333" s="49"/>
      <c r="BY333" s="49"/>
      <c r="BZ333" s="49"/>
      <c r="CA333" s="49"/>
    </row>
    <row r="334" spans="1:79">
      <c r="A334" s="49"/>
      <c r="B334" s="49"/>
      <c r="C334" s="49"/>
      <c r="D334" s="62"/>
      <c r="E334" s="49"/>
      <c r="F334" s="49"/>
      <c r="G334" s="71"/>
      <c r="H334" s="49"/>
      <c r="I334" s="49"/>
      <c r="J334" s="49"/>
      <c r="K334" s="49"/>
      <c r="L334" s="49"/>
      <c r="M334" s="62"/>
      <c r="N334" s="62"/>
      <c r="O334" s="62"/>
      <c r="P334" s="49"/>
      <c r="Q334" s="49"/>
      <c r="R334" s="49" t="s">
        <v>4550</v>
      </c>
      <c r="S334" s="49"/>
      <c r="T334" s="49" t="s">
        <v>4554</v>
      </c>
      <c r="U334" s="49"/>
      <c r="V334" s="49"/>
      <c r="W334" s="49"/>
      <c r="X334" s="49"/>
      <c r="Y334" s="49"/>
      <c r="Z334" s="49" t="s">
        <v>163</v>
      </c>
      <c r="AA334" s="49"/>
      <c r="AB334" s="49"/>
      <c r="AC334" s="49"/>
      <c r="AD334" s="49"/>
      <c r="AE334" s="49"/>
      <c r="AF334" s="110">
        <v>30</v>
      </c>
      <c r="AG334" s="111">
        <v>200</v>
      </c>
      <c r="AH334" s="49"/>
      <c r="AI334" s="49"/>
      <c r="AJ334" s="62" t="s">
        <v>4555</v>
      </c>
      <c r="AK334" s="49" t="s">
        <v>4556</v>
      </c>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49"/>
      <c r="BJ334" s="49"/>
      <c r="BK334" s="49"/>
      <c r="BL334" s="49"/>
      <c r="BM334" s="49"/>
      <c r="BN334" s="49"/>
      <c r="BO334" s="49"/>
      <c r="BP334" s="49"/>
      <c r="BQ334" s="49"/>
      <c r="BR334" s="49"/>
      <c r="BS334" s="49"/>
      <c r="BT334" s="49"/>
      <c r="BU334" s="49"/>
      <c r="BV334" s="49"/>
      <c r="BW334" s="49"/>
      <c r="BX334" s="49"/>
      <c r="BY334" s="49"/>
      <c r="BZ334" s="49"/>
      <c r="CA334" s="49"/>
    </row>
    <row r="335" spans="1:79">
      <c r="A335" s="49"/>
      <c r="B335" s="49"/>
      <c r="C335" s="49"/>
      <c r="D335" s="62"/>
      <c r="E335" s="49"/>
      <c r="F335" s="49"/>
      <c r="G335" s="71"/>
      <c r="H335" s="49"/>
      <c r="I335" s="49"/>
      <c r="J335" s="49"/>
      <c r="K335" s="49"/>
      <c r="L335" s="49"/>
      <c r="M335" s="62"/>
      <c r="N335" s="62"/>
      <c r="O335" s="62"/>
      <c r="P335" s="49"/>
      <c r="Q335" s="49"/>
      <c r="R335" s="49" t="s">
        <v>4550</v>
      </c>
      <c r="S335" s="49"/>
      <c r="T335" s="49" t="s">
        <v>4557</v>
      </c>
      <c r="U335" s="49"/>
      <c r="V335" s="49"/>
      <c r="W335" s="49"/>
      <c r="X335" s="49"/>
      <c r="Y335" s="49"/>
      <c r="Z335" s="49" t="s">
        <v>163</v>
      </c>
      <c r="AA335" s="49"/>
      <c r="AB335" s="49"/>
      <c r="AC335" s="49"/>
      <c r="AD335" s="49"/>
      <c r="AE335" s="49"/>
      <c r="AF335" s="110">
        <v>50</v>
      </c>
      <c r="AG335" s="111">
        <v>2000</v>
      </c>
      <c r="AH335" s="49"/>
      <c r="AI335" s="49"/>
      <c r="AJ335" s="62" t="s">
        <v>4558</v>
      </c>
      <c r="AK335" s="49" t="s">
        <v>4559</v>
      </c>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49"/>
      <c r="BM335" s="49"/>
      <c r="BN335" s="49"/>
      <c r="BO335" s="49"/>
      <c r="BP335" s="49"/>
      <c r="BQ335" s="49"/>
      <c r="BR335" s="49"/>
      <c r="BS335" s="49"/>
      <c r="BT335" s="49"/>
      <c r="BU335" s="49"/>
      <c r="BV335" s="49"/>
      <c r="BW335" s="49"/>
      <c r="BX335" s="49"/>
      <c r="BY335" s="49"/>
      <c r="BZ335" s="49"/>
      <c r="CA335" s="49"/>
    </row>
    <row r="336" spans="1:79">
      <c r="A336" s="49"/>
      <c r="B336" s="49"/>
      <c r="C336" s="49"/>
      <c r="D336" s="62"/>
      <c r="E336" s="49"/>
      <c r="F336" s="49"/>
      <c r="G336" s="71"/>
      <c r="H336" s="49"/>
      <c r="I336" s="49"/>
      <c r="J336" s="49"/>
      <c r="K336" s="49"/>
      <c r="L336" s="49"/>
      <c r="M336" s="62"/>
      <c r="N336" s="62"/>
      <c r="O336" s="62"/>
      <c r="P336" s="49"/>
      <c r="Q336" s="49"/>
      <c r="R336" s="49" t="s">
        <v>163</v>
      </c>
      <c r="S336" s="49"/>
      <c r="T336" s="49" t="s">
        <v>163</v>
      </c>
      <c r="U336" s="49"/>
      <c r="V336" s="49"/>
      <c r="W336" s="49"/>
      <c r="X336" s="49"/>
      <c r="Y336" s="49"/>
      <c r="Z336" s="49" t="s">
        <v>163</v>
      </c>
      <c r="AA336" s="49"/>
      <c r="AB336" s="49"/>
      <c r="AC336" s="49"/>
      <c r="AD336" s="49"/>
      <c r="AE336" s="49"/>
      <c r="AF336" s="110"/>
      <c r="AG336" s="111"/>
      <c r="AH336" s="49"/>
      <c r="AI336" s="49"/>
      <c r="AJ336" s="62" t="s">
        <v>4560</v>
      </c>
      <c r="AK336" s="49" t="s">
        <v>4561</v>
      </c>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row>
    <row r="337" spans="1:79">
      <c r="A337" s="49"/>
      <c r="B337" s="49"/>
      <c r="C337" s="49"/>
      <c r="D337" s="62"/>
      <c r="E337" s="49"/>
      <c r="F337" s="49"/>
      <c r="G337" s="71"/>
      <c r="H337" s="49"/>
      <c r="I337" s="49"/>
      <c r="J337" s="49"/>
      <c r="K337" s="49"/>
      <c r="L337" s="49"/>
      <c r="M337" s="62"/>
      <c r="N337" s="62"/>
      <c r="O337" s="62"/>
      <c r="P337" s="49"/>
      <c r="Q337" s="49"/>
      <c r="R337" s="49" t="s">
        <v>4562</v>
      </c>
      <c r="S337" s="49"/>
      <c r="T337" s="49" t="s">
        <v>4563</v>
      </c>
      <c r="U337" s="49"/>
      <c r="V337" s="49"/>
      <c r="W337" s="49"/>
      <c r="X337" s="49"/>
      <c r="Y337" s="49"/>
      <c r="Z337" s="49" t="s">
        <v>4564</v>
      </c>
      <c r="AA337" s="49"/>
      <c r="AB337" s="49"/>
      <c r="AC337" s="49"/>
      <c r="AD337" s="49"/>
      <c r="AE337" s="49"/>
      <c r="AF337" s="110">
        <v>10</v>
      </c>
      <c r="AG337" s="111">
        <v>20</v>
      </c>
      <c r="AH337" s="49"/>
      <c r="AI337" s="49"/>
      <c r="AJ337" s="62" t="s">
        <v>4565</v>
      </c>
      <c r="AK337" s="49" t="s">
        <v>4566</v>
      </c>
      <c r="AL337" s="49"/>
      <c r="AM337" s="49"/>
      <c r="AN337" s="49"/>
      <c r="AO337" s="49"/>
      <c r="AP337" s="49"/>
      <c r="AQ337" s="49"/>
      <c r="AR337" s="49"/>
      <c r="AS337" s="49"/>
      <c r="AT337" s="49"/>
      <c r="AU337" s="49"/>
      <c r="AV337" s="49"/>
      <c r="AW337" s="49"/>
      <c r="AX337" s="49"/>
      <c r="AY337" s="49"/>
      <c r="AZ337" s="49"/>
      <c r="BA337" s="49"/>
      <c r="BB337" s="49"/>
      <c r="BC337" s="49"/>
      <c r="BD337" s="49"/>
      <c r="BE337" s="49"/>
      <c r="BF337" s="49"/>
      <c r="BG337" s="49"/>
      <c r="BH337" s="49"/>
      <c r="BI337" s="49"/>
      <c r="BJ337" s="49"/>
      <c r="BK337" s="49"/>
      <c r="BL337" s="49"/>
      <c r="BM337" s="49"/>
      <c r="BN337" s="49"/>
      <c r="BO337" s="49"/>
      <c r="BP337" s="49"/>
      <c r="BQ337" s="49"/>
      <c r="BR337" s="49"/>
      <c r="BS337" s="49"/>
      <c r="BT337" s="49"/>
      <c r="BU337" s="49"/>
      <c r="BV337" s="49"/>
      <c r="BW337" s="49"/>
      <c r="BX337" s="49"/>
      <c r="BY337" s="49"/>
      <c r="BZ337" s="49"/>
      <c r="CA337" s="49"/>
    </row>
    <row r="338" spans="1:79">
      <c r="A338" s="49"/>
      <c r="B338" s="49"/>
      <c r="C338" s="49"/>
      <c r="D338" s="62"/>
      <c r="E338" s="49"/>
      <c r="F338" s="49"/>
      <c r="G338" s="71"/>
      <c r="H338" s="49"/>
      <c r="I338" s="49"/>
      <c r="J338" s="49"/>
      <c r="K338" s="49"/>
      <c r="L338" s="49"/>
      <c r="M338" s="62"/>
      <c r="N338" s="62"/>
      <c r="O338" s="62"/>
      <c r="P338" s="49"/>
      <c r="Q338" s="49"/>
      <c r="R338" s="49" t="s">
        <v>4562</v>
      </c>
      <c r="S338" s="49"/>
      <c r="T338" s="49" t="s">
        <v>4567</v>
      </c>
      <c r="U338" s="49"/>
      <c r="V338" s="49"/>
      <c r="W338" s="49"/>
      <c r="X338" s="49"/>
      <c r="Y338" s="49"/>
      <c r="Z338" s="49" t="s">
        <v>4564</v>
      </c>
      <c r="AA338" s="49"/>
      <c r="AB338" s="49"/>
      <c r="AC338" s="49"/>
      <c r="AD338" s="49"/>
      <c r="AE338" s="49"/>
      <c r="AF338" s="110">
        <v>30</v>
      </c>
      <c r="AG338" s="111">
        <v>200</v>
      </c>
      <c r="AH338" s="49"/>
      <c r="AI338" s="49"/>
      <c r="AJ338" s="62" t="s">
        <v>4568</v>
      </c>
      <c r="AK338" s="49" t="s">
        <v>4569</v>
      </c>
      <c r="AL338" s="49"/>
      <c r="AM338" s="49"/>
      <c r="AN338" s="49"/>
      <c r="AO338" s="49"/>
      <c r="AP338" s="49"/>
      <c r="AQ338" s="49"/>
      <c r="AR338" s="49"/>
      <c r="AS338" s="49"/>
      <c r="AT338" s="49"/>
      <c r="AU338" s="49"/>
      <c r="AV338" s="49"/>
      <c r="AW338" s="49"/>
      <c r="AX338" s="49"/>
      <c r="AY338" s="49"/>
      <c r="AZ338" s="49"/>
      <c r="BA338" s="49"/>
      <c r="BB338" s="49"/>
      <c r="BC338" s="49"/>
      <c r="BD338" s="49"/>
      <c r="BE338" s="49"/>
      <c r="BF338" s="49"/>
      <c r="BG338" s="49"/>
      <c r="BH338" s="49"/>
      <c r="BI338" s="49"/>
      <c r="BJ338" s="49"/>
      <c r="BK338" s="49"/>
      <c r="BL338" s="49"/>
      <c r="BM338" s="49"/>
      <c r="BN338" s="49"/>
      <c r="BO338" s="49"/>
      <c r="BP338" s="49"/>
      <c r="BQ338" s="49"/>
      <c r="BR338" s="49"/>
      <c r="BS338" s="49"/>
      <c r="BT338" s="49"/>
      <c r="BU338" s="49"/>
      <c r="BV338" s="49"/>
      <c r="BW338" s="49"/>
      <c r="BX338" s="49"/>
      <c r="BY338" s="49"/>
      <c r="BZ338" s="49"/>
      <c r="CA338" s="49"/>
    </row>
    <row r="339" spans="1:79">
      <c r="A339" s="49"/>
      <c r="B339" s="49"/>
      <c r="C339" s="49"/>
      <c r="D339" s="62"/>
      <c r="E339" s="49"/>
      <c r="F339" s="49"/>
      <c r="G339" s="71"/>
      <c r="H339" s="49"/>
      <c r="I339" s="49"/>
      <c r="J339" s="49"/>
      <c r="K339" s="49"/>
      <c r="L339" s="49"/>
      <c r="M339" s="62"/>
      <c r="N339" s="62"/>
      <c r="O339" s="62"/>
      <c r="P339" s="49"/>
      <c r="Q339" s="49"/>
      <c r="R339" s="49" t="s">
        <v>4562</v>
      </c>
      <c r="S339" s="49"/>
      <c r="T339" s="49" t="s">
        <v>4570</v>
      </c>
      <c r="U339" s="49"/>
      <c r="V339" s="49"/>
      <c r="W339" s="49"/>
      <c r="X339" s="49"/>
      <c r="Y339" s="49"/>
      <c r="Z339" s="49" t="s">
        <v>4564</v>
      </c>
      <c r="AA339" s="49"/>
      <c r="AB339" s="49"/>
      <c r="AC339" s="49"/>
      <c r="AD339" s="49"/>
      <c r="AE339" s="49"/>
      <c r="AF339" s="110">
        <v>50</v>
      </c>
      <c r="AG339" s="111">
        <v>2000</v>
      </c>
      <c r="AH339" s="49"/>
      <c r="AI339" s="49"/>
      <c r="AJ339" s="62" t="s">
        <v>4571</v>
      </c>
      <c r="AK339" s="49" t="s">
        <v>4572</v>
      </c>
      <c r="AL339" s="49"/>
      <c r="AM339" s="49"/>
      <c r="AN339" s="49"/>
      <c r="AO339" s="49"/>
      <c r="AP339" s="49"/>
      <c r="AQ339" s="49"/>
      <c r="AR339" s="49"/>
      <c r="AS339" s="49"/>
      <c r="AT339" s="49"/>
      <c r="AU339" s="49"/>
      <c r="AV339" s="49"/>
      <c r="AW339" s="49"/>
      <c r="AX339" s="49"/>
      <c r="AY339" s="49"/>
      <c r="AZ339" s="49"/>
      <c r="BA339" s="49"/>
      <c r="BB339" s="49"/>
      <c r="BC339" s="49"/>
      <c r="BD339" s="49"/>
      <c r="BE339" s="49"/>
      <c r="BF339" s="49"/>
      <c r="BG339" s="49"/>
      <c r="BH339" s="49"/>
      <c r="BI339" s="49"/>
      <c r="BJ339" s="49"/>
      <c r="BK339" s="49"/>
      <c r="BL339" s="49"/>
      <c r="BM339" s="49"/>
      <c r="BN339" s="49"/>
      <c r="BO339" s="49"/>
      <c r="BP339" s="49"/>
      <c r="BQ339" s="49"/>
      <c r="BR339" s="49"/>
      <c r="BS339" s="49"/>
      <c r="BT339" s="49"/>
      <c r="BU339" s="49"/>
      <c r="BV339" s="49"/>
      <c r="BW339" s="49"/>
      <c r="BX339" s="49"/>
      <c r="BY339" s="49"/>
      <c r="BZ339" s="49"/>
      <c r="CA339" s="49"/>
    </row>
    <row r="340" spans="1:79">
      <c r="A340" s="49"/>
      <c r="B340" s="49"/>
      <c r="C340" s="49"/>
      <c r="D340" s="62"/>
      <c r="E340" s="49"/>
      <c r="F340" s="49"/>
      <c r="G340" s="71"/>
      <c r="H340" s="49"/>
      <c r="I340" s="49"/>
      <c r="J340" s="49"/>
      <c r="K340" s="49"/>
      <c r="L340" s="49"/>
      <c r="M340" s="62"/>
      <c r="N340" s="62"/>
      <c r="O340" s="62"/>
      <c r="P340" s="49"/>
      <c r="Q340" s="49"/>
      <c r="R340" s="49" t="s">
        <v>163</v>
      </c>
      <c r="S340" s="49"/>
      <c r="T340" s="49" t="s">
        <v>163</v>
      </c>
      <c r="U340" s="49"/>
      <c r="V340" s="49"/>
      <c r="W340" s="49"/>
      <c r="X340" s="49"/>
      <c r="Y340" s="49"/>
      <c r="Z340" s="49" t="s">
        <v>163</v>
      </c>
      <c r="AA340" s="49"/>
      <c r="AB340" s="49"/>
      <c r="AC340" s="49"/>
      <c r="AD340" s="49"/>
      <c r="AE340" s="49"/>
      <c r="AF340" s="110"/>
      <c r="AG340" s="111"/>
      <c r="AH340" s="49"/>
      <c r="AI340" s="49"/>
      <c r="AJ340" s="62" t="s">
        <v>4573</v>
      </c>
      <c r="AK340" s="49" t="s">
        <v>4574</v>
      </c>
      <c r="AL340" s="49"/>
      <c r="AM340" s="49"/>
      <c r="AN340" s="49"/>
      <c r="AO340" s="49"/>
      <c r="AP340" s="49"/>
      <c r="AQ340" s="49"/>
      <c r="AR340" s="49"/>
      <c r="AS340" s="49"/>
      <c r="AT340" s="49"/>
      <c r="AU340" s="49"/>
      <c r="AV340" s="49"/>
      <c r="AW340" s="49"/>
      <c r="AX340" s="49"/>
      <c r="AY340" s="49"/>
      <c r="AZ340" s="49"/>
      <c r="BA340" s="49"/>
      <c r="BB340" s="49"/>
      <c r="BC340" s="49"/>
      <c r="BD340" s="49"/>
      <c r="BE340" s="49"/>
      <c r="BF340" s="49"/>
      <c r="BG340" s="49"/>
      <c r="BH340" s="49"/>
      <c r="BI340" s="49"/>
      <c r="BJ340" s="49"/>
      <c r="BK340" s="49"/>
      <c r="BL340" s="49"/>
      <c r="BM340" s="49"/>
      <c r="BN340" s="49"/>
      <c r="BO340" s="49"/>
      <c r="BP340" s="49"/>
      <c r="BQ340" s="49"/>
      <c r="BR340" s="49"/>
      <c r="BS340" s="49"/>
      <c r="BT340" s="49"/>
      <c r="BU340" s="49"/>
      <c r="BV340" s="49"/>
      <c r="BW340" s="49"/>
      <c r="BX340" s="49"/>
      <c r="BY340" s="49"/>
      <c r="BZ340" s="49"/>
      <c r="CA340" s="49"/>
    </row>
    <row r="341" spans="1:79">
      <c r="A341" s="49"/>
      <c r="B341" s="49"/>
      <c r="C341" s="49"/>
      <c r="D341" s="62"/>
      <c r="E341" s="49"/>
      <c r="F341" s="49"/>
      <c r="G341" s="71"/>
      <c r="H341" s="49"/>
      <c r="I341" s="49"/>
      <c r="J341" s="49"/>
      <c r="K341" s="49"/>
      <c r="L341" s="49"/>
      <c r="M341" s="62"/>
      <c r="N341" s="62"/>
      <c r="O341" s="62"/>
      <c r="P341" s="49"/>
      <c r="Q341" s="49"/>
      <c r="R341" s="49" t="s">
        <v>4575</v>
      </c>
      <c r="S341" s="49"/>
      <c r="T341" s="49" t="s">
        <v>4576</v>
      </c>
      <c r="U341" s="49"/>
      <c r="V341" s="49"/>
      <c r="W341" s="49"/>
      <c r="X341" s="49"/>
      <c r="Y341" s="49"/>
      <c r="Z341" s="49" t="s">
        <v>4577</v>
      </c>
      <c r="AA341" s="49"/>
      <c r="AB341" s="49"/>
      <c r="AC341" s="49"/>
      <c r="AD341" s="49"/>
      <c r="AE341" s="49"/>
      <c r="AF341" s="110">
        <v>10</v>
      </c>
      <c r="AG341" s="111">
        <v>50</v>
      </c>
      <c r="AH341" s="49"/>
      <c r="AI341" s="49"/>
      <c r="AJ341" s="62" t="s">
        <v>4578</v>
      </c>
      <c r="AK341" s="49" t="s">
        <v>4579</v>
      </c>
      <c r="AL341" s="49"/>
      <c r="AM341" s="49"/>
      <c r="AN341" s="49"/>
      <c r="AO341" s="49"/>
      <c r="AP341" s="49"/>
      <c r="AQ341" s="49"/>
      <c r="AR341" s="49"/>
      <c r="AS341" s="49"/>
      <c r="AT341" s="49"/>
      <c r="AU341" s="49"/>
      <c r="AV341" s="49"/>
      <c r="AW341" s="49"/>
      <c r="AX341" s="49"/>
      <c r="AY341" s="49"/>
      <c r="AZ341" s="49"/>
      <c r="BA341" s="49"/>
      <c r="BB341" s="49"/>
      <c r="BC341" s="49"/>
      <c r="BD341" s="49"/>
      <c r="BE341" s="49"/>
      <c r="BF341" s="49"/>
      <c r="BG341" s="49"/>
      <c r="BH341" s="49"/>
      <c r="BI341" s="49"/>
      <c r="BJ341" s="49"/>
      <c r="BK341" s="49"/>
      <c r="BL341" s="49"/>
      <c r="BM341" s="49"/>
      <c r="BN341" s="49"/>
      <c r="BO341" s="49"/>
      <c r="BP341" s="49"/>
      <c r="BQ341" s="49"/>
      <c r="BR341" s="49"/>
      <c r="BS341" s="49"/>
      <c r="BT341" s="49"/>
      <c r="BU341" s="49"/>
      <c r="BV341" s="49"/>
      <c r="BW341" s="49"/>
      <c r="BX341" s="49"/>
      <c r="BY341" s="49"/>
      <c r="BZ341" s="49"/>
      <c r="CA341" s="49"/>
    </row>
    <row r="342" spans="1:79">
      <c r="A342" s="49"/>
      <c r="B342" s="49"/>
      <c r="C342" s="49"/>
      <c r="D342" s="62"/>
      <c r="E342" s="49"/>
      <c r="F342" s="49"/>
      <c r="G342" s="71"/>
      <c r="H342" s="49"/>
      <c r="I342" s="49"/>
      <c r="J342" s="49"/>
      <c r="K342" s="49"/>
      <c r="L342" s="49"/>
      <c r="M342" s="62"/>
      <c r="N342" s="62"/>
      <c r="O342" s="62"/>
      <c r="P342" s="49"/>
      <c r="Q342" s="49"/>
      <c r="R342" s="49" t="s">
        <v>4575</v>
      </c>
      <c r="S342" s="49"/>
      <c r="T342" s="49" t="s">
        <v>4580</v>
      </c>
      <c r="U342" s="49"/>
      <c r="V342" s="49"/>
      <c r="W342" s="49"/>
      <c r="X342" s="49"/>
      <c r="Y342" s="49"/>
      <c r="Z342" s="49" t="s">
        <v>4577</v>
      </c>
      <c r="AA342" s="49"/>
      <c r="AB342" s="49"/>
      <c r="AC342" s="49"/>
      <c r="AD342" s="49"/>
      <c r="AE342" s="49"/>
      <c r="AF342" s="110">
        <v>100</v>
      </c>
      <c r="AG342" s="111">
        <v>500</v>
      </c>
      <c r="AH342" s="49"/>
      <c r="AI342" s="49"/>
      <c r="AJ342" s="62" t="s">
        <v>4581</v>
      </c>
      <c r="AK342" s="49" t="s">
        <v>4582</v>
      </c>
      <c r="AL342" s="49"/>
      <c r="AM342" s="49"/>
      <c r="AN342" s="49"/>
      <c r="AO342" s="49"/>
      <c r="AP342" s="49"/>
      <c r="AQ342" s="49"/>
      <c r="AR342" s="49"/>
      <c r="AS342" s="49"/>
      <c r="AT342" s="49"/>
      <c r="AU342" s="49"/>
      <c r="AV342" s="49"/>
      <c r="AW342" s="49"/>
      <c r="AX342" s="49"/>
      <c r="AY342" s="49"/>
      <c r="AZ342" s="49"/>
      <c r="BA342" s="49"/>
      <c r="BB342" s="49"/>
      <c r="BC342" s="49"/>
      <c r="BD342" s="49"/>
      <c r="BE342" s="49"/>
      <c r="BF342" s="49"/>
      <c r="BG342" s="49"/>
      <c r="BH342" s="49"/>
      <c r="BI342" s="49"/>
      <c r="BJ342" s="49"/>
      <c r="BK342" s="49"/>
      <c r="BL342" s="49"/>
      <c r="BM342" s="49"/>
      <c r="BN342" s="49"/>
      <c r="BO342" s="49"/>
      <c r="BP342" s="49"/>
      <c r="BQ342" s="49"/>
      <c r="BR342" s="49"/>
      <c r="BS342" s="49"/>
      <c r="BT342" s="49"/>
      <c r="BU342" s="49"/>
      <c r="BV342" s="49"/>
      <c r="BW342" s="49"/>
      <c r="BX342" s="49"/>
      <c r="BY342" s="49"/>
      <c r="BZ342" s="49"/>
      <c r="CA342" s="49"/>
    </row>
    <row r="343" spans="1:79">
      <c r="A343" s="49"/>
      <c r="B343" s="49"/>
      <c r="C343" s="49"/>
      <c r="D343" s="62"/>
      <c r="E343" s="49"/>
      <c r="F343" s="49"/>
      <c r="G343" s="71"/>
      <c r="H343" s="49"/>
      <c r="I343" s="49"/>
      <c r="J343" s="49"/>
      <c r="K343" s="49"/>
      <c r="L343" s="49"/>
      <c r="M343" s="62"/>
      <c r="N343" s="62"/>
      <c r="O343" s="62"/>
      <c r="P343" s="49"/>
      <c r="Q343" s="49"/>
      <c r="R343" s="49" t="s">
        <v>4575</v>
      </c>
      <c r="S343" s="49"/>
      <c r="T343" s="49" t="s">
        <v>4583</v>
      </c>
      <c r="U343" s="49"/>
      <c r="V343" s="49"/>
      <c r="W343" s="49"/>
      <c r="X343" s="49"/>
      <c r="Y343" s="49"/>
      <c r="Z343" s="49" t="s">
        <v>4577</v>
      </c>
      <c r="AA343" s="49"/>
      <c r="AB343" s="49"/>
      <c r="AC343" s="49"/>
      <c r="AD343" s="49"/>
      <c r="AE343" s="49"/>
      <c r="AF343" s="110">
        <v>1000</v>
      </c>
      <c r="AG343" s="111">
        <v>5000</v>
      </c>
      <c r="AH343" s="49"/>
      <c r="AI343" s="49"/>
      <c r="AJ343" s="62" t="s">
        <v>4584</v>
      </c>
      <c r="AK343" s="49" t="s">
        <v>4585</v>
      </c>
      <c r="AL343" s="49"/>
      <c r="AM343" s="49"/>
      <c r="AN343" s="49"/>
      <c r="AO343" s="49"/>
      <c r="AP343" s="49"/>
      <c r="AQ343" s="49"/>
      <c r="AR343" s="49"/>
      <c r="AS343" s="49"/>
      <c r="AT343" s="49"/>
      <c r="AU343" s="49"/>
      <c r="AV343" s="49"/>
      <c r="AW343" s="49"/>
      <c r="AX343" s="49"/>
      <c r="AY343" s="49"/>
      <c r="AZ343" s="49"/>
      <c r="BA343" s="49"/>
      <c r="BB343" s="49"/>
      <c r="BC343" s="49"/>
      <c r="BD343" s="49"/>
      <c r="BE343" s="49"/>
      <c r="BF343" s="49"/>
      <c r="BG343" s="49"/>
      <c r="BH343" s="49"/>
      <c r="BI343" s="49"/>
      <c r="BJ343" s="49"/>
      <c r="BK343" s="49"/>
      <c r="BL343" s="49"/>
      <c r="BM343" s="49"/>
      <c r="BN343" s="49"/>
      <c r="BO343" s="49"/>
      <c r="BP343" s="49"/>
      <c r="BQ343" s="49"/>
      <c r="BR343" s="49"/>
      <c r="BS343" s="49"/>
      <c r="BT343" s="49"/>
      <c r="BU343" s="49"/>
      <c r="BV343" s="49"/>
      <c r="BW343" s="49"/>
      <c r="BX343" s="49"/>
      <c r="BY343" s="49"/>
      <c r="BZ343" s="49"/>
      <c r="CA343" s="49"/>
    </row>
    <row r="344" spans="1:79">
      <c r="A344" s="49"/>
      <c r="B344" s="49"/>
      <c r="C344" s="49"/>
      <c r="D344" s="62"/>
      <c r="E344" s="49"/>
      <c r="F344" s="49"/>
      <c r="G344" s="71"/>
      <c r="H344" s="49"/>
      <c r="I344" s="49"/>
      <c r="J344" s="49"/>
      <c r="K344" s="49"/>
      <c r="L344" s="49"/>
      <c r="M344" s="62"/>
      <c r="N344" s="62"/>
      <c r="O344" s="62"/>
      <c r="P344" s="49"/>
      <c r="Q344" s="49"/>
      <c r="R344" s="49" t="s">
        <v>163</v>
      </c>
      <c r="S344" s="49"/>
      <c r="T344" s="49" t="s">
        <v>163</v>
      </c>
      <c r="U344" s="49"/>
      <c r="V344" s="49"/>
      <c r="W344" s="49"/>
      <c r="X344" s="49"/>
      <c r="Y344" s="49"/>
      <c r="Z344" s="49" t="s">
        <v>163</v>
      </c>
      <c r="AA344" s="49"/>
      <c r="AB344" s="49"/>
      <c r="AC344" s="49"/>
      <c r="AD344" s="49"/>
      <c r="AE344" s="49"/>
      <c r="AF344" s="110"/>
      <c r="AG344" s="111"/>
      <c r="AH344" s="49"/>
      <c r="AI344" s="49"/>
      <c r="AJ344" s="62" t="s">
        <v>4586</v>
      </c>
      <c r="AK344" s="49" t="s">
        <v>4587</v>
      </c>
      <c r="AL344" s="49"/>
      <c r="AM344" s="49"/>
      <c r="AN344" s="49"/>
      <c r="AO344" s="49"/>
      <c r="AP344" s="49"/>
      <c r="AQ344" s="49"/>
      <c r="AR344" s="49"/>
      <c r="AS344" s="49"/>
      <c r="AT344" s="49"/>
      <c r="AU344" s="49"/>
      <c r="AV344" s="49"/>
      <c r="AW344" s="49"/>
      <c r="AX344" s="49"/>
      <c r="AY344" s="49"/>
      <c r="AZ344" s="49"/>
      <c r="BA344" s="49"/>
      <c r="BB344" s="49"/>
      <c r="BC344" s="49"/>
      <c r="BD344" s="49"/>
      <c r="BE344" s="49"/>
      <c r="BF344" s="49"/>
      <c r="BG344" s="49"/>
      <c r="BH344" s="49"/>
      <c r="BI344" s="49"/>
      <c r="BJ344" s="49"/>
      <c r="BK344" s="49"/>
      <c r="BL344" s="49"/>
      <c r="BM344" s="49"/>
      <c r="BN344" s="49"/>
      <c r="BO344" s="49"/>
      <c r="BP344" s="49"/>
      <c r="BQ344" s="49"/>
      <c r="BR344" s="49"/>
      <c r="BS344" s="49"/>
      <c r="BT344" s="49"/>
      <c r="BU344" s="49"/>
      <c r="BV344" s="49"/>
      <c r="BW344" s="49"/>
      <c r="BX344" s="49"/>
      <c r="BY344" s="49"/>
      <c r="BZ344" s="49"/>
      <c r="CA344" s="49"/>
    </row>
    <row r="345" spans="1:79">
      <c r="A345" s="49"/>
      <c r="B345" s="49"/>
      <c r="C345" s="49"/>
      <c r="D345" s="62"/>
      <c r="E345" s="49"/>
      <c r="F345" s="49"/>
      <c r="G345" s="71"/>
      <c r="H345" s="49"/>
      <c r="I345" s="49"/>
      <c r="J345" s="49"/>
      <c r="K345" s="49"/>
      <c r="L345" s="49"/>
      <c r="M345" s="62"/>
      <c r="N345" s="62"/>
      <c r="O345" s="62"/>
      <c r="P345" s="49"/>
      <c r="Q345" s="49"/>
      <c r="R345" s="49" t="s">
        <v>4588</v>
      </c>
      <c r="S345" s="49"/>
      <c r="T345" s="49" t="s">
        <v>4589</v>
      </c>
      <c r="U345" s="49"/>
      <c r="V345" s="49"/>
      <c r="W345" s="49"/>
      <c r="X345" s="49"/>
      <c r="Y345" s="49"/>
      <c r="Z345" s="49" t="s">
        <v>4590</v>
      </c>
      <c r="AA345" s="49"/>
      <c r="AB345" s="49"/>
      <c r="AC345" s="49"/>
      <c r="AD345" s="49"/>
      <c r="AE345" s="49"/>
      <c r="AF345" s="110">
        <v>10</v>
      </c>
      <c r="AG345" s="111">
        <v>20</v>
      </c>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49"/>
      <c r="BE345" s="49"/>
      <c r="BF345" s="49"/>
      <c r="BG345" s="49"/>
      <c r="BH345" s="49"/>
      <c r="BI345" s="49"/>
      <c r="BJ345" s="49"/>
      <c r="BK345" s="49"/>
      <c r="BL345" s="49"/>
      <c r="BM345" s="49"/>
      <c r="BN345" s="49"/>
      <c r="BO345" s="49"/>
      <c r="BP345" s="49"/>
      <c r="BQ345" s="49"/>
      <c r="BR345" s="49"/>
      <c r="BS345" s="49"/>
      <c r="BT345" s="49"/>
      <c r="BU345" s="49"/>
      <c r="BV345" s="49"/>
      <c r="BW345" s="49"/>
      <c r="BX345" s="49"/>
      <c r="BY345" s="49"/>
      <c r="BZ345" s="49"/>
      <c r="CA345" s="49"/>
    </row>
    <row r="346" spans="1:79">
      <c r="A346" s="49"/>
      <c r="B346" s="49"/>
      <c r="C346" s="49"/>
      <c r="D346" s="62"/>
      <c r="E346" s="49"/>
      <c r="F346" s="49"/>
      <c r="G346" s="71"/>
      <c r="H346" s="49"/>
      <c r="I346" s="49"/>
      <c r="J346" s="49"/>
      <c r="K346" s="49"/>
      <c r="L346" s="49"/>
      <c r="M346" s="62"/>
      <c r="N346" s="62"/>
      <c r="O346" s="62"/>
      <c r="P346" s="49"/>
      <c r="Q346" s="49"/>
      <c r="R346" s="49" t="s">
        <v>4588</v>
      </c>
      <c r="S346" s="49"/>
      <c r="T346" s="49" t="s">
        <v>4591</v>
      </c>
      <c r="U346" s="49"/>
      <c r="V346" s="49"/>
      <c r="W346" s="49"/>
      <c r="X346" s="49"/>
      <c r="Y346" s="49"/>
      <c r="Z346" s="49" t="s">
        <v>4590</v>
      </c>
      <c r="AA346" s="49"/>
      <c r="AB346" s="49"/>
      <c r="AC346" s="49"/>
      <c r="AD346" s="49"/>
      <c r="AE346" s="49"/>
      <c r="AF346" s="110">
        <v>30</v>
      </c>
      <c r="AG346" s="111">
        <v>200</v>
      </c>
      <c r="AH346" s="49"/>
      <c r="AI346" s="49"/>
      <c r="AJ346" s="49"/>
      <c r="AK346" s="49"/>
      <c r="AL346" s="49"/>
      <c r="AM346" s="49"/>
      <c r="AN346" s="49"/>
      <c r="AO346" s="49"/>
      <c r="AP346" s="49"/>
      <c r="AQ346" s="49"/>
      <c r="AR346" s="49"/>
      <c r="AS346" s="49"/>
      <c r="AT346" s="49"/>
      <c r="AU346" s="49"/>
      <c r="AV346" s="49"/>
      <c r="AW346" s="49"/>
      <c r="AX346" s="49"/>
      <c r="AY346" s="49"/>
      <c r="AZ346" s="49"/>
      <c r="BA346" s="49"/>
      <c r="BB346" s="49"/>
      <c r="BC346" s="49"/>
      <c r="BD346" s="49"/>
      <c r="BE346" s="49"/>
      <c r="BF346" s="49"/>
      <c r="BG346" s="49"/>
      <c r="BH346" s="49"/>
      <c r="BI346" s="49"/>
      <c r="BJ346" s="49"/>
      <c r="BK346" s="49"/>
      <c r="BL346" s="49"/>
      <c r="BM346" s="49"/>
      <c r="BN346" s="49"/>
      <c r="BO346" s="49"/>
      <c r="BP346" s="49"/>
      <c r="BQ346" s="49"/>
      <c r="BR346" s="49"/>
      <c r="BS346" s="49"/>
      <c r="BT346" s="49"/>
      <c r="BU346" s="49"/>
      <c r="BV346" s="49"/>
      <c r="BW346" s="49"/>
      <c r="BX346" s="49"/>
      <c r="BY346" s="49"/>
      <c r="BZ346" s="49"/>
      <c r="CA346" s="49"/>
    </row>
    <row r="347" spans="1:79">
      <c r="A347" s="49"/>
      <c r="B347" s="49"/>
      <c r="C347" s="49"/>
      <c r="D347" s="62"/>
      <c r="E347" s="49"/>
      <c r="F347" s="49"/>
      <c r="G347" s="71"/>
      <c r="H347" s="49"/>
      <c r="I347" s="49"/>
      <c r="J347" s="49"/>
      <c r="K347" s="49"/>
      <c r="L347" s="49"/>
      <c r="M347" s="62"/>
      <c r="N347" s="62"/>
      <c r="O347" s="62"/>
      <c r="P347" s="49"/>
      <c r="Q347" s="49"/>
      <c r="R347" s="49" t="s">
        <v>4588</v>
      </c>
      <c r="S347" s="49"/>
      <c r="T347" s="49" t="s">
        <v>4592</v>
      </c>
      <c r="U347" s="49"/>
      <c r="V347" s="49"/>
      <c r="W347" s="49"/>
      <c r="X347" s="49"/>
      <c r="Y347" s="49"/>
      <c r="Z347" s="49" t="s">
        <v>4590</v>
      </c>
      <c r="AA347" s="49"/>
      <c r="AB347" s="49"/>
      <c r="AC347" s="49"/>
      <c r="AD347" s="49"/>
      <c r="AE347" s="49"/>
      <c r="AF347" s="110">
        <v>50</v>
      </c>
      <c r="AG347" s="111">
        <v>2000</v>
      </c>
      <c r="AH347" s="49"/>
      <c r="AI347" s="49"/>
      <c r="AJ347" s="49"/>
      <c r="AK347" s="49"/>
      <c r="AL347" s="49"/>
      <c r="AM347" s="49"/>
      <c r="AN347" s="49"/>
      <c r="AO347" s="49"/>
      <c r="AP347" s="49"/>
      <c r="AQ347" s="49"/>
      <c r="AR347" s="49"/>
      <c r="AS347" s="49"/>
      <c r="AT347" s="49"/>
      <c r="AU347" s="49"/>
      <c r="AV347" s="49"/>
      <c r="AW347" s="49"/>
      <c r="AX347" s="49"/>
      <c r="AY347" s="49"/>
      <c r="AZ347" s="49"/>
      <c r="BA347" s="49"/>
      <c r="BB347" s="49"/>
      <c r="BC347" s="49"/>
      <c r="BD347" s="49"/>
      <c r="BE347" s="49"/>
      <c r="BF347" s="49"/>
      <c r="BG347" s="49"/>
      <c r="BH347" s="49"/>
      <c r="BI347" s="49"/>
      <c r="BJ347" s="49"/>
      <c r="BK347" s="49"/>
      <c r="BL347" s="49"/>
      <c r="BM347" s="49"/>
      <c r="BN347" s="49"/>
      <c r="BO347" s="49"/>
      <c r="BP347" s="49"/>
      <c r="BQ347" s="49"/>
      <c r="BR347" s="49"/>
      <c r="BS347" s="49"/>
      <c r="BT347" s="49"/>
      <c r="BU347" s="49"/>
      <c r="BV347" s="49"/>
      <c r="BW347" s="49"/>
      <c r="BX347" s="49"/>
      <c r="BY347" s="49"/>
      <c r="BZ347" s="49"/>
      <c r="CA347" s="49"/>
    </row>
    <row r="348" spans="1:79">
      <c r="A348" s="49"/>
      <c r="B348" s="49"/>
      <c r="C348" s="49"/>
      <c r="D348" s="62"/>
      <c r="E348" s="49"/>
      <c r="F348" s="49"/>
      <c r="G348" s="71"/>
      <c r="H348" s="49"/>
      <c r="I348" s="49"/>
      <c r="J348" s="49"/>
      <c r="K348" s="49"/>
      <c r="L348" s="49"/>
      <c r="M348" s="62"/>
      <c r="N348" s="62"/>
      <c r="O348" s="62"/>
      <c r="P348" s="49"/>
      <c r="Q348" s="49"/>
      <c r="R348" s="49" t="s">
        <v>163</v>
      </c>
      <c r="S348" s="49"/>
      <c r="T348" s="49" t="s">
        <v>163</v>
      </c>
      <c r="U348" s="49"/>
      <c r="V348" s="49"/>
      <c r="W348" s="49"/>
      <c r="X348" s="49"/>
      <c r="Y348" s="49"/>
      <c r="Z348" s="49" t="s">
        <v>163</v>
      </c>
      <c r="AA348" s="49"/>
      <c r="AB348" s="49"/>
      <c r="AC348" s="49"/>
      <c r="AD348" s="49"/>
      <c r="AE348" s="49"/>
      <c r="AF348" s="110"/>
      <c r="AG348" s="111"/>
      <c r="AH348" s="49"/>
      <c r="AI348" s="49"/>
      <c r="AJ348" s="49"/>
      <c r="AK348" s="49"/>
      <c r="AL348" s="49"/>
      <c r="AM348" s="49"/>
      <c r="AN348" s="49"/>
      <c r="AO348" s="49"/>
      <c r="AP348" s="49"/>
      <c r="AQ348" s="49"/>
      <c r="AR348" s="49"/>
      <c r="AS348" s="49"/>
      <c r="AT348" s="49"/>
      <c r="AU348" s="49"/>
      <c r="AV348" s="49"/>
      <c r="AW348" s="49"/>
      <c r="AX348" s="49"/>
      <c r="AY348" s="49"/>
      <c r="AZ348" s="49"/>
      <c r="BA348" s="49"/>
      <c r="BB348" s="49"/>
      <c r="BC348" s="49"/>
      <c r="BD348" s="49"/>
      <c r="BE348" s="49"/>
      <c r="BF348" s="49"/>
      <c r="BG348" s="49"/>
      <c r="BH348" s="49"/>
      <c r="BI348" s="49"/>
      <c r="BJ348" s="49"/>
      <c r="BK348" s="49"/>
      <c r="BL348" s="49"/>
      <c r="BM348" s="49"/>
      <c r="BN348" s="49"/>
      <c r="BO348" s="49"/>
      <c r="BP348" s="49"/>
      <c r="BQ348" s="49"/>
      <c r="BR348" s="49"/>
      <c r="BS348" s="49"/>
      <c r="BT348" s="49"/>
      <c r="BU348" s="49"/>
      <c r="BV348" s="49"/>
      <c r="BW348" s="49"/>
      <c r="BX348" s="49"/>
      <c r="BY348" s="49"/>
      <c r="BZ348" s="49"/>
      <c r="CA348" s="49"/>
    </row>
    <row r="349" spans="1:79">
      <c r="A349" s="49"/>
      <c r="B349" s="49"/>
      <c r="C349" s="49"/>
      <c r="D349" s="62"/>
      <c r="E349" s="49"/>
      <c r="F349" s="49"/>
      <c r="G349" s="71"/>
      <c r="H349" s="49"/>
      <c r="I349" s="49"/>
      <c r="J349" s="49"/>
      <c r="K349" s="49"/>
      <c r="L349" s="49"/>
      <c r="M349" s="62"/>
      <c r="N349" s="62"/>
      <c r="O349" s="62"/>
      <c r="P349" s="49"/>
      <c r="Q349" s="49"/>
      <c r="R349" s="49" t="s">
        <v>4593</v>
      </c>
      <c r="S349" s="49"/>
      <c r="T349" s="49" t="s">
        <v>4594</v>
      </c>
      <c r="U349" s="49"/>
      <c r="V349" s="49"/>
      <c r="W349" s="49"/>
      <c r="X349" s="49"/>
      <c r="Y349" s="49"/>
      <c r="Z349" s="49" t="s">
        <v>163</v>
      </c>
      <c r="AA349" s="49"/>
      <c r="AB349" s="49"/>
      <c r="AC349" s="49"/>
      <c r="AD349" s="49"/>
      <c r="AE349" s="49"/>
      <c r="AF349" s="110">
        <v>10</v>
      </c>
      <c r="AG349" s="111">
        <v>20</v>
      </c>
      <c r="AH349" s="49"/>
      <c r="AI349" s="49"/>
      <c r="AJ349" s="49"/>
      <c r="AK349" s="49"/>
      <c r="AL349" s="49"/>
      <c r="AM349" s="49"/>
      <c r="AN349" s="49"/>
      <c r="AO349" s="49"/>
      <c r="AP349" s="49"/>
      <c r="AQ349" s="49"/>
      <c r="AR349" s="49"/>
      <c r="AS349" s="49"/>
      <c r="AT349" s="49"/>
      <c r="AU349" s="49"/>
      <c r="AV349" s="49"/>
      <c r="AW349" s="49"/>
      <c r="AX349" s="49"/>
      <c r="AY349" s="49"/>
      <c r="AZ349" s="49"/>
      <c r="BA349" s="49"/>
      <c r="BB349" s="49"/>
      <c r="BC349" s="49"/>
      <c r="BD349" s="49"/>
      <c r="BE349" s="49"/>
      <c r="BF349" s="49"/>
      <c r="BG349" s="49"/>
      <c r="BH349" s="49"/>
      <c r="BI349" s="49"/>
      <c r="BJ349" s="49"/>
      <c r="BK349" s="49"/>
      <c r="BL349" s="49"/>
      <c r="BM349" s="49"/>
      <c r="BN349" s="49"/>
      <c r="BO349" s="49"/>
      <c r="BP349" s="49"/>
      <c r="BQ349" s="49"/>
      <c r="BR349" s="49"/>
      <c r="BS349" s="49"/>
      <c r="BT349" s="49"/>
      <c r="BU349" s="49"/>
      <c r="BV349" s="49"/>
      <c r="BW349" s="49"/>
      <c r="BX349" s="49"/>
      <c r="BY349" s="49"/>
      <c r="BZ349" s="49"/>
      <c r="CA349" s="49"/>
    </row>
    <row r="350" spans="1:79">
      <c r="A350" s="49"/>
      <c r="B350" s="49"/>
      <c r="C350" s="49"/>
      <c r="D350" s="62"/>
      <c r="E350" s="49"/>
      <c r="F350" s="49"/>
      <c r="G350" s="71"/>
      <c r="H350" s="49"/>
      <c r="I350" s="49"/>
      <c r="J350" s="49"/>
      <c r="K350" s="49"/>
      <c r="L350" s="49"/>
      <c r="M350" s="62"/>
      <c r="N350" s="62"/>
      <c r="O350" s="62"/>
      <c r="P350" s="49"/>
      <c r="Q350" s="49"/>
      <c r="R350" s="49" t="s">
        <v>4593</v>
      </c>
      <c r="S350" s="49"/>
      <c r="T350" s="49" t="s">
        <v>4595</v>
      </c>
      <c r="U350" s="49"/>
      <c r="V350" s="49"/>
      <c r="W350" s="49"/>
      <c r="X350" s="49"/>
      <c r="Y350" s="49"/>
      <c r="Z350" s="49" t="s">
        <v>163</v>
      </c>
      <c r="AA350" s="49"/>
      <c r="AB350" s="49"/>
      <c r="AC350" s="49"/>
      <c r="AD350" s="49"/>
      <c r="AE350" s="49"/>
      <c r="AF350" s="110">
        <v>30</v>
      </c>
      <c r="AG350" s="111">
        <v>200</v>
      </c>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row>
    <row r="351" spans="1:79">
      <c r="A351" s="49"/>
      <c r="B351" s="49"/>
      <c r="C351" s="49"/>
      <c r="D351" s="62"/>
      <c r="E351" s="49"/>
      <c r="F351" s="49"/>
      <c r="G351" s="71"/>
      <c r="H351" s="49"/>
      <c r="I351" s="49"/>
      <c r="J351" s="49"/>
      <c r="K351" s="49"/>
      <c r="L351" s="49"/>
      <c r="M351" s="62"/>
      <c r="N351" s="62"/>
      <c r="O351" s="62"/>
      <c r="P351" s="49"/>
      <c r="Q351" s="49"/>
      <c r="R351" s="49" t="s">
        <v>4593</v>
      </c>
      <c r="S351" s="49"/>
      <c r="T351" s="49" t="s">
        <v>4596</v>
      </c>
      <c r="U351" s="49"/>
      <c r="V351" s="49"/>
      <c r="W351" s="49"/>
      <c r="X351" s="49"/>
      <c r="Y351" s="49"/>
      <c r="Z351" s="49" t="s">
        <v>163</v>
      </c>
      <c r="AA351" s="49"/>
      <c r="AB351" s="49"/>
      <c r="AC351" s="49"/>
      <c r="AD351" s="49"/>
      <c r="AE351" s="49"/>
      <c r="AF351" s="110">
        <v>50</v>
      </c>
      <c r="AG351" s="111">
        <v>2000</v>
      </c>
      <c r="AH351" s="49"/>
      <c r="AI351" s="49"/>
      <c r="AJ351" s="49"/>
      <c r="AK351" s="49"/>
      <c r="AL351" s="49"/>
      <c r="AM351" s="49"/>
      <c r="AN351" s="49"/>
      <c r="AO351" s="49"/>
      <c r="AP351" s="49"/>
      <c r="AQ351" s="49"/>
      <c r="AR351" s="49"/>
      <c r="AS351" s="49"/>
      <c r="AT351" s="49"/>
      <c r="AU351" s="49"/>
      <c r="AV351" s="49"/>
      <c r="AW351" s="49"/>
      <c r="AX351" s="49"/>
      <c r="AY351" s="49"/>
      <c r="AZ351" s="49"/>
      <c r="BA351" s="49"/>
      <c r="BB351" s="49"/>
      <c r="BC351" s="49"/>
      <c r="BD351" s="49"/>
      <c r="BE351" s="49"/>
      <c r="BF351" s="49"/>
      <c r="BG351" s="49"/>
      <c r="BH351" s="49"/>
      <c r="BI351" s="49"/>
      <c r="BJ351" s="49"/>
      <c r="BK351" s="49"/>
      <c r="BL351" s="49"/>
      <c r="BM351" s="49"/>
      <c r="BN351" s="49"/>
      <c r="BO351" s="49"/>
      <c r="BP351" s="49"/>
      <c r="BQ351" s="49"/>
      <c r="BR351" s="49"/>
      <c r="BS351" s="49"/>
      <c r="BT351" s="49"/>
      <c r="BU351" s="49"/>
      <c r="BV351" s="49"/>
      <c r="BW351" s="49"/>
      <c r="BX351" s="49"/>
      <c r="BY351" s="49"/>
      <c r="BZ351" s="49"/>
      <c r="CA351" s="49"/>
    </row>
    <row r="352" spans="1:79">
      <c r="A352" s="49"/>
      <c r="B352" s="49"/>
      <c r="C352" s="49"/>
      <c r="D352" s="62"/>
      <c r="E352" s="49"/>
      <c r="F352" s="49"/>
      <c r="G352" s="71"/>
      <c r="H352" s="49"/>
      <c r="I352" s="49"/>
      <c r="J352" s="49"/>
      <c r="K352" s="49"/>
      <c r="L352" s="49"/>
      <c r="M352" s="62"/>
      <c r="N352" s="62"/>
      <c r="O352" s="62"/>
      <c r="P352" s="49"/>
      <c r="Q352" s="49"/>
      <c r="R352" s="49" t="s">
        <v>163</v>
      </c>
      <c r="S352" s="49"/>
      <c r="T352" s="49" t="s">
        <v>163</v>
      </c>
      <c r="U352" s="49"/>
      <c r="V352" s="49"/>
      <c r="W352" s="49"/>
      <c r="X352" s="49"/>
      <c r="Y352" s="49"/>
      <c r="Z352" s="49" t="s">
        <v>163</v>
      </c>
      <c r="AA352" s="49"/>
      <c r="AB352" s="49"/>
      <c r="AC352" s="49"/>
      <c r="AD352" s="49"/>
      <c r="AE352" s="49"/>
      <c r="AF352" s="110"/>
      <c r="AG352" s="111"/>
      <c r="AH352" s="49"/>
      <c r="AI352" s="49"/>
      <c r="AJ352" s="49"/>
      <c r="AK352" s="49"/>
      <c r="AL352" s="49"/>
      <c r="AM352" s="49"/>
      <c r="AN352" s="49"/>
      <c r="AO352" s="49"/>
      <c r="AP352" s="49"/>
      <c r="AQ352" s="49"/>
      <c r="AR352" s="49"/>
      <c r="AS352" s="49"/>
      <c r="AT352" s="49"/>
      <c r="AU352" s="49"/>
      <c r="AV352" s="49"/>
      <c r="AW352" s="49"/>
      <c r="AX352" s="49"/>
      <c r="AY352" s="49"/>
      <c r="AZ352" s="49"/>
      <c r="BA352" s="49"/>
      <c r="BB352" s="49"/>
      <c r="BC352" s="49"/>
      <c r="BD352" s="49"/>
      <c r="BE352" s="49"/>
      <c r="BF352" s="49"/>
      <c r="BG352" s="49"/>
      <c r="BH352" s="49"/>
      <c r="BI352" s="49"/>
      <c r="BJ352" s="49"/>
      <c r="BK352" s="49"/>
      <c r="BL352" s="49"/>
      <c r="BM352" s="49"/>
      <c r="BN352" s="49"/>
      <c r="BO352" s="49"/>
      <c r="BP352" s="49"/>
      <c r="BQ352" s="49"/>
      <c r="BR352" s="49"/>
      <c r="BS352" s="49"/>
      <c r="BT352" s="49"/>
      <c r="BU352" s="49"/>
      <c r="BV352" s="49"/>
      <c r="BW352" s="49"/>
      <c r="BX352" s="49"/>
      <c r="BY352" s="49"/>
      <c r="BZ352" s="49"/>
      <c r="CA352" s="49"/>
    </row>
    <row r="353" spans="1:79">
      <c r="A353" s="49"/>
      <c r="B353" s="49"/>
      <c r="C353" s="49"/>
      <c r="D353" s="62"/>
      <c r="E353" s="49"/>
      <c r="F353" s="49"/>
      <c r="G353" s="71"/>
      <c r="H353" s="49"/>
      <c r="I353" s="49"/>
      <c r="J353" s="49"/>
      <c r="K353" s="49"/>
      <c r="L353" s="49"/>
      <c r="M353" s="62"/>
      <c r="N353" s="62"/>
      <c r="O353" s="62"/>
      <c r="P353" s="49"/>
      <c r="Q353" s="49"/>
      <c r="R353" s="49" t="s">
        <v>4597</v>
      </c>
      <c r="S353" s="49"/>
      <c r="T353" s="49" t="s">
        <v>4598</v>
      </c>
      <c r="U353" s="49"/>
      <c r="V353" s="49"/>
      <c r="W353" s="49"/>
      <c r="X353" s="49"/>
      <c r="Y353" s="49"/>
      <c r="Z353" s="49" t="s">
        <v>4599</v>
      </c>
      <c r="AA353" s="49"/>
      <c r="AB353" s="49"/>
      <c r="AC353" s="49"/>
      <c r="AD353" s="49"/>
      <c r="AE353" s="49"/>
      <c r="AF353" s="110">
        <v>50</v>
      </c>
      <c r="AG353" s="111">
        <v>20</v>
      </c>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row>
    <row r="354" spans="1:79">
      <c r="A354" s="49"/>
      <c r="B354" s="49"/>
      <c r="C354" s="49"/>
      <c r="D354" s="62"/>
      <c r="E354" s="49"/>
      <c r="F354" s="49"/>
      <c r="G354" s="71"/>
      <c r="H354" s="49"/>
      <c r="I354" s="49"/>
      <c r="J354" s="49"/>
      <c r="K354" s="49"/>
      <c r="L354" s="49"/>
      <c r="M354" s="62"/>
      <c r="N354" s="62"/>
      <c r="O354" s="62"/>
      <c r="P354" s="49"/>
      <c r="Q354" s="49"/>
      <c r="R354" s="49" t="s">
        <v>4597</v>
      </c>
      <c r="S354" s="49"/>
      <c r="T354" s="49" t="s">
        <v>4600</v>
      </c>
      <c r="U354" s="49"/>
      <c r="V354" s="49"/>
      <c r="W354" s="49"/>
      <c r="X354" s="49"/>
      <c r="Y354" s="49"/>
      <c r="Z354" s="49" t="s">
        <v>4599</v>
      </c>
      <c r="AA354" s="49"/>
      <c r="AB354" s="49"/>
      <c r="AC354" s="49"/>
      <c r="AD354" s="49"/>
      <c r="AE354" s="49"/>
      <c r="AF354" s="110">
        <v>100</v>
      </c>
      <c r="AG354" s="111">
        <v>200</v>
      </c>
      <c r="AH354" s="49"/>
      <c r="AI354" s="49"/>
      <c r="AJ354" s="49"/>
      <c r="AK354" s="49"/>
      <c r="AL354" s="49"/>
      <c r="AM354" s="49"/>
      <c r="AN354" s="49"/>
      <c r="AO354" s="49"/>
      <c r="AP354" s="49"/>
      <c r="AQ354" s="49"/>
      <c r="AR354" s="49"/>
      <c r="AS354" s="49"/>
      <c r="AT354" s="49"/>
      <c r="AU354" s="49"/>
      <c r="AV354" s="49"/>
      <c r="AW354" s="49"/>
      <c r="AX354" s="49"/>
      <c r="AY354" s="49"/>
      <c r="AZ354" s="49"/>
      <c r="BA354" s="49"/>
      <c r="BB354" s="49"/>
      <c r="BC354" s="49"/>
      <c r="BD354" s="49"/>
      <c r="BE354" s="49"/>
      <c r="BF354" s="49"/>
      <c r="BG354" s="49"/>
      <c r="BH354" s="49"/>
      <c r="BI354" s="49"/>
      <c r="BJ354" s="49"/>
      <c r="BK354" s="49"/>
      <c r="BL354" s="49"/>
      <c r="BM354" s="49"/>
      <c r="BN354" s="49"/>
      <c r="BO354" s="49"/>
      <c r="BP354" s="49"/>
      <c r="BQ354" s="49"/>
      <c r="BR354" s="49"/>
      <c r="BS354" s="49"/>
      <c r="BT354" s="49"/>
      <c r="BU354" s="49"/>
      <c r="BV354" s="49"/>
      <c r="BW354" s="49"/>
      <c r="BX354" s="49"/>
      <c r="BY354" s="49"/>
      <c r="BZ354" s="49"/>
      <c r="CA354" s="49"/>
    </row>
    <row r="355" spans="1:79">
      <c r="A355" s="49"/>
      <c r="B355" s="49"/>
      <c r="C355" s="49"/>
      <c r="D355" s="62"/>
      <c r="E355" s="49"/>
      <c r="F355" s="49"/>
      <c r="G355" s="71"/>
      <c r="H355" s="49"/>
      <c r="I355" s="49"/>
      <c r="J355" s="49"/>
      <c r="K355" s="49"/>
      <c r="L355" s="49"/>
      <c r="M355" s="62"/>
      <c r="N355" s="62"/>
      <c r="O355" s="62"/>
      <c r="P355" s="49"/>
      <c r="Q355" s="49"/>
      <c r="R355" s="49" t="s">
        <v>4597</v>
      </c>
      <c r="S355" s="49"/>
      <c r="T355" s="49" t="s">
        <v>4601</v>
      </c>
      <c r="U355" s="49"/>
      <c r="V355" s="49"/>
      <c r="W355" s="49"/>
      <c r="X355" s="49"/>
      <c r="Y355" s="49"/>
      <c r="Z355" s="49" t="s">
        <v>4599</v>
      </c>
      <c r="AA355" s="49"/>
      <c r="AB355" s="49"/>
      <c r="AC355" s="49"/>
      <c r="AD355" s="49"/>
      <c r="AE355" s="49"/>
      <c r="AF355" s="110">
        <v>250</v>
      </c>
      <c r="AG355" s="111">
        <v>2000</v>
      </c>
      <c r="AH355" s="49"/>
      <c r="AI355" s="49"/>
      <c r="AJ355" s="49"/>
      <c r="AK355" s="49"/>
      <c r="AL355" s="49"/>
      <c r="AM355" s="49"/>
      <c r="AN355" s="49"/>
      <c r="AO355" s="49"/>
      <c r="AP355" s="49"/>
      <c r="AQ355" s="49"/>
      <c r="AR355" s="49"/>
      <c r="AS355" s="49"/>
      <c r="AT355" s="49"/>
      <c r="AU355" s="49"/>
      <c r="AV355" s="49"/>
      <c r="AW355" s="49"/>
      <c r="AX355" s="49"/>
      <c r="AY355" s="49"/>
      <c r="AZ355" s="49"/>
      <c r="BA355" s="49"/>
      <c r="BB355" s="49"/>
      <c r="BC355" s="49"/>
      <c r="BD355" s="49"/>
      <c r="BE355" s="49"/>
      <c r="BF355" s="49"/>
      <c r="BG355" s="49"/>
      <c r="BH355" s="49"/>
      <c r="BI355" s="49"/>
      <c r="BJ355" s="49"/>
      <c r="BK355" s="49"/>
      <c r="BL355" s="49"/>
      <c r="BM355" s="49"/>
      <c r="BN355" s="49"/>
      <c r="BO355" s="49"/>
      <c r="BP355" s="49"/>
      <c r="BQ355" s="49"/>
      <c r="BR355" s="49"/>
      <c r="BS355" s="49"/>
      <c r="BT355" s="49"/>
      <c r="BU355" s="49"/>
      <c r="BV355" s="49"/>
      <c r="BW355" s="49"/>
      <c r="BX355" s="49"/>
      <c r="BY355" s="49"/>
      <c r="BZ355" s="49"/>
      <c r="CA355" s="49"/>
    </row>
    <row r="356" spans="1:79">
      <c r="A356" s="49"/>
      <c r="B356" s="49"/>
      <c r="C356" s="49"/>
      <c r="D356" s="62"/>
      <c r="E356" s="49"/>
      <c r="F356" s="49"/>
      <c r="G356" s="71"/>
      <c r="H356" s="49"/>
      <c r="I356" s="49"/>
      <c r="J356" s="49"/>
      <c r="K356" s="49"/>
      <c r="L356" s="49"/>
      <c r="M356" s="62"/>
      <c r="N356" s="62"/>
      <c r="O356" s="62"/>
      <c r="P356" s="49"/>
      <c r="Q356" s="49"/>
      <c r="R356" s="49" t="s">
        <v>163</v>
      </c>
      <c r="S356" s="49"/>
      <c r="T356" s="49" t="s">
        <v>163</v>
      </c>
      <c r="U356" s="49"/>
      <c r="V356" s="49"/>
      <c r="W356" s="49"/>
      <c r="X356" s="49"/>
      <c r="Y356" s="49"/>
      <c r="Z356" s="49" t="s">
        <v>163</v>
      </c>
      <c r="AA356" s="49"/>
      <c r="AB356" s="49"/>
      <c r="AC356" s="49"/>
      <c r="AD356" s="49"/>
      <c r="AE356" s="49"/>
      <c r="AF356" s="110"/>
      <c r="AG356" s="111"/>
      <c r="AH356" s="49"/>
      <c r="AI356" s="49"/>
      <c r="AJ356" s="49"/>
      <c r="AK356" s="49"/>
      <c r="AL356" s="49"/>
      <c r="AM356" s="49"/>
      <c r="AN356" s="49"/>
      <c r="AO356" s="49"/>
      <c r="AP356" s="49"/>
      <c r="AQ356" s="49"/>
      <c r="AR356" s="49"/>
      <c r="AS356" s="49"/>
      <c r="AT356" s="49"/>
      <c r="AU356" s="49"/>
      <c r="AV356" s="49"/>
      <c r="AW356" s="49"/>
      <c r="AX356" s="49"/>
      <c r="AY356" s="49"/>
      <c r="AZ356" s="49"/>
      <c r="BA356" s="49"/>
      <c r="BB356" s="49"/>
      <c r="BC356" s="49"/>
      <c r="BD356" s="49"/>
      <c r="BE356" s="49"/>
      <c r="BF356" s="49"/>
      <c r="BG356" s="49"/>
      <c r="BH356" s="49"/>
      <c r="BI356" s="49"/>
      <c r="BJ356" s="49"/>
      <c r="BK356" s="49"/>
      <c r="BL356" s="49"/>
      <c r="BM356" s="49"/>
      <c r="BN356" s="49"/>
      <c r="BO356" s="49"/>
      <c r="BP356" s="49"/>
      <c r="BQ356" s="49"/>
      <c r="BR356" s="49"/>
      <c r="BS356" s="49"/>
      <c r="BT356" s="49"/>
      <c r="BU356" s="49"/>
      <c r="BV356" s="49"/>
      <c r="BW356" s="49"/>
      <c r="BX356" s="49"/>
      <c r="BY356" s="49"/>
      <c r="BZ356" s="49"/>
      <c r="CA356" s="49"/>
    </row>
    <row r="357" spans="1:79">
      <c r="A357" s="49"/>
      <c r="B357" s="49"/>
      <c r="C357" s="49"/>
      <c r="D357" s="62"/>
      <c r="E357" s="49"/>
      <c r="F357" s="49"/>
      <c r="G357" s="71"/>
      <c r="H357" s="49"/>
      <c r="I357" s="49"/>
      <c r="J357" s="49"/>
      <c r="K357" s="49"/>
      <c r="L357" s="49"/>
      <c r="M357" s="62"/>
      <c r="N357" s="62"/>
      <c r="O357" s="62"/>
      <c r="P357" s="49"/>
      <c r="Q357" s="49"/>
      <c r="R357" s="49" t="s">
        <v>4602</v>
      </c>
      <c r="S357" s="49"/>
      <c r="T357" s="49" t="s">
        <v>4603</v>
      </c>
      <c r="U357" s="49"/>
      <c r="V357" s="49"/>
      <c r="W357" s="49"/>
      <c r="X357" s="49"/>
      <c r="Y357" s="49"/>
      <c r="Z357" s="49" t="s">
        <v>4109</v>
      </c>
      <c r="AA357" s="49"/>
      <c r="AB357" s="49"/>
      <c r="AC357" s="49"/>
      <c r="AD357" s="49"/>
      <c r="AE357" s="49"/>
      <c r="AF357" s="110">
        <v>20</v>
      </c>
      <c r="AG357" s="111">
        <v>200</v>
      </c>
      <c r="AH357" s="49"/>
      <c r="AI357" s="49"/>
      <c r="AJ357" s="49"/>
      <c r="AK357" s="49"/>
      <c r="AL357" s="49"/>
      <c r="AM357" s="49"/>
      <c r="AN357" s="49"/>
      <c r="AO357" s="49"/>
      <c r="AP357" s="49"/>
      <c r="AQ357" s="49"/>
      <c r="AR357" s="49"/>
      <c r="AS357" s="49"/>
      <c r="AT357" s="49"/>
      <c r="AU357" s="49"/>
      <c r="AV357" s="49"/>
      <c r="AW357" s="49"/>
      <c r="AX357" s="49"/>
      <c r="AY357" s="49"/>
      <c r="AZ357" s="49"/>
      <c r="BA357" s="49"/>
      <c r="BB357" s="49"/>
      <c r="BC357" s="49"/>
      <c r="BD357" s="49"/>
      <c r="BE357" s="49"/>
      <c r="BF357" s="49"/>
      <c r="BG357" s="49"/>
      <c r="BH357" s="49"/>
      <c r="BI357" s="49"/>
      <c r="BJ357" s="49"/>
      <c r="BK357" s="49"/>
      <c r="BL357" s="49"/>
      <c r="BM357" s="49"/>
      <c r="BN357" s="49"/>
      <c r="BO357" s="49"/>
      <c r="BP357" s="49"/>
      <c r="BQ357" s="49"/>
      <c r="BR357" s="49"/>
      <c r="BS357" s="49"/>
      <c r="BT357" s="49"/>
      <c r="BU357" s="49"/>
      <c r="BV357" s="49"/>
      <c r="BW357" s="49"/>
      <c r="BX357" s="49"/>
      <c r="BY357" s="49"/>
      <c r="BZ357" s="49"/>
      <c r="CA357" s="49"/>
    </row>
    <row r="358" spans="1:79">
      <c r="A358" s="49"/>
      <c r="B358" s="49"/>
      <c r="C358" s="49"/>
      <c r="D358" s="62"/>
      <c r="E358" s="49"/>
      <c r="F358" s="49"/>
      <c r="G358" s="71"/>
      <c r="H358" s="49"/>
      <c r="I358" s="49"/>
      <c r="J358" s="49"/>
      <c r="K358" s="49"/>
      <c r="L358" s="49"/>
      <c r="M358" s="62"/>
      <c r="N358" s="62"/>
      <c r="O358" s="62"/>
      <c r="P358" s="49"/>
      <c r="Q358" s="49"/>
      <c r="R358" s="49" t="s">
        <v>4602</v>
      </c>
      <c r="S358" s="49"/>
      <c r="T358" s="49" t="s">
        <v>4604</v>
      </c>
      <c r="U358" s="49"/>
      <c r="V358" s="49"/>
      <c r="W358" s="49"/>
      <c r="X358" s="49"/>
      <c r="Y358" s="49"/>
      <c r="Z358" s="49" t="s">
        <v>4109</v>
      </c>
      <c r="AA358" s="49"/>
      <c r="AB358" s="49"/>
      <c r="AC358" s="49"/>
      <c r="AD358" s="49"/>
      <c r="AE358" s="49"/>
      <c r="AF358" s="110">
        <v>50</v>
      </c>
      <c r="AG358" s="111">
        <v>500</v>
      </c>
      <c r="AH358" s="49"/>
      <c r="AI358" s="49"/>
      <c r="AJ358" s="49"/>
      <c r="AK358" s="49"/>
      <c r="AL358" s="49"/>
      <c r="AM358" s="49"/>
      <c r="AN358" s="49"/>
      <c r="AO358" s="49"/>
      <c r="AP358" s="49"/>
      <c r="AQ358" s="49"/>
      <c r="AR358" s="49"/>
      <c r="AS358" s="49"/>
      <c r="AT358" s="49"/>
      <c r="AU358" s="49"/>
      <c r="AV358" s="49"/>
      <c r="AW358" s="49"/>
      <c r="AX358" s="49"/>
      <c r="AY358" s="49"/>
      <c r="AZ358" s="49"/>
      <c r="BA358" s="49"/>
      <c r="BB358" s="49"/>
      <c r="BC358" s="49"/>
      <c r="BD358" s="49"/>
      <c r="BE358" s="49"/>
      <c r="BF358" s="49"/>
      <c r="BG358" s="49"/>
      <c r="BH358" s="49"/>
      <c r="BI358" s="49"/>
      <c r="BJ358" s="49"/>
      <c r="BK358" s="49"/>
      <c r="BL358" s="49"/>
      <c r="BM358" s="49"/>
      <c r="BN358" s="49"/>
      <c r="BO358" s="49"/>
      <c r="BP358" s="49"/>
      <c r="BQ358" s="49"/>
      <c r="BR358" s="49"/>
      <c r="BS358" s="49"/>
      <c r="BT358" s="49"/>
      <c r="BU358" s="49"/>
      <c r="BV358" s="49"/>
      <c r="BW358" s="49"/>
      <c r="BX358" s="49"/>
      <c r="BY358" s="49"/>
      <c r="BZ358" s="49"/>
      <c r="CA358" s="49"/>
    </row>
    <row r="359" spans="1:79">
      <c r="A359" s="49"/>
      <c r="B359" s="49"/>
      <c r="C359" s="49"/>
      <c r="D359" s="62"/>
      <c r="E359" s="49"/>
      <c r="F359" s="49"/>
      <c r="G359" s="71"/>
      <c r="H359" s="49"/>
      <c r="I359" s="49"/>
      <c r="J359" s="49"/>
      <c r="K359" s="49"/>
      <c r="L359" s="49"/>
      <c r="M359" s="62"/>
      <c r="N359" s="62"/>
      <c r="O359" s="62"/>
      <c r="P359" s="49"/>
      <c r="Q359" s="49"/>
      <c r="R359" s="49" t="s">
        <v>4602</v>
      </c>
      <c r="S359" s="49"/>
      <c r="T359" s="49" t="s">
        <v>4605</v>
      </c>
      <c r="U359" s="49"/>
      <c r="V359" s="49"/>
      <c r="W359" s="49"/>
      <c r="X359" s="49"/>
      <c r="Y359" s="49"/>
      <c r="Z359" s="49" t="s">
        <v>4109</v>
      </c>
      <c r="AA359" s="49"/>
      <c r="AB359" s="49"/>
      <c r="AC359" s="49"/>
      <c r="AD359" s="49"/>
      <c r="AE359" s="49"/>
      <c r="AF359" s="110">
        <v>100</v>
      </c>
      <c r="AG359" s="111">
        <v>1000</v>
      </c>
      <c r="AH359" s="49"/>
      <c r="AI359" s="49"/>
      <c r="AJ359" s="49"/>
      <c r="AK359" s="49"/>
      <c r="AL359" s="49"/>
      <c r="AM359" s="49"/>
      <c r="AN359" s="49"/>
      <c r="AO359" s="49"/>
      <c r="AP359" s="49"/>
      <c r="AQ359" s="49"/>
      <c r="AR359" s="49"/>
      <c r="AS359" s="49"/>
      <c r="AT359" s="49"/>
      <c r="AU359" s="49"/>
      <c r="AV359" s="49"/>
      <c r="AW359" s="49"/>
      <c r="AX359" s="49"/>
      <c r="AY359" s="49"/>
      <c r="AZ359" s="49"/>
      <c r="BA359" s="49"/>
      <c r="BB359" s="49"/>
      <c r="BC359" s="49"/>
      <c r="BD359" s="49"/>
      <c r="BE359" s="49"/>
      <c r="BF359" s="49"/>
      <c r="BG359" s="49"/>
      <c r="BH359" s="49"/>
      <c r="BI359" s="49"/>
      <c r="BJ359" s="49"/>
      <c r="BK359" s="49"/>
      <c r="BL359" s="49"/>
      <c r="BM359" s="49"/>
      <c r="BN359" s="49"/>
      <c r="BO359" s="49"/>
      <c r="BP359" s="49"/>
      <c r="BQ359" s="49"/>
      <c r="BR359" s="49"/>
      <c r="BS359" s="49"/>
      <c r="BT359" s="49"/>
      <c r="BU359" s="49"/>
      <c r="BV359" s="49"/>
      <c r="BW359" s="49"/>
      <c r="BX359" s="49"/>
      <c r="BY359" s="49"/>
      <c r="BZ359" s="49"/>
      <c r="CA359" s="49"/>
    </row>
    <row r="360" spans="1:79">
      <c r="A360" s="49"/>
      <c r="B360" s="49"/>
      <c r="C360" s="49"/>
      <c r="D360" s="62"/>
      <c r="E360" s="49"/>
      <c r="F360" s="49"/>
      <c r="G360" s="71"/>
      <c r="H360" s="49"/>
      <c r="I360" s="49"/>
      <c r="J360" s="49"/>
      <c r="K360" s="49"/>
      <c r="L360" s="49"/>
      <c r="M360" s="62"/>
      <c r="N360" s="62"/>
      <c r="O360" s="62"/>
      <c r="P360" s="49"/>
      <c r="Q360" s="49"/>
      <c r="R360" s="49" t="s">
        <v>163</v>
      </c>
      <c r="S360" s="49"/>
      <c r="T360" s="49" t="s">
        <v>163</v>
      </c>
      <c r="U360" s="49"/>
      <c r="V360" s="49"/>
      <c r="W360" s="49"/>
      <c r="X360" s="49"/>
      <c r="Y360" s="49"/>
      <c r="Z360" s="49" t="s">
        <v>163</v>
      </c>
      <c r="AA360" s="49"/>
      <c r="AB360" s="49"/>
      <c r="AC360" s="49"/>
      <c r="AD360" s="49"/>
      <c r="AE360" s="49"/>
      <c r="AF360" s="110"/>
      <c r="AG360" s="111"/>
      <c r="AH360" s="49"/>
      <c r="AI360" s="49"/>
      <c r="AJ360" s="49"/>
      <c r="AK360" s="49"/>
      <c r="AL360" s="49"/>
      <c r="AM360" s="49"/>
      <c r="AN360" s="49"/>
      <c r="AO360" s="49"/>
      <c r="AP360" s="49"/>
      <c r="AQ360" s="49"/>
      <c r="AR360" s="49"/>
      <c r="AS360" s="49"/>
      <c r="AT360" s="49"/>
      <c r="AU360" s="49"/>
      <c r="AV360" s="49"/>
      <c r="AW360" s="49"/>
      <c r="AX360" s="49"/>
      <c r="AY360" s="49"/>
      <c r="AZ360" s="49"/>
      <c r="BA360" s="49"/>
      <c r="BB360" s="49"/>
      <c r="BC360" s="49"/>
      <c r="BD360" s="49"/>
      <c r="BE360" s="49"/>
      <c r="BF360" s="49"/>
      <c r="BG360" s="49"/>
      <c r="BH360" s="49"/>
      <c r="BI360" s="49"/>
      <c r="BJ360" s="49"/>
      <c r="BK360" s="49"/>
      <c r="BL360" s="49"/>
      <c r="BM360" s="49"/>
      <c r="BN360" s="49"/>
      <c r="BO360" s="49"/>
      <c r="BP360" s="49"/>
      <c r="BQ360" s="49"/>
      <c r="BR360" s="49"/>
      <c r="BS360" s="49"/>
      <c r="BT360" s="49"/>
      <c r="BU360" s="49"/>
      <c r="BV360" s="49"/>
      <c r="BW360" s="49"/>
      <c r="BX360" s="49"/>
      <c r="BY360" s="49"/>
      <c r="BZ360" s="49"/>
      <c r="CA360" s="49"/>
    </row>
    <row r="361" spans="1:79">
      <c r="A361" s="49"/>
      <c r="B361" s="49"/>
      <c r="C361" s="49"/>
      <c r="D361" s="49"/>
      <c r="E361" s="49"/>
      <c r="F361" s="49"/>
      <c r="G361" s="49"/>
      <c r="H361" s="49"/>
      <c r="I361" s="49"/>
      <c r="J361" s="49"/>
      <c r="K361" s="49"/>
      <c r="L361" s="49"/>
      <c r="M361" s="49"/>
      <c r="N361" s="49"/>
      <c r="O361" s="49"/>
      <c r="P361" s="49"/>
      <c r="Q361" s="49"/>
      <c r="R361" s="49" t="s">
        <v>4606</v>
      </c>
      <c r="S361" s="49"/>
      <c r="T361" s="49" t="s">
        <v>4607</v>
      </c>
      <c r="U361" s="49"/>
      <c r="V361" s="49"/>
      <c r="W361" s="49"/>
      <c r="X361" s="49"/>
      <c r="Y361" s="49"/>
      <c r="Z361" s="49" t="s">
        <v>163</v>
      </c>
      <c r="AA361" s="49"/>
      <c r="AB361" s="49"/>
      <c r="AC361" s="49"/>
      <c r="AD361" s="49"/>
      <c r="AE361" s="49"/>
      <c r="AF361" s="110">
        <v>20</v>
      </c>
      <c r="AG361" s="111">
        <v>200</v>
      </c>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row>
    <row r="362" spans="1:79">
      <c r="A362" s="49"/>
      <c r="B362" s="49"/>
      <c r="C362" s="49"/>
      <c r="D362" s="49"/>
      <c r="E362" s="49"/>
      <c r="F362" s="49"/>
      <c r="G362" s="49"/>
      <c r="H362" s="49"/>
      <c r="I362" s="49"/>
      <c r="J362" s="49"/>
      <c r="K362" s="49"/>
      <c r="L362" s="49"/>
      <c r="M362" s="49"/>
      <c r="N362" s="49"/>
      <c r="O362" s="49"/>
      <c r="P362" s="49"/>
      <c r="Q362" s="49"/>
      <c r="R362" s="49" t="s">
        <v>163</v>
      </c>
      <c r="S362" s="49"/>
      <c r="T362" s="49" t="s">
        <v>163</v>
      </c>
      <c r="U362" s="49"/>
      <c r="V362" s="49"/>
      <c r="W362" s="49"/>
      <c r="X362" s="49"/>
      <c r="Y362" s="49"/>
      <c r="Z362" s="49" t="s">
        <v>163</v>
      </c>
      <c r="AA362" s="49"/>
      <c r="AB362" s="49"/>
      <c r="AC362" s="49"/>
      <c r="AD362" s="49"/>
      <c r="AE362" s="49"/>
      <c r="AF362" s="110"/>
      <c r="AG362" s="111"/>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row>
    <row r="363" spans="1:79">
      <c r="A363" s="49"/>
      <c r="B363" s="49"/>
      <c r="C363" s="49"/>
      <c r="D363" s="49"/>
      <c r="E363" s="49"/>
      <c r="F363" s="49"/>
      <c r="G363" s="49"/>
      <c r="H363" s="49"/>
      <c r="I363" s="49"/>
      <c r="J363" s="49"/>
      <c r="K363" s="49"/>
      <c r="L363" s="49"/>
      <c r="M363" s="49"/>
      <c r="N363" s="49"/>
      <c r="O363" s="49"/>
      <c r="P363" s="49"/>
      <c r="Q363" s="49"/>
      <c r="R363" s="49" t="s">
        <v>4608</v>
      </c>
      <c r="S363" s="49"/>
      <c r="T363" s="49" t="s">
        <v>4609</v>
      </c>
      <c r="U363" s="49"/>
      <c r="V363" s="49"/>
      <c r="W363" s="49"/>
      <c r="X363" s="49"/>
      <c r="Y363" s="49"/>
      <c r="Z363" s="49" t="s">
        <v>4610</v>
      </c>
      <c r="AA363" s="49"/>
      <c r="AB363" s="49"/>
      <c r="AC363" s="49"/>
      <c r="AD363" s="49"/>
      <c r="AE363" s="49"/>
      <c r="AF363" s="110">
        <v>20</v>
      </c>
      <c r="AG363" s="111">
        <v>200</v>
      </c>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row>
    <row r="364" spans="1:79">
      <c r="A364" s="49"/>
      <c r="B364" s="49"/>
      <c r="C364" s="49"/>
      <c r="D364" s="49"/>
      <c r="E364" s="49"/>
      <c r="F364" s="49"/>
      <c r="G364" s="49"/>
      <c r="H364" s="49"/>
      <c r="I364" s="49"/>
      <c r="J364" s="49"/>
      <c r="K364" s="49"/>
      <c r="L364" s="49"/>
      <c r="M364" s="49"/>
      <c r="N364" s="49"/>
      <c r="O364" s="49"/>
      <c r="P364" s="49"/>
      <c r="Q364" s="49"/>
      <c r="R364" s="49" t="s">
        <v>4608</v>
      </c>
      <c r="S364" s="49"/>
      <c r="T364" s="49" t="s">
        <v>4611</v>
      </c>
      <c r="U364" s="49"/>
      <c r="V364" s="49"/>
      <c r="W364" s="49"/>
      <c r="X364" s="49"/>
      <c r="Y364" s="49"/>
      <c r="Z364" s="49" t="s">
        <v>4610</v>
      </c>
      <c r="AA364" s="49"/>
      <c r="AB364" s="49"/>
      <c r="AC364" s="49"/>
      <c r="AD364" s="49"/>
      <c r="AE364" s="49"/>
      <c r="AF364" s="110">
        <v>100</v>
      </c>
      <c r="AG364" s="111">
        <v>1000</v>
      </c>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row>
    <row r="365" spans="1:79">
      <c r="A365" s="49"/>
      <c r="B365" s="49"/>
      <c r="C365" s="49"/>
      <c r="D365" s="49"/>
      <c r="E365" s="49"/>
      <c r="F365" s="49"/>
      <c r="G365" s="49"/>
      <c r="H365" s="49"/>
      <c r="I365" s="49"/>
      <c r="J365" s="49"/>
      <c r="K365" s="49"/>
      <c r="L365" s="49"/>
      <c r="M365" s="49"/>
      <c r="N365" s="49"/>
      <c r="O365" s="49"/>
      <c r="P365" s="49"/>
      <c r="Q365" s="49"/>
      <c r="R365" s="49" t="s">
        <v>4608</v>
      </c>
      <c r="S365" s="49"/>
      <c r="T365" s="49" t="s">
        <v>4612</v>
      </c>
      <c r="U365" s="49"/>
      <c r="V365" s="49"/>
      <c r="W365" s="49"/>
      <c r="X365" s="49"/>
      <c r="Y365" s="49"/>
      <c r="Z365" s="49" t="s">
        <v>4610</v>
      </c>
      <c r="AA365" s="49"/>
      <c r="AB365" s="49"/>
      <c r="AC365" s="49"/>
      <c r="AD365" s="49"/>
      <c r="AE365" s="49"/>
      <c r="AF365" s="110">
        <v>250</v>
      </c>
      <c r="AG365" s="111">
        <v>2500</v>
      </c>
      <c r="AH365" s="49"/>
      <c r="AI365" s="49"/>
      <c r="AJ365" s="49"/>
      <c r="AK365" s="49"/>
      <c r="AL365" s="49"/>
      <c r="AM365" s="49"/>
      <c r="AN365" s="49"/>
      <c r="AO365" s="49"/>
      <c r="AP365" s="49"/>
      <c r="AQ365" s="49"/>
      <c r="AR365" s="49"/>
      <c r="AS365" s="49"/>
      <c r="AT365" s="49"/>
      <c r="AU365" s="49"/>
      <c r="AV365" s="49"/>
      <c r="AW365" s="49"/>
      <c r="AX365" s="49"/>
      <c r="AY365" s="49"/>
      <c r="AZ365" s="49"/>
      <c r="BA365" s="49"/>
      <c r="BB365" s="49"/>
      <c r="BC365" s="49"/>
      <c r="BD365" s="49"/>
      <c r="BE365" s="49"/>
      <c r="BF365" s="49"/>
      <c r="BG365" s="49"/>
      <c r="BH365" s="49"/>
      <c r="BI365" s="49"/>
      <c r="BJ365" s="49"/>
      <c r="BK365" s="49"/>
      <c r="BL365" s="49"/>
      <c r="BM365" s="49"/>
      <c r="BN365" s="49"/>
      <c r="BO365" s="49"/>
      <c r="BP365" s="49"/>
      <c r="BQ365" s="49"/>
      <c r="BR365" s="49"/>
      <c r="BS365" s="49"/>
      <c r="BT365" s="49"/>
      <c r="BU365" s="49"/>
      <c r="BV365" s="49"/>
      <c r="BW365" s="49"/>
      <c r="BX365" s="49"/>
      <c r="BY365" s="49"/>
      <c r="BZ365" s="49"/>
      <c r="CA365" s="49"/>
    </row>
    <row r="366" spans="1:79">
      <c r="A366" s="49"/>
      <c r="B366" s="49"/>
      <c r="C366" s="49"/>
      <c r="D366" s="49"/>
      <c r="E366" s="49"/>
      <c r="F366" s="49"/>
      <c r="G366" s="49"/>
      <c r="H366" s="49"/>
      <c r="I366" s="49"/>
      <c r="J366" s="49"/>
      <c r="K366" s="49"/>
      <c r="L366" s="49"/>
      <c r="M366" s="49"/>
      <c r="N366" s="49"/>
      <c r="O366" s="49"/>
      <c r="P366" s="49"/>
      <c r="Q366" s="49"/>
      <c r="R366" s="49" t="s">
        <v>163</v>
      </c>
      <c r="S366" s="49"/>
      <c r="T366" s="49" t="s">
        <v>163</v>
      </c>
      <c r="U366" s="49"/>
      <c r="V366" s="49"/>
      <c r="W366" s="49"/>
      <c r="X366" s="49"/>
      <c r="Y366" s="49"/>
      <c r="Z366" s="49" t="s">
        <v>163</v>
      </c>
      <c r="AA366" s="49"/>
      <c r="AB366" s="49"/>
      <c r="AC366" s="49"/>
      <c r="AD366" s="49"/>
      <c r="AE366" s="49"/>
      <c r="AF366" s="110"/>
      <c r="AG366" s="111"/>
      <c r="AH366" s="49"/>
      <c r="AI366" s="49"/>
      <c r="AJ366" s="49"/>
      <c r="AK366" s="49"/>
      <c r="AL366" s="49"/>
      <c r="AM366" s="49"/>
      <c r="AN366" s="49"/>
      <c r="AO366" s="49"/>
      <c r="AP366" s="49"/>
      <c r="AQ366" s="49"/>
      <c r="AR366" s="49"/>
      <c r="AS366" s="49"/>
      <c r="AT366" s="49"/>
      <c r="AU366" s="49"/>
      <c r="AV366" s="49"/>
      <c r="AW366" s="49"/>
      <c r="AX366" s="49"/>
      <c r="AY366" s="49"/>
      <c r="AZ366" s="49"/>
      <c r="BA366" s="49"/>
      <c r="BB366" s="49"/>
      <c r="BC366" s="49"/>
      <c r="BD366" s="49"/>
      <c r="BE366" s="49"/>
      <c r="BF366" s="49"/>
      <c r="BG366" s="49"/>
      <c r="BH366" s="49"/>
      <c r="BI366" s="49"/>
      <c r="BJ366" s="49"/>
      <c r="BK366" s="49"/>
      <c r="BL366" s="49"/>
      <c r="BM366" s="49"/>
      <c r="BN366" s="49"/>
      <c r="BO366" s="49"/>
      <c r="BP366" s="49"/>
      <c r="BQ366" s="49"/>
      <c r="BR366" s="49"/>
      <c r="BS366" s="49"/>
      <c r="BT366" s="49"/>
      <c r="BU366" s="49"/>
      <c r="BV366" s="49"/>
      <c r="BW366" s="49"/>
      <c r="BX366" s="49"/>
      <c r="BY366" s="49"/>
      <c r="BZ366" s="49"/>
      <c r="CA366" s="49"/>
    </row>
    <row r="367" spans="1:79">
      <c r="A367" s="49"/>
      <c r="B367" s="49"/>
      <c r="C367" s="49"/>
      <c r="D367" s="49"/>
      <c r="E367" s="49"/>
      <c r="F367" s="49"/>
      <c r="G367" s="49"/>
      <c r="H367" s="49"/>
      <c r="I367" s="49"/>
      <c r="J367" s="49"/>
      <c r="K367" s="49"/>
      <c r="L367" s="49"/>
      <c r="M367" s="49"/>
      <c r="N367" s="49"/>
      <c r="O367" s="49"/>
      <c r="P367" s="49"/>
      <c r="Q367" s="49"/>
      <c r="R367" s="49" t="s">
        <v>4530</v>
      </c>
      <c r="S367" s="49"/>
      <c r="T367" s="49" t="s">
        <v>4613</v>
      </c>
      <c r="U367" s="49"/>
      <c r="V367" s="49"/>
      <c r="W367" s="49"/>
      <c r="X367" s="49"/>
      <c r="Y367" s="49"/>
      <c r="Z367" s="49" t="s">
        <v>4532</v>
      </c>
      <c r="AA367" s="49"/>
      <c r="AB367" s="49"/>
      <c r="AC367" s="49"/>
      <c r="AD367" s="49"/>
      <c r="AE367" s="49"/>
      <c r="AF367" s="110">
        <v>50</v>
      </c>
      <c r="AG367" s="111">
        <v>100</v>
      </c>
      <c r="AH367" s="49"/>
      <c r="AI367" s="49"/>
      <c r="AJ367" s="49"/>
      <c r="AK367" s="49"/>
      <c r="AL367" s="49"/>
      <c r="AM367" s="49"/>
      <c r="AN367" s="49"/>
      <c r="AO367" s="49"/>
      <c r="AP367" s="49"/>
      <c r="AQ367" s="49"/>
      <c r="AR367" s="49"/>
      <c r="AS367" s="49"/>
      <c r="AT367" s="49"/>
      <c r="AU367" s="49"/>
      <c r="AV367" s="49"/>
      <c r="AW367" s="49"/>
      <c r="AX367" s="49"/>
      <c r="AY367" s="49"/>
      <c r="AZ367" s="49"/>
      <c r="BA367" s="49"/>
      <c r="BB367" s="49"/>
      <c r="BC367" s="49"/>
      <c r="BD367" s="49"/>
      <c r="BE367" s="49"/>
      <c r="BF367" s="49"/>
      <c r="BG367" s="49"/>
      <c r="BH367" s="49"/>
      <c r="BI367" s="49"/>
      <c r="BJ367" s="49"/>
      <c r="BK367" s="49"/>
      <c r="BL367" s="49"/>
      <c r="BM367" s="49"/>
      <c r="BN367" s="49"/>
      <c r="BO367" s="49"/>
      <c r="BP367" s="49"/>
      <c r="BQ367" s="49"/>
      <c r="BR367" s="49"/>
      <c r="BS367" s="49"/>
      <c r="BT367" s="49"/>
      <c r="BU367" s="49"/>
      <c r="BV367" s="49"/>
      <c r="BW367" s="49"/>
      <c r="BX367" s="49"/>
      <c r="BY367" s="49"/>
      <c r="BZ367" s="49"/>
      <c r="CA367" s="49"/>
    </row>
    <row r="368" spans="1:79">
      <c r="A368" s="49"/>
      <c r="B368" s="49"/>
      <c r="C368" s="49"/>
      <c r="D368" s="49"/>
      <c r="E368" s="49"/>
      <c r="F368" s="49"/>
      <c r="G368" s="49"/>
      <c r="H368" s="49"/>
      <c r="I368" s="49"/>
      <c r="J368" s="49"/>
      <c r="K368" s="49"/>
      <c r="L368" s="49"/>
      <c r="M368" s="49"/>
      <c r="N368" s="49"/>
      <c r="O368" s="49"/>
      <c r="P368" s="49"/>
      <c r="Q368" s="49"/>
      <c r="R368" s="49" t="s">
        <v>163</v>
      </c>
      <c r="S368" s="49"/>
      <c r="T368" s="49" t="s">
        <v>163</v>
      </c>
      <c r="U368" s="49"/>
      <c r="V368" s="49"/>
      <c r="W368" s="49"/>
      <c r="X368" s="49"/>
      <c r="Y368" s="49"/>
      <c r="Z368" s="49" t="s">
        <v>163</v>
      </c>
      <c r="AA368" s="49"/>
      <c r="AB368" s="49"/>
      <c r="AC368" s="49"/>
      <c r="AD368" s="49"/>
      <c r="AE368" s="49"/>
      <c r="AF368" s="110"/>
      <c r="AG368" s="111"/>
      <c r="AH368" s="49"/>
      <c r="AI368" s="49"/>
      <c r="AJ368" s="49"/>
      <c r="AK368" s="49"/>
      <c r="AL368" s="49"/>
      <c r="AM368" s="49"/>
      <c r="AN368" s="49"/>
      <c r="AO368" s="49"/>
      <c r="AP368" s="49"/>
      <c r="AQ368" s="49"/>
      <c r="AR368" s="49"/>
      <c r="AS368" s="49"/>
      <c r="AT368" s="49"/>
      <c r="AU368" s="49"/>
      <c r="AV368" s="49"/>
      <c r="AW368" s="49"/>
      <c r="AX368" s="49"/>
      <c r="AY368" s="49"/>
      <c r="AZ368" s="49"/>
      <c r="BA368" s="49"/>
      <c r="BB368" s="49"/>
      <c r="BC368" s="49"/>
      <c r="BD368" s="49"/>
      <c r="BE368" s="49"/>
      <c r="BF368" s="49"/>
      <c r="BG368" s="49"/>
      <c r="BH368" s="49"/>
      <c r="BI368" s="49"/>
      <c r="BJ368" s="49"/>
      <c r="BK368" s="49"/>
      <c r="BL368" s="49"/>
      <c r="BM368" s="49"/>
      <c r="BN368" s="49"/>
      <c r="BO368" s="49"/>
      <c r="BP368" s="49"/>
      <c r="BQ368" s="49"/>
      <c r="BR368" s="49"/>
      <c r="BS368" s="49"/>
      <c r="BT368" s="49"/>
      <c r="BU368" s="49"/>
      <c r="BV368" s="49"/>
      <c r="BW368" s="49"/>
      <c r="BX368" s="49"/>
      <c r="BY368" s="49"/>
      <c r="BZ368" s="49"/>
      <c r="CA368" s="49"/>
    </row>
    <row r="369" spans="1:79">
      <c r="A369" s="49"/>
      <c r="B369" s="49"/>
      <c r="C369" s="49"/>
      <c r="D369" s="49"/>
      <c r="E369" s="49"/>
      <c r="F369" s="49"/>
      <c r="G369" s="49"/>
      <c r="H369" s="49"/>
      <c r="I369" s="49"/>
      <c r="J369" s="49"/>
      <c r="K369" s="49"/>
      <c r="L369" s="49"/>
      <c r="M369" s="49"/>
      <c r="N369" s="49"/>
      <c r="O369" s="49"/>
      <c r="P369" s="49"/>
      <c r="Q369" s="49"/>
      <c r="R369" s="49" t="s">
        <v>4614</v>
      </c>
      <c r="S369" s="49"/>
      <c r="T369" s="49" t="s">
        <v>4615</v>
      </c>
      <c r="U369" s="49"/>
      <c r="V369" s="49"/>
      <c r="W369" s="49"/>
      <c r="X369" s="49"/>
      <c r="Y369" s="49"/>
      <c r="Z369" s="49" t="s">
        <v>4616</v>
      </c>
      <c r="AA369" s="49"/>
      <c r="AB369" s="49"/>
      <c r="AC369" s="49"/>
      <c r="AD369" s="49"/>
      <c r="AE369" s="49"/>
      <c r="AF369" s="110">
        <v>50</v>
      </c>
      <c r="AG369" s="111">
        <v>20</v>
      </c>
      <c r="AH369" s="49"/>
      <c r="AI369" s="49"/>
      <c r="AJ369" s="49"/>
      <c r="AK369" s="49"/>
      <c r="AL369" s="49"/>
      <c r="AM369" s="49"/>
      <c r="AN369" s="49"/>
      <c r="AO369" s="49"/>
      <c r="AP369" s="49"/>
      <c r="AQ369" s="49"/>
      <c r="AR369" s="49"/>
      <c r="AS369" s="49"/>
      <c r="AT369" s="49"/>
      <c r="AU369" s="49"/>
      <c r="AV369" s="49"/>
      <c r="AW369" s="49"/>
      <c r="AX369" s="49"/>
      <c r="AY369" s="49"/>
      <c r="AZ369" s="49"/>
      <c r="BA369" s="49"/>
      <c r="BB369" s="49"/>
      <c r="BC369" s="49"/>
      <c r="BD369" s="49"/>
      <c r="BE369" s="49"/>
      <c r="BF369" s="49"/>
      <c r="BG369" s="49"/>
      <c r="BH369" s="49"/>
      <c r="BI369" s="49"/>
      <c r="BJ369" s="49"/>
      <c r="BK369" s="49"/>
      <c r="BL369" s="49"/>
      <c r="BM369" s="49"/>
      <c r="BN369" s="49"/>
      <c r="BO369" s="49"/>
      <c r="BP369" s="49"/>
      <c r="BQ369" s="49"/>
      <c r="BR369" s="49"/>
      <c r="BS369" s="49"/>
      <c r="BT369" s="49"/>
      <c r="BU369" s="49"/>
      <c r="BV369" s="49"/>
      <c r="BW369" s="49"/>
      <c r="BX369" s="49"/>
      <c r="BY369" s="49"/>
      <c r="BZ369" s="49"/>
      <c r="CA369" s="49"/>
    </row>
    <row r="370" spans="1:79">
      <c r="A370" s="49"/>
      <c r="B370" s="49"/>
      <c r="C370" s="49"/>
      <c r="D370" s="49"/>
      <c r="E370" s="49"/>
      <c r="F370" s="49"/>
      <c r="G370" s="49"/>
      <c r="H370" s="49"/>
      <c r="I370" s="49"/>
      <c r="J370" s="49"/>
      <c r="K370" s="49"/>
      <c r="L370" s="49"/>
      <c r="M370" s="49"/>
      <c r="N370" s="49"/>
      <c r="O370" s="49"/>
      <c r="P370" s="49"/>
      <c r="Q370" s="49"/>
      <c r="R370" s="49" t="s">
        <v>4614</v>
      </c>
      <c r="S370" s="49"/>
      <c r="T370" s="49" t="s">
        <v>4617</v>
      </c>
      <c r="U370" s="49"/>
      <c r="V370" s="49"/>
      <c r="W370" s="49"/>
      <c r="X370" s="49"/>
      <c r="Y370" s="49"/>
      <c r="Z370" s="49" t="s">
        <v>4616</v>
      </c>
      <c r="AA370" s="49"/>
      <c r="AB370" s="49"/>
      <c r="AC370" s="49"/>
      <c r="AD370" s="49"/>
      <c r="AE370" s="49"/>
      <c r="AF370" s="110">
        <v>100</v>
      </c>
      <c r="AG370" s="111">
        <v>200</v>
      </c>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row>
    <row r="371" spans="1:79">
      <c r="A371" s="49"/>
      <c r="B371" s="49"/>
      <c r="C371" s="49"/>
      <c r="D371" s="49"/>
      <c r="E371" s="49"/>
      <c r="F371" s="49"/>
      <c r="G371" s="49"/>
      <c r="H371" s="49"/>
      <c r="I371" s="49"/>
      <c r="J371" s="49"/>
      <c r="K371" s="49"/>
      <c r="L371" s="49"/>
      <c r="M371" s="49"/>
      <c r="N371" s="49"/>
      <c r="O371" s="49"/>
      <c r="P371" s="49"/>
      <c r="Q371" s="49"/>
      <c r="R371" s="49" t="s">
        <v>4614</v>
      </c>
      <c r="S371" s="49"/>
      <c r="T371" s="49" t="s">
        <v>4618</v>
      </c>
      <c r="U371" s="49"/>
      <c r="V371" s="49"/>
      <c r="W371" s="49"/>
      <c r="X371" s="49"/>
      <c r="Y371" s="49"/>
      <c r="Z371" s="49" t="s">
        <v>4616</v>
      </c>
      <c r="AA371" s="49"/>
      <c r="AB371" s="49"/>
      <c r="AC371" s="49"/>
      <c r="AD371" s="49"/>
      <c r="AE371" s="49"/>
      <c r="AF371" s="110">
        <v>250</v>
      </c>
      <c r="AG371" s="111">
        <v>2000</v>
      </c>
      <c r="AH371" s="49"/>
      <c r="AI371" s="49"/>
      <c r="AJ371" s="49"/>
      <c r="AK371" s="49"/>
      <c r="AL371" s="49"/>
      <c r="AM371" s="49"/>
      <c r="AN371" s="49"/>
      <c r="AO371" s="49"/>
      <c r="AP371" s="49"/>
      <c r="AQ371" s="49"/>
      <c r="AR371" s="49"/>
      <c r="AS371" s="49"/>
      <c r="AT371" s="49"/>
      <c r="AU371" s="49"/>
      <c r="AV371" s="49"/>
      <c r="AW371" s="49"/>
      <c r="AX371" s="49"/>
      <c r="AY371" s="49"/>
      <c r="AZ371" s="49"/>
      <c r="BA371" s="49"/>
      <c r="BB371" s="49"/>
      <c r="BC371" s="49"/>
      <c r="BD371" s="49"/>
      <c r="BE371" s="49"/>
      <c r="BF371" s="49"/>
      <c r="BG371" s="49"/>
      <c r="BH371" s="49"/>
      <c r="BI371" s="49"/>
      <c r="BJ371" s="49"/>
      <c r="BK371" s="49"/>
      <c r="BL371" s="49"/>
      <c r="BM371" s="49"/>
      <c r="BN371" s="49"/>
      <c r="BO371" s="49"/>
      <c r="BP371" s="49"/>
      <c r="BQ371" s="49"/>
      <c r="BR371" s="49"/>
      <c r="BS371" s="49"/>
      <c r="BT371" s="49"/>
      <c r="BU371" s="49"/>
      <c r="BV371" s="49"/>
      <c r="BW371" s="49"/>
      <c r="BX371" s="49"/>
      <c r="BY371" s="49"/>
      <c r="BZ371" s="49"/>
      <c r="CA371" s="49"/>
    </row>
    <row r="372" spans="1:79">
      <c r="A372" s="49"/>
      <c r="B372" s="49"/>
      <c r="C372" s="49"/>
      <c r="D372" s="49"/>
      <c r="E372" s="49"/>
      <c r="F372" s="49"/>
      <c r="G372" s="49"/>
      <c r="H372" s="49"/>
      <c r="I372" s="49"/>
      <c r="J372" s="49"/>
      <c r="K372" s="49"/>
      <c r="L372" s="49"/>
      <c r="M372" s="49"/>
      <c r="N372" s="49"/>
      <c r="O372" s="49"/>
      <c r="P372" s="49"/>
      <c r="Q372" s="49"/>
      <c r="R372" s="49" t="s">
        <v>163</v>
      </c>
      <c r="S372" s="49"/>
      <c r="T372" s="49" t="s">
        <v>163</v>
      </c>
      <c r="U372" s="49"/>
      <c r="V372" s="49"/>
      <c r="W372" s="49"/>
      <c r="X372" s="49"/>
      <c r="Y372" s="49"/>
      <c r="Z372" s="49" t="s">
        <v>163</v>
      </c>
      <c r="AA372" s="49"/>
      <c r="AB372" s="49"/>
      <c r="AC372" s="49"/>
      <c r="AD372" s="49"/>
      <c r="AE372" s="49"/>
      <c r="AF372" s="110"/>
      <c r="AG372" s="111"/>
      <c r="AH372" s="49"/>
      <c r="AI372" s="49"/>
      <c r="AJ372" s="49"/>
      <c r="AK372" s="49"/>
      <c r="AL372" s="49"/>
      <c r="AM372" s="49"/>
      <c r="AN372" s="49"/>
      <c r="AO372" s="49"/>
      <c r="AP372" s="49"/>
      <c r="AQ372" s="49"/>
      <c r="AR372" s="49"/>
      <c r="AS372" s="49"/>
      <c r="AT372" s="49"/>
      <c r="AU372" s="49"/>
      <c r="AV372" s="49"/>
      <c r="AW372" s="49"/>
      <c r="AX372" s="49"/>
      <c r="AY372" s="49"/>
      <c r="AZ372" s="49"/>
      <c r="BA372" s="49"/>
      <c r="BB372" s="49"/>
      <c r="BC372" s="49"/>
      <c r="BD372" s="49"/>
      <c r="BE372" s="49"/>
      <c r="BF372" s="49"/>
      <c r="BG372" s="49"/>
      <c r="BH372" s="49"/>
      <c r="BI372" s="49"/>
      <c r="BJ372" s="49"/>
      <c r="BK372" s="49"/>
      <c r="BL372" s="49"/>
      <c r="BM372" s="49"/>
      <c r="BN372" s="49"/>
      <c r="BO372" s="49"/>
      <c r="BP372" s="49"/>
      <c r="BQ372" s="49"/>
      <c r="BR372" s="49"/>
      <c r="BS372" s="49"/>
      <c r="BT372" s="49"/>
      <c r="BU372" s="49"/>
      <c r="BV372" s="49"/>
      <c r="BW372" s="49"/>
      <c r="BX372" s="49"/>
      <c r="BY372" s="49"/>
      <c r="BZ372" s="49"/>
      <c r="CA372" s="49"/>
    </row>
    <row r="373" spans="1:79">
      <c r="A373" s="49"/>
      <c r="B373" s="49"/>
      <c r="C373" s="49"/>
      <c r="D373" s="49"/>
      <c r="E373" s="49"/>
      <c r="F373" s="49"/>
      <c r="G373" s="49"/>
      <c r="H373" s="49"/>
      <c r="I373" s="49"/>
      <c r="J373" s="49"/>
      <c r="K373" s="49"/>
      <c r="L373" s="49"/>
      <c r="M373" s="49"/>
      <c r="N373" s="49"/>
      <c r="O373" s="49"/>
      <c r="P373" s="49"/>
      <c r="Q373" s="49"/>
      <c r="R373" s="49" t="s">
        <v>4619</v>
      </c>
      <c r="S373" s="49"/>
      <c r="T373" s="49" t="s">
        <v>4620</v>
      </c>
      <c r="U373" s="49"/>
      <c r="V373" s="49"/>
      <c r="W373" s="49"/>
      <c r="X373" s="49"/>
      <c r="Y373" s="49"/>
      <c r="Z373" s="49" t="s">
        <v>4621</v>
      </c>
      <c r="AA373" s="49"/>
      <c r="AB373" s="49"/>
      <c r="AC373" s="49"/>
      <c r="AD373" s="49"/>
      <c r="AE373" s="49"/>
      <c r="AF373" s="110">
        <v>150</v>
      </c>
      <c r="AG373" s="111">
        <v>100</v>
      </c>
      <c r="AH373" s="49"/>
      <c r="AI373" s="49"/>
      <c r="AJ373" s="49"/>
      <c r="AK373" s="49"/>
      <c r="AL373" s="49"/>
      <c r="AM373" s="49"/>
      <c r="AN373" s="49"/>
      <c r="AO373" s="49"/>
      <c r="AP373" s="49"/>
      <c r="AQ373" s="49"/>
      <c r="AR373" s="49"/>
      <c r="AS373" s="49"/>
      <c r="AT373" s="49"/>
      <c r="AU373" s="49"/>
      <c r="AV373" s="49"/>
      <c r="AW373" s="49"/>
      <c r="AX373" s="49"/>
      <c r="AY373" s="49"/>
      <c r="AZ373" s="49"/>
      <c r="BA373" s="49"/>
      <c r="BB373" s="49"/>
      <c r="BC373" s="49"/>
      <c r="BD373" s="49"/>
      <c r="BE373" s="49"/>
      <c r="BF373" s="49"/>
      <c r="BG373" s="49"/>
      <c r="BH373" s="49"/>
      <c r="BI373" s="49"/>
      <c r="BJ373" s="49"/>
      <c r="BK373" s="49"/>
      <c r="BL373" s="49"/>
      <c r="BM373" s="49"/>
      <c r="BN373" s="49"/>
      <c r="BO373" s="49"/>
      <c r="BP373" s="49"/>
      <c r="BQ373" s="49"/>
      <c r="BR373" s="49"/>
      <c r="BS373" s="49"/>
      <c r="BT373" s="49"/>
      <c r="BU373" s="49"/>
      <c r="BV373" s="49"/>
      <c r="BW373" s="49"/>
      <c r="BX373" s="49"/>
      <c r="BY373" s="49"/>
      <c r="BZ373" s="49"/>
      <c r="CA373" s="49"/>
    </row>
    <row r="374" spans="1:79">
      <c r="A374" s="49"/>
      <c r="B374" s="49"/>
      <c r="C374" s="49"/>
      <c r="D374" s="49"/>
      <c r="E374" s="49"/>
      <c r="F374" s="49"/>
      <c r="G374" s="49"/>
      <c r="H374" s="49"/>
      <c r="I374" s="49"/>
      <c r="J374" s="49"/>
      <c r="K374" s="49"/>
      <c r="L374" s="49"/>
      <c r="M374" s="49"/>
      <c r="N374" s="49"/>
      <c r="O374" s="49"/>
      <c r="P374" s="49"/>
      <c r="Q374" s="49"/>
      <c r="R374" s="49" t="s">
        <v>4619</v>
      </c>
      <c r="S374" s="49"/>
      <c r="T374" s="49" t="s">
        <v>4622</v>
      </c>
      <c r="U374" s="49"/>
      <c r="V374" s="49"/>
      <c r="W374" s="49"/>
      <c r="X374" s="49"/>
      <c r="Y374" s="49"/>
      <c r="Z374" s="49" t="s">
        <v>4621</v>
      </c>
      <c r="AA374" s="49"/>
      <c r="AB374" s="49"/>
      <c r="AC374" s="49"/>
      <c r="AD374" s="49"/>
      <c r="AE374" s="49"/>
      <c r="AF374" s="110">
        <v>300</v>
      </c>
      <c r="AG374" s="111">
        <v>800</v>
      </c>
      <c r="AH374" s="49"/>
      <c r="AI374" s="49"/>
      <c r="AJ374" s="49"/>
      <c r="AK374" s="49"/>
      <c r="AL374" s="49"/>
      <c r="AM374" s="49"/>
      <c r="AN374" s="49"/>
      <c r="AO374" s="49"/>
      <c r="AP374" s="49"/>
      <c r="AQ374" s="49"/>
      <c r="AR374" s="49"/>
      <c r="AS374" s="49"/>
      <c r="AT374" s="49"/>
      <c r="AU374" s="49"/>
      <c r="AV374" s="49"/>
      <c r="AW374" s="49"/>
      <c r="AX374" s="49"/>
      <c r="AY374" s="49"/>
      <c r="AZ374" s="49"/>
      <c r="BA374" s="49"/>
      <c r="BB374" s="49"/>
      <c r="BC374" s="49"/>
      <c r="BD374" s="49"/>
      <c r="BE374" s="49"/>
      <c r="BF374" s="49"/>
      <c r="BG374" s="49"/>
      <c r="BH374" s="49"/>
      <c r="BI374" s="49"/>
      <c r="BJ374" s="49"/>
      <c r="BK374" s="49"/>
      <c r="BL374" s="49"/>
      <c r="BM374" s="49"/>
      <c r="BN374" s="49"/>
      <c r="BO374" s="49"/>
      <c r="BP374" s="49"/>
      <c r="BQ374" s="49"/>
      <c r="BR374" s="49"/>
      <c r="BS374" s="49"/>
      <c r="BT374" s="49"/>
      <c r="BU374" s="49"/>
      <c r="BV374" s="49"/>
      <c r="BW374" s="49"/>
      <c r="BX374" s="49"/>
      <c r="BY374" s="49"/>
      <c r="BZ374" s="49"/>
      <c r="CA374" s="49"/>
    </row>
    <row r="375" spans="1:79">
      <c r="A375" s="49"/>
      <c r="B375" s="49"/>
      <c r="C375" s="49"/>
      <c r="D375" s="49"/>
      <c r="E375" s="49"/>
      <c r="F375" s="49"/>
      <c r="G375" s="49"/>
      <c r="H375" s="49"/>
      <c r="I375" s="49"/>
      <c r="J375" s="49"/>
      <c r="K375" s="49"/>
      <c r="L375" s="49"/>
      <c r="M375" s="49"/>
      <c r="N375" s="49"/>
      <c r="O375" s="49"/>
      <c r="P375" s="49"/>
      <c r="Q375" s="49"/>
      <c r="R375" s="49" t="s">
        <v>4619</v>
      </c>
      <c r="S375" s="49"/>
      <c r="T375" s="49" t="s">
        <v>4623</v>
      </c>
      <c r="U375" s="49"/>
      <c r="V375" s="49"/>
      <c r="W375" s="49"/>
      <c r="X375" s="49"/>
      <c r="Y375" s="49"/>
      <c r="Z375" s="49" t="s">
        <v>4621</v>
      </c>
      <c r="AA375" s="49"/>
      <c r="AB375" s="49"/>
      <c r="AC375" s="49"/>
      <c r="AD375" s="49"/>
      <c r="AE375" s="49"/>
      <c r="AF375" s="110">
        <v>1000</v>
      </c>
      <c r="AG375" s="111">
        <v>5000</v>
      </c>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c r="BG375" s="49"/>
      <c r="BH375" s="49"/>
      <c r="BI375" s="49"/>
      <c r="BJ375" s="49"/>
      <c r="BK375" s="49"/>
      <c r="BL375" s="49"/>
      <c r="BM375" s="49"/>
      <c r="BN375" s="49"/>
      <c r="BO375" s="49"/>
      <c r="BP375" s="49"/>
      <c r="BQ375" s="49"/>
      <c r="BR375" s="49"/>
      <c r="BS375" s="49"/>
      <c r="BT375" s="49"/>
      <c r="BU375" s="49"/>
      <c r="BV375" s="49"/>
      <c r="BW375" s="49"/>
      <c r="BX375" s="49"/>
      <c r="BY375" s="49"/>
      <c r="BZ375" s="49"/>
      <c r="CA375" s="49"/>
    </row>
    <row r="376" spans="1:79">
      <c r="A376" s="49"/>
      <c r="B376" s="49"/>
      <c r="C376" s="49"/>
      <c r="D376" s="49"/>
      <c r="E376" s="49"/>
      <c r="F376" s="49"/>
      <c r="G376" s="49"/>
      <c r="H376" s="49"/>
      <c r="I376" s="49"/>
      <c r="J376" s="49"/>
      <c r="K376" s="49"/>
      <c r="L376" s="49"/>
      <c r="M376" s="49"/>
      <c r="N376" s="49"/>
      <c r="O376" s="49"/>
      <c r="P376" s="49"/>
      <c r="Q376" s="49"/>
      <c r="R376" s="49" t="s">
        <v>163</v>
      </c>
      <c r="S376" s="49"/>
      <c r="T376" s="49" t="s">
        <v>163</v>
      </c>
      <c r="U376" s="49"/>
      <c r="V376" s="49"/>
      <c r="W376" s="49"/>
      <c r="X376" s="49"/>
      <c r="Y376" s="49"/>
      <c r="Z376" s="49" t="s">
        <v>163</v>
      </c>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c r="BG376" s="49"/>
      <c r="BH376" s="49"/>
      <c r="BI376" s="49"/>
      <c r="BJ376" s="49"/>
      <c r="BK376" s="49"/>
      <c r="BL376" s="49"/>
      <c r="BM376" s="49"/>
      <c r="BN376" s="49"/>
      <c r="BO376" s="49"/>
      <c r="BP376" s="49"/>
      <c r="BQ376" s="49"/>
      <c r="BR376" s="49"/>
      <c r="BS376" s="49"/>
      <c r="BT376" s="49"/>
      <c r="BU376" s="49"/>
      <c r="BV376" s="49"/>
      <c r="BW376" s="49"/>
      <c r="BX376" s="49"/>
      <c r="BY376" s="49"/>
      <c r="BZ376" s="49"/>
      <c r="CA376" s="49"/>
    </row>
    <row r="377" spans="1:79">
      <c r="A377" s="49"/>
      <c r="B377" s="49"/>
      <c r="C377" s="49"/>
      <c r="D377" s="49"/>
      <c r="E377" s="49"/>
      <c r="F377" s="49"/>
      <c r="G377" s="49"/>
      <c r="H377" s="49"/>
      <c r="I377" s="49"/>
      <c r="J377" s="49"/>
      <c r="K377" s="49"/>
      <c r="L377" s="49"/>
      <c r="M377" s="49"/>
      <c r="N377" s="49"/>
      <c r="O377" s="49"/>
      <c r="P377" s="49"/>
      <c r="Q377" s="49"/>
      <c r="R377" s="49" t="s">
        <v>4624</v>
      </c>
      <c r="S377" s="49"/>
      <c r="T377" s="49" t="s">
        <v>4625</v>
      </c>
      <c r="U377" s="49"/>
      <c r="V377" s="49"/>
      <c r="W377" s="49"/>
      <c r="X377" s="49"/>
      <c r="Y377" s="49"/>
      <c r="Z377" s="49" t="s">
        <v>4626</v>
      </c>
      <c r="AA377" s="49"/>
      <c r="AB377" s="49"/>
      <c r="AC377" s="49"/>
      <c r="AD377" s="49"/>
      <c r="AE377" s="49"/>
      <c r="AF377" s="110">
        <v>20</v>
      </c>
      <c r="AG377" s="111">
        <v>100</v>
      </c>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9"/>
      <c r="BG377" s="49"/>
      <c r="BH377" s="49"/>
      <c r="BI377" s="49"/>
      <c r="BJ377" s="49"/>
      <c r="BK377" s="49"/>
      <c r="BL377" s="49"/>
      <c r="BM377" s="49"/>
      <c r="BN377" s="49"/>
      <c r="BO377" s="49"/>
      <c r="BP377" s="49"/>
      <c r="BQ377" s="49"/>
      <c r="BR377" s="49"/>
      <c r="BS377" s="49"/>
      <c r="BT377" s="49"/>
      <c r="BU377" s="49"/>
      <c r="BV377" s="49"/>
      <c r="BW377" s="49"/>
      <c r="BX377" s="49"/>
      <c r="BY377" s="49"/>
      <c r="BZ377" s="49"/>
      <c r="CA377" s="49"/>
    </row>
    <row r="378" spans="1:79">
      <c r="A378" s="49"/>
      <c r="B378" s="49"/>
      <c r="C378" s="49"/>
      <c r="D378" s="49"/>
      <c r="E378" s="49"/>
      <c r="F378" s="49"/>
      <c r="G378" s="49"/>
      <c r="H378" s="49"/>
      <c r="I378" s="49"/>
      <c r="J378" s="49"/>
      <c r="K378" s="49"/>
      <c r="L378" s="49"/>
      <c r="M378" s="49"/>
      <c r="N378" s="49"/>
      <c r="O378" s="49"/>
      <c r="P378" s="49"/>
      <c r="Q378" s="49"/>
      <c r="R378" s="49" t="s">
        <v>4624</v>
      </c>
      <c r="S378" s="49"/>
      <c r="T378" s="49" t="s">
        <v>4627</v>
      </c>
      <c r="U378" s="49"/>
      <c r="V378" s="49"/>
      <c r="W378" s="49"/>
      <c r="X378" s="49"/>
      <c r="Y378" s="49"/>
      <c r="Z378" s="49" t="s">
        <v>4626</v>
      </c>
      <c r="AA378" s="49"/>
      <c r="AB378" s="49"/>
      <c r="AC378" s="49"/>
      <c r="AD378" s="49"/>
      <c r="AE378" s="49"/>
      <c r="AF378" s="110">
        <v>100</v>
      </c>
      <c r="AG378" s="111">
        <v>800</v>
      </c>
      <c r="AH378" s="49"/>
      <c r="AI378" s="49"/>
      <c r="AJ378" s="49"/>
      <c r="AK378" s="49"/>
      <c r="AL378" s="49"/>
      <c r="AM378" s="49"/>
      <c r="AN378" s="49"/>
      <c r="AO378" s="49"/>
      <c r="AP378" s="49"/>
      <c r="AQ378" s="49"/>
      <c r="AR378" s="49"/>
      <c r="AS378" s="49"/>
      <c r="AT378" s="49"/>
      <c r="AU378" s="49"/>
      <c r="AV378" s="49"/>
      <c r="AW378" s="49"/>
      <c r="AX378" s="49"/>
      <c r="AY378" s="49"/>
      <c r="AZ378" s="49"/>
      <c r="BA378" s="49"/>
      <c r="BB378" s="49"/>
      <c r="BC378" s="49"/>
      <c r="BD378" s="49"/>
      <c r="BE378" s="49"/>
      <c r="BF378" s="49"/>
      <c r="BG378" s="49"/>
      <c r="BH378" s="49"/>
      <c r="BI378" s="49"/>
      <c r="BJ378" s="49"/>
      <c r="BK378" s="49"/>
      <c r="BL378" s="49"/>
      <c r="BM378" s="49"/>
      <c r="BN378" s="49"/>
      <c r="BO378" s="49"/>
      <c r="BP378" s="49"/>
      <c r="BQ378" s="49"/>
      <c r="BR378" s="49"/>
      <c r="BS378" s="49"/>
      <c r="BT378" s="49"/>
      <c r="BU378" s="49"/>
      <c r="BV378" s="49"/>
      <c r="BW378" s="49"/>
      <c r="BX378" s="49"/>
      <c r="BY378" s="49"/>
      <c r="BZ378" s="49"/>
      <c r="CA378" s="49"/>
    </row>
    <row r="379" spans="1:79">
      <c r="A379" s="49"/>
      <c r="B379" s="49"/>
      <c r="C379" s="49"/>
      <c r="D379" s="49"/>
      <c r="E379" s="49"/>
      <c r="F379" s="49"/>
      <c r="G379" s="49"/>
      <c r="H379" s="49"/>
      <c r="I379" s="49"/>
      <c r="J379" s="49"/>
      <c r="K379" s="49"/>
      <c r="L379" s="49"/>
      <c r="M379" s="49"/>
      <c r="N379" s="49"/>
      <c r="O379" s="49"/>
      <c r="P379" s="49"/>
      <c r="Q379" s="49"/>
      <c r="R379" s="49" t="s">
        <v>4624</v>
      </c>
      <c r="S379" s="49"/>
      <c r="T379" s="49" t="s">
        <v>4628</v>
      </c>
      <c r="U379" s="49"/>
      <c r="V379" s="49"/>
      <c r="W379" s="49"/>
      <c r="X379" s="49"/>
      <c r="Y379" s="49"/>
      <c r="Z379" s="49" t="s">
        <v>4626</v>
      </c>
      <c r="AA379" s="49"/>
      <c r="AB379" s="49"/>
      <c r="AC379" s="49"/>
      <c r="AD379" s="49"/>
      <c r="AE379" s="49"/>
      <c r="AF379" s="110">
        <v>250</v>
      </c>
      <c r="AG379" s="111">
        <v>5000</v>
      </c>
      <c r="AH379" s="49"/>
      <c r="AI379" s="49"/>
      <c r="AJ379" s="49"/>
      <c r="AK379" s="49"/>
      <c r="AL379" s="49"/>
      <c r="AM379" s="49"/>
      <c r="AN379" s="49"/>
      <c r="AO379" s="49"/>
      <c r="AP379" s="49"/>
      <c r="AQ379" s="49"/>
      <c r="AR379" s="49"/>
      <c r="AS379" s="49"/>
      <c r="AT379" s="49"/>
      <c r="AU379" s="49"/>
      <c r="AV379" s="49"/>
      <c r="AW379" s="49"/>
      <c r="AX379" s="49"/>
      <c r="AY379" s="49"/>
      <c r="AZ379" s="49"/>
      <c r="BA379" s="49"/>
      <c r="BB379" s="49"/>
      <c r="BC379" s="49"/>
      <c r="BD379" s="49"/>
      <c r="BE379" s="49"/>
      <c r="BF379" s="49"/>
      <c r="BG379" s="49"/>
      <c r="BH379" s="49"/>
      <c r="BI379" s="49"/>
      <c r="BJ379" s="49"/>
      <c r="BK379" s="49"/>
      <c r="BL379" s="49"/>
      <c r="BM379" s="49"/>
      <c r="BN379" s="49"/>
      <c r="BO379" s="49"/>
      <c r="BP379" s="49"/>
      <c r="BQ379" s="49"/>
      <c r="BR379" s="49"/>
      <c r="BS379" s="49"/>
      <c r="BT379" s="49"/>
      <c r="BU379" s="49"/>
      <c r="BV379" s="49"/>
      <c r="BW379" s="49"/>
      <c r="BX379" s="49"/>
      <c r="BY379" s="49"/>
      <c r="BZ379" s="49"/>
      <c r="CA379" s="49"/>
    </row>
    <row r="380" spans="1:79">
      <c r="A380" s="49"/>
      <c r="B380" s="49"/>
      <c r="C380" s="49"/>
      <c r="D380" s="49"/>
      <c r="E380" s="49"/>
      <c r="F380" s="49"/>
      <c r="G380" s="49"/>
      <c r="H380" s="49"/>
      <c r="I380" s="49"/>
      <c r="J380" s="49"/>
      <c r="K380" s="49"/>
      <c r="L380" s="49"/>
      <c r="M380" s="49"/>
      <c r="N380" s="49"/>
      <c r="O380" s="49"/>
      <c r="P380" s="49"/>
      <c r="Q380" s="49"/>
      <c r="R380" s="49" t="s">
        <v>163</v>
      </c>
      <c r="S380" s="49"/>
      <c r="T380" s="49" t="s">
        <v>163</v>
      </c>
      <c r="U380" s="49"/>
      <c r="V380" s="49"/>
      <c r="W380" s="49"/>
      <c r="X380" s="49"/>
      <c r="Y380" s="49"/>
      <c r="Z380" s="49" t="s">
        <v>163</v>
      </c>
      <c r="AA380" s="49"/>
      <c r="AB380" s="49"/>
      <c r="AC380" s="49"/>
      <c r="AD380" s="49"/>
      <c r="AE380" s="49"/>
      <c r="AF380" s="110"/>
      <c r="AG380" s="111"/>
      <c r="AH380" s="49"/>
      <c r="AI380" s="49"/>
      <c r="AJ380" s="49"/>
      <c r="AK380" s="49"/>
      <c r="AL380" s="49"/>
      <c r="AM380" s="49"/>
      <c r="AN380" s="49"/>
      <c r="AO380" s="49"/>
      <c r="AP380" s="49"/>
      <c r="AQ380" s="49"/>
      <c r="AR380" s="49"/>
      <c r="AS380" s="49"/>
      <c r="AT380" s="49"/>
      <c r="AU380" s="49"/>
      <c r="AV380" s="49"/>
      <c r="AW380" s="49"/>
      <c r="AX380" s="49"/>
      <c r="AY380" s="49"/>
      <c r="AZ380" s="49"/>
      <c r="BA380" s="49"/>
      <c r="BB380" s="49"/>
      <c r="BC380" s="49"/>
      <c r="BD380" s="49"/>
      <c r="BE380" s="49"/>
      <c r="BF380" s="49"/>
      <c r="BG380" s="49"/>
      <c r="BH380" s="49"/>
      <c r="BI380" s="49"/>
      <c r="BJ380" s="49"/>
      <c r="BK380" s="49"/>
      <c r="BL380" s="49"/>
      <c r="BM380" s="49"/>
      <c r="BN380" s="49"/>
      <c r="BO380" s="49"/>
      <c r="BP380" s="49"/>
      <c r="BQ380" s="49"/>
      <c r="BR380" s="49"/>
      <c r="BS380" s="49"/>
      <c r="BT380" s="49"/>
      <c r="BU380" s="49"/>
      <c r="BV380" s="49"/>
      <c r="BW380" s="49"/>
      <c r="BX380" s="49"/>
      <c r="BY380" s="49"/>
      <c r="BZ380" s="49"/>
      <c r="CA380" s="49"/>
    </row>
    <row r="381" spans="1:79">
      <c r="A381" s="49"/>
      <c r="B381" s="49"/>
      <c r="C381" s="49"/>
      <c r="D381" s="49"/>
      <c r="E381" s="49"/>
      <c r="F381" s="49"/>
      <c r="G381" s="49"/>
      <c r="H381" s="49"/>
      <c r="I381" s="49"/>
      <c r="J381" s="49"/>
      <c r="K381" s="49"/>
      <c r="L381" s="49"/>
      <c r="M381" s="49"/>
      <c r="N381" s="49"/>
      <c r="O381" s="49"/>
      <c r="P381" s="49"/>
      <c r="Q381" s="49"/>
      <c r="R381" s="49" t="s">
        <v>4629</v>
      </c>
      <c r="S381" s="49"/>
      <c r="T381" s="49" t="s">
        <v>4630</v>
      </c>
      <c r="U381" s="49"/>
      <c r="V381" s="49"/>
      <c r="W381" s="49"/>
      <c r="X381" s="49"/>
      <c r="Y381" s="49"/>
      <c r="Z381" s="49" t="s">
        <v>4631</v>
      </c>
      <c r="AA381" s="49"/>
      <c r="AB381" s="49"/>
      <c r="AC381" s="49"/>
      <c r="AD381" s="49"/>
      <c r="AE381" s="49"/>
      <c r="AF381" s="110">
        <v>10</v>
      </c>
      <c r="AG381" s="111">
        <v>10</v>
      </c>
      <c r="AH381" s="49"/>
      <c r="AI381" s="49"/>
      <c r="AJ381" s="49"/>
      <c r="AK381" s="49"/>
      <c r="AL381" s="49"/>
      <c r="AM381" s="49"/>
      <c r="AN381" s="49"/>
      <c r="AO381" s="49"/>
      <c r="AP381" s="49"/>
      <c r="AQ381" s="49"/>
      <c r="AR381" s="49"/>
      <c r="AS381" s="49"/>
      <c r="AT381" s="49"/>
      <c r="AU381" s="49"/>
      <c r="AV381" s="49"/>
      <c r="AW381" s="49"/>
      <c r="AX381" s="49"/>
      <c r="AY381" s="49"/>
      <c r="AZ381" s="49"/>
      <c r="BA381" s="49"/>
      <c r="BB381" s="49"/>
      <c r="BC381" s="49"/>
      <c r="BD381" s="49"/>
      <c r="BE381" s="49"/>
      <c r="BF381" s="49"/>
      <c r="BG381" s="49"/>
      <c r="BH381" s="49"/>
      <c r="BI381" s="49"/>
      <c r="BJ381" s="49"/>
      <c r="BK381" s="49"/>
      <c r="BL381" s="49"/>
      <c r="BM381" s="49"/>
      <c r="BN381" s="49"/>
      <c r="BO381" s="49"/>
      <c r="BP381" s="49"/>
      <c r="BQ381" s="49"/>
      <c r="BR381" s="49"/>
      <c r="BS381" s="49"/>
      <c r="BT381" s="49"/>
      <c r="BU381" s="49"/>
      <c r="BV381" s="49"/>
      <c r="BW381" s="49"/>
      <c r="BX381" s="49"/>
      <c r="BY381" s="49"/>
      <c r="BZ381" s="49"/>
      <c r="CA381" s="49"/>
    </row>
    <row r="382" spans="1:79">
      <c r="A382" s="49"/>
      <c r="B382" s="49"/>
      <c r="C382" s="49"/>
      <c r="D382" s="49"/>
      <c r="E382" s="49"/>
      <c r="F382" s="49"/>
      <c r="G382" s="49"/>
      <c r="H382" s="49"/>
      <c r="I382" s="49"/>
      <c r="J382" s="49"/>
      <c r="K382" s="49"/>
      <c r="L382" s="49"/>
      <c r="M382" s="49"/>
      <c r="N382" s="49"/>
      <c r="O382" s="49"/>
      <c r="P382" s="49"/>
      <c r="Q382" s="49"/>
      <c r="R382" s="49" t="s">
        <v>4629</v>
      </c>
      <c r="S382" s="49"/>
      <c r="T382" s="49" t="s">
        <v>4632</v>
      </c>
      <c r="U382" s="49"/>
      <c r="V382" s="49"/>
      <c r="W382" s="49"/>
      <c r="X382" s="49"/>
      <c r="Y382" s="49"/>
      <c r="Z382" s="49" t="s">
        <v>4631</v>
      </c>
      <c r="AA382" s="49"/>
      <c r="AB382" s="49"/>
      <c r="AC382" s="49"/>
      <c r="AD382" s="49"/>
      <c r="AE382" s="49"/>
      <c r="AF382" s="110">
        <v>30</v>
      </c>
      <c r="AG382" s="111">
        <v>100</v>
      </c>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49"/>
      <c r="BM382" s="49"/>
      <c r="BN382" s="49"/>
      <c r="BO382" s="49"/>
      <c r="BP382" s="49"/>
      <c r="BQ382" s="49"/>
      <c r="BR382" s="49"/>
      <c r="BS382" s="49"/>
      <c r="BT382" s="49"/>
      <c r="BU382" s="49"/>
      <c r="BV382" s="49"/>
      <c r="BW382" s="49"/>
      <c r="BX382" s="49"/>
      <c r="BY382" s="49"/>
      <c r="BZ382" s="49"/>
      <c r="CA382" s="49"/>
    </row>
    <row r="383" spans="1:79">
      <c r="A383" s="49"/>
      <c r="B383" s="49"/>
      <c r="C383" s="49"/>
      <c r="D383" s="49"/>
      <c r="E383" s="49"/>
      <c r="F383" s="49"/>
      <c r="G383" s="49"/>
      <c r="H383" s="49"/>
      <c r="I383" s="49"/>
      <c r="J383" s="49"/>
      <c r="K383" s="49"/>
      <c r="L383" s="49"/>
      <c r="M383" s="49"/>
      <c r="N383" s="49"/>
      <c r="O383" s="49"/>
      <c r="P383" s="49"/>
      <c r="Q383" s="49"/>
      <c r="R383" s="49" t="s">
        <v>4629</v>
      </c>
      <c r="S383" s="49"/>
      <c r="T383" s="49" t="s">
        <v>4633</v>
      </c>
      <c r="U383" s="49"/>
      <c r="V383" s="49"/>
      <c r="W383" s="49"/>
      <c r="X383" s="49"/>
      <c r="Y383" s="49"/>
      <c r="Z383" s="49" t="s">
        <v>4631</v>
      </c>
      <c r="AA383" s="49"/>
      <c r="AB383" s="49"/>
      <c r="AC383" s="49"/>
      <c r="AD383" s="49"/>
      <c r="AE383" s="49"/>
      <c r="AF383" s="110">
        <v>100</v>
      </c>
      <c r="AG383" s="111">
        <v>1000</v>
      </c>
      <c r="AH383" s="49"/>
      <c r="AI383" s="49"/>
      <c r="AJ383" s="49"/>
      <c r="AK383" s="49"/>
      <c r="AL383" s="49"/>
      <c r="AM383" s="49"/>
      <c r="AN383" s="49"/>
      <c r="AO383" s="49"/>
      <c r="AP383" s="49"/>
      <c r="AQ383" s="49"/>
      <c r="AR383" s="49"/>
      <c r="AS383" s="49"/>
      <c r="AT383" s="49"/>
      <c r="AU383" s="49"/>
      <c r="AV383" s="49"/>
      <c r="AW383" s="49"/>
      <c r="AX383" s="49"/>
      <c r="AY383" s="49"/>
      <c r="AZ383" s="49"/>
      <c r="BA383" s="49"/>
      <c r="BB383" s="49"/>
      <c r="BC383" s="49"/>
      <c r="BD383" s="49"/>
      <c r="BE383" s="49"/>
      <c r="BF383" s="49"/>
      <c r="BG383" s="49"/>
      <c r="BH383" s="49"/>
      <c r="BI383" s="49"/>
      <c r="BJ383" s="49"/>
      <c r="BK383" s="49"/>
      <c r="BL383" s="49"/>
      <c r="BM383" s="49"/>
      <c r="BN383" s="49"/>
      <c r="BO383" s="49"/>
      <c r="BP383" s="49"/>
      <c r="BQ383" s="49"/>
      <c r="BR383" s="49"/>
      <c r="BS383" s="49"/>
      <c r="BT383" s="49"/>
      <c r="BU383" s="49"/>
      <c r="BV383" s="49"/>
      <c r="BW383" s="49"/>
      <c r="BX383" s="49"/>
      <c r="BY383" s="49"/>
      <c r="BZ383" s="49"/>
      <c r="CA383" s="49"/>
    </row>
    <row r="384" spans="1:79">
      <c r="A384" s="49"/>
      <c r="B384" s="49"/>
      <c r="C384" s="49"/>
      <c r="D384" s="49"/>
      <c r="E384" s="49"/>
      <c r="F384" s="49"/>
      <c r="G384" s="49"/>
      <c r="H384" s="49"/>
      <c r="I384" s="49"/>
      <c r="J384" s="49"/>
      <c r="K384" s="49"/>
      <c r="L384" s="49"/>
      <c r="M384" s="49"/>
      <c r="N384" s="49"/>
      <c r="O384" s="49"/>
      <c r="P384" s="49"/>
      <c r="Q384" s="49"/>
      <c r="R384" s="49" t="s">
        <v>163</v>
      </c>
      <c r="S384" s="49"/>
      <c r="T384" s="49" t="s">
        <v>163</v>
      </c>
      <c r="U384" s="49"/>
      <c r="V384" s="49"/>
      <c r="W384" s="49"/>
      <c r="X384" s="49"/>
      <c r="Y384" s="49"/>
      <c r="Z384" s="49" t="s">
        <v>163</v>
      </c>
      <c r="AA384" s="49"/>
      <c r="AB384" s="49"/>
      <c r="AC384" s="49"/>
      <c r="AD384" s="49"/>
      <c r="AE384" s="49"/>
      <c r="AF384" s="110"/>
      <c r="AG384" s="111"/>
      <c r="AH384" s="49"/>
      <c r="AI384" s="49"/>
      <c r="AJ384" s="49"/>
      <c r="AK384" s="49"/>
      <c r="AL384" s="49"/>
      <c r="AM384" s="49"/>
      <c r="AN384" s="49"/>
      <c r="AO384" s="49"/>
      <c r="AP384" s="49"/>
      <c r="AQ384" s="49"/>
      <c r="AR384" s="49"/>
      <c r="AS384" s="49"/>
      <c r="AT384" s="49"/>
      <c r="AU384" s="49"/>
      <c r="AV384" s="49"/>
      <c r="AW384" s="49"/>
      <c r="AX384" s="49"/>
      <c r="AY384" s="49"/>
      <c r="AZ384" s="49"/>
      <c r="BA384" s="49"/>
      <c r="BB384" s="49"/>
      <c r="BC384" s="49"/>
      <c r="BD384" s="49"/>
      <c r="BE384" s="49"/>
      <c r="BF384" s="49"/>
      <c r="BG384" s="49"/>
      <c r="BH384" s="49"/>
      <c r="BI384" s="49"/>
      <c r="BJ384" s="49"/>
      <c r="BK384" s="49"/>
      <c r="BL384" s="49"/>
      <c r="BM384" s="49"/>
      <c r="BN384" s="49"/>
      <c r="BO384" s="49"/>
      <c r="BP384" s="49"/>
      <c r="BQ384" s="49"/>
      <c r="BR384" s="49"/>
      <c r="BS384" s="49"/>
      <c r="BT384" s="49"/>
      <c r="BU384" s="49"/>
      <c r="BV384" s="49"/>
      <c r="BW384" s="49"/>
      <c r="BX384" s="49"/>
      <c r="BY384" s="49"/>
      <c r="BZ384" s="49"/>
      <c r="CA384" s="49"/>
    </row>
    <row r="385" spans="1:79">
      <c r="A385" s="49"/>
      <c r="B385" s="49"/>
      <c r="C385" s="49"/>
      <c r="D385" s="49"/>
      <c r="E385" s="49"/>
      <c r="F385" s="49"/>
      <c r="G385" s="49"/>
      <c r="H385" s="49"/>
      <c r="I385" s="49"/>
      <c r="J385" s="49"/>
      <c r="K385" s="49"/>
      <c r="L385" s="49"/>
      <c r="M385" s="49"/>
      <c r="N385" s="49"/>
      <c r="O385" s="49"/>
      <c r="P385" s="49"/>
      <c r="Q385" s="49"/>
      <c r="R385" s="49" t="s">
        <v>4634</v>
      </c>
      <c r="S385" s="49"/>
      <c r="T385" s="49" t="s">
        <v>4635</v>
      </c>
      <c r="U385" s="49"/>
      <c r="V385" s="49"/>
      <c r="W385" s="49"/>
      <c r="X385" s="49"/>
      <c r="Y385" s="49"/>
      <c r="Z385" s="49" t="s">
        <v>4636</v>
      </c>
      <c r="AA385" s="49"/>
      <c r="AB385" s="49"/>
      <c r="AC385" s="49"/>
      <c r="AD385" s="49"/>
      <c r="AE385" s="49"/>
      <c r="AF385" s="110">
        <v>10</v>
      </c>
      <c r="AG385" s="111">
        <v>10</v>
      </c>
      <c r="AH385" s="49"/>
      <c r="AI385" s="49"/>
      <c r="AJ385" s="49"/>
      <c r="AK385" s="49"/>
      <c r="AL385" s="49"/>
      <c r="AM385" s="49"/>
      <c r="AN385" s="49"/>
      <c r="AO385" s="49"/>
      <c r="AP385" s="49"/>
      <c r="AQ385" s="49"/>
      <c r="AR385" s="49"/>
      <c r="AS385" s="49"/>
      <c r="AT385" s="49"/>
      <c r="AU385" s="49"/>
      <c r="AV385" s="49"/>
      <c r="AW385" s="49"/>
      <c r="AX385" s="49"/>
      <c r="AY385" s="49"/>
      <c r="AZ385" s="49"/>
      <c r="BA385" s="49"/>
      <c r="BB385" s="49"/>
      <c r="BC385" s="49"/>
      <c r="BD385" s="49"/>
      <c r="BE385" s="49"/>
      <c r="BF385" s="49"/>
      <c r="BG385" s="49"/>
      <c r="BH385" s="49"/>
      <c r="BI385" s="49"/>
      <c r="BJ385" s="49"/>
      <c r="BK385" s="49"/>
      <c r="BL385" s="49"/>
      <c r="BM385" s="49"/>
      <c r="BN385" s="49"/>
      <c r="BO385" s="49"/>
      <c r="BP385" s="49"/>
      <c r="BQ385" s="49"/>
      <c r="BR385" s="49"/>
      <c r="BS385" s="49"/>
      <c r="BT385" s="49"/>
      <c r="BU385" s="49"/>
      <c r="BV385" s="49"/>
      <c r="BW385" s="49"/>
      <c r="BX385" s="49"/>
      <c r="BY385" s="49"/>
      <c r="BZ385" s="49"/>
      <c r="CA385" s="49"/>
    </row>
    <row r="386" spans="1:79">
      <c r="A386" s="49"/>
      <c r="B386" s="49"/>
      <c r="C386" s="49"/>
      <c r="D386" s="49"/>
      <c r="E386" s="49"/>
      <c r="F386" s="49"/>
      <c r="G386" s="49"/>
      <c r="H386" s="49"/>
      <c r="I386" s="49"/>
      <c r="J386" s="49"/>
      <c r="K386" s="49"/>
      <c r="L386" s="49"/>
      <c r="M386" s="49"/>
      <c r="N386" s="49"/>
      <c r="O386" s="49"/>
      <c r="P386" s="49"/>
      <c r="Q386" s="49"/>
      <c r="R386" s="49" t="s">
        <v>4634</v>
      </c>
      <c r="S386" s="49"/>
      <c r="T386" s="49" t="s">
        <v>4637</v>
      </c>
      <c r="U386" s="49"/>
      <c r="V386" s="49"/>
      <c r="W386" s="49"/>
      <c r="X386" s="49"/>
      <c r="Y386" s="49"/>
      <c r="Z386" s="49" t="s">
        <v>4636</v>
      </c>
      <c r="AA386" s="49"/>
      <c r="AB386" s="49"/>
      <c r="AC386" s="49"/>
      <c r="AD386" s="49"/>
      <c r="AE386" s="49"/>
      <c r="AF386" s="110">
        <v>30</v>
      </c>
      <c r="AG386" s="111">
        <v>100</v>
      </c>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row>
    <row r="387" spans="1:79">
      <c r="A387" s="49"/>
      <c r="B387" s="49"/>
      <c r="C387" s="49"/>
      <c r="D387" s="49"/>
      <c r="E387" s="49"/>
      <c r="F387" s="49"/>
      <c r="G387" s="49"/>
      <c r="H387" s="49"/>
      <c r="I387" s="49"/>
      <c r="J387" s="49"/>
      <c r="K387" s="49"/>
      <c r="L387" s="49"/>
      <c r="M387" s="49"/>
      <c r="N387" s="49"/>
      <c r="O387" s="49"/>
      <c r="P387" s="49"/>
      <c r="Q387" s="49"/>
      <c r="R387" s="49" t="s">
        <v>4634</v>
      </c>
      <c r="S387" s="49"/>
      <c r="T387" s="49" t="s">
        <v>4638</v>
      </c>
      <c r="U387" s="49"/>
      <c r="V387" s="49"/>
      <c r="W387" s="49"/>
      <c r="X387" s="49"/>
      <c r="Y387" s="49"/>
      <c r="Z387" s="49" t="s">
        <v>4636</v>
      </c>
      <c r="AA387" s="49"/>
      <c r="AB387" s="49"/>
      <c r="AC387" s="49"/>
      <c r="AD387" s="49"/>
      <c r="AE387" s="49"/>
      <c r="AF387" s="110">
        <v>100</v>
      </c>
      <c r="AG387" s="111">
        <v>1000</v>
      </c>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row>
    <row r="388" spans="1:79">
      <c r="A388" s="49"/>
      <c r="B388" s="49"/>
      <c r="C388" s="49"/>
      <c r="D388" s="49"/>
      <c r="E388" s="49"/>
      <c r="F388" s="49"/>
      <c r="G388" s="49"/>
      <c r="H388" s="49"/>
      <c r="I388" s="49"/>
      <c r="J388" s="49"/>
      <c r="K388" s="49"/>
      <c r="L388" s="49"/>
      <c r="M388" s="49"/>
      <c r="N388" s="49"/>
      <c r="O388" s="49"/>
      <c r="P388" s="49"/>
      <c r="Q388" s="49"/>
      <c r="R388" s="49" t="s">
        <v>163</v>
      </c>
      <c r="S388" s="49"/>
      <c r="T388" s="49" t="s">
        <v>163</v>
      </c>
      <c r="U388" s="49"/>
      <c r="V388" s="49"/>
      <c r="W388" s="49"/>
      <c r="X388" s="49"/>
      <c r="Y388" s="49"/>
      <c r="Z388" s="49" t="s">
        <v>163</v>
      </c>
      <c r="AA388" s="49"/>
      <c r="AB388" s="49"/>
      <c r="AC388" s="49"/>
      <c r="AD388" s="49"/>
      <c r="AE388" s="49"/>
      <c r="AF388" s="110"/>
      <c r="AG388" s="111"/>
      <c r="AH388" s="49"/>
      <c r="AI388" s="49"/>
      <c r="AJ388" s="49"/>
      <c r="AK388" s="49"/>
      <c r="AL388" s="49"/>
      <c r="AM388" s="49"/>
      <c r="AN388" s="49"/>
      <c r="AO388" s="49"/>
      <c r="AP388" s="49"/>
      <c r="AQ388" s="49"/>
      <c r="AR388" s="49"/>
      <c r="AS388" s="49"/>
      <c r="AT388" s="49"/>
      <c r="AU388" s="49"/>
      <c r="AV388" s="49"/>
      <c r="AW388" s="49"/>
      <c r="AX388" s="49"/>
      <c r="AY388" s="49"/>
      <c r="AZ388" s="49"/>
      <c r="BA388" s="49"/>
      <c r="BB388" s="49"/>
      <c r="BC388" s="49"/>
      <c r="BD388" s="49"/>
      <c r="BE388" s="49"/>
      <c r="BF388" s="49"/>
      <c r="BG388" s="49"/>
      <c r="BH388" s="49"/>
      <c r="BI388" s="49"/>
      <c r="BJ388" s="49"/>
      <c r="BK388" s="49"/>
      <c r="BL388" s="49"/>
      <c r="BM388" s="49"/>
      <c r="BN388" s="49"/>
      <c r="BO388" s="49"/>
      <c r="BP388" s="49"/>
      <c r="BQ388" s="49"/>
      <c r="BR388" s="49"/>
      <c r="BS388" s="49"/>
      <c r="BT388" s="49"/>
      <c r="BU388" s="49"/>
      <c r="BV388" s="49"/>
      <c r="BW388" s="49"/>
      <c r="BX388" s="49"/>
      <c r="BY388" s="49"/>
      <c r="BZ388" s="49"/>
      <c r="CA388" s="49"/>
    </row>
    <row r="389" spans="1:79">
      <c r="A389" s="49"/>
      <c r="B389" s="49"/>
      <c r="C389" s="49"/>
      <c r="D389" s="49"/>
      <c r="E389" s="49"/>
      <c r="F389" s="49"/>
      <c r="G389" s="49"/>
      <c r="H389" s="49"/>
      <c r="I389" s="49"/>
      <c r="J389" s="49"/>
      <c r="K389" s="49"/>
      <c r="L389" s="49"/>
      <c r="M389" s="49"/>
      <c r="N389" s="49"/>
      <c r="O389" s="49"/>
      <c r="P389" s="49"/>
      <c r="Q389" s="49"/>
      <c r="R389" s="49" t="s">
        <v>4639</v>
      </c>
      <c r="S389" s="49"/>
      <c r="T389" s="49" t="s">
        <v>4640</v>
      </c>
      <c r="U389" s="49"/>
      <c r="V389" s="49"/>
      <c r="W389" s="49"/>
      <c r="X389" s="49"/>
      <c r="Y389" s="49"/>
      <c r="Z389" s="49" t="s">
        <v>4641</v>
      </c>
      <c r="AA389" s="49"/>
      <c r="AB389" s="49"/>
      <c r="AC389" s="49"/>
      <c r="AD389" s="49"/>
      <c r="AE389" s="49"/>
      <c r="AF389" s="110">
        <v>20</v>
      </c>
      <c r="AG389" s="111">
        <v>20</v>
      </c>
      <c r="AH389" s="49"/>
      <c r="AI389" s="49"/>
      <c r="AJ389" s="49"/>
      <c r="AK389" s="49"/>
      <c r="AL389" s="49"/>
      <c r="AM389" s="49"/>
      <c r="AN389" s="49"/>
      <c r="AO389" s="49"/>
      <c r="AP389" s="49"/>
      <c r="AQ389" s="49"/>
      <c r="AR389" s="49"/>
      <c r="AS389" s="49"/>
      <c r="AT389" s="49"/>
      <c r="AU389" s="49"/>
      <c r="AV389" s="49"/>
      <c r="AW389" s="49"/>
      <c r="AX389" s="49"/>
      <c r="AY389" s="49"/>
      <c r="AZ389" s="49"/>
      <c r="BA389" s="49"/>
      <c r="BB389" s="49"/>
      <c r="BC389" s="49"/>
      <c r="BD389" s="49"/>
      <c r="BE389" s="49"/>
      <c r="BF389" s="49"/>
      <c r="BG389" s="49"/>
      <c r="BH389" s="49"/>
      <c r="BI389" s="49"/>
      <c r="BJ389" s="49"/>
      <c r="BK389" s="49"/>
      <c r="BL389" s="49"/>
      <c r="BM389" s="49"/>
      <c r="BN389" s="49"/>
      <c r="BO389" s="49"/>
      <c r="BP389" s="49"/>
      <c r="BQ389" s="49"/>
      <c r="BR389" s="49"/>
      <c r="BS389" s="49"/>
      <c r="BT389" s="49"/>
      <c r="BU389" s="49"/>
      <c r="BV389" s="49"/>
      <c r="BW389" s="49"/>
      <c r="BX389" s="49"/>
      <c r="BY389" s="49"/>
      <c r="BZ389" s="49"/>
      <c r="CA389" s="49"/>
    </row>
    <row r="390" spans="1:79">
      <c r="A390" s="49"/>
      <c r="B390" s="49"/>
      <c r="C390" s="49"/>
      <c r="D390" s="49"/>
      <c r="E390" s="49"/>
      <c r="F390" s="49"/>
      <c r="G390" s="49"/>
      <c r="H390" s="49"/>
      <c r="I390" s="49"/>
      <c r="J390" s="49"/>
      <c r="K390" s="49"/>
      <c r="L390" s="49"/>
      <c r="M390" s="49"/>
      <c r="N390" s="49"/>
      <c r="O390" s="49"/>
      <c r="P390" s="49"/>
      <c r="Q390" s="49"/>
      <c r="R390" s="49" t="s">
        <v>4639</v>
      </c>
      <c r="S390" s="49"/>
      <c r="T390" s="49" t="s">
        <v>4642</v>
      </c>
      <c r="U390" s="49"/>
      <c r="V390" s="49"/>
      <c r="W390" s="49"/>
      <c r="X390" s="49"/>
      <c r="Y390" s="49"/>
      <c r="Z390" s="49" t="s">
        <v>4641</v>
      </c>
      <c r="AA390" s="49"/>
      <c r="AB390" s="49"/>
      <c r="AC390" s="49"/>
      <c r="AD390" s="49"/>
      <c r="AE390" s="49"/>
      <c r="AF390" s="110">
        <v>100</v>
      </c>
      <c r="AG390" s="111">
        <v>200</v>
      </c>
      <c r="AH390" s="49"/>
      <c r="AI390" s="49"/>
      <c r="AJ390" s="49"/>
      <c r="AK390" s="49"/>
      <c r="AL390" s="49"/>
      <c r="AM390" s="49"/>
      <c r="AN390" s="49"/>
      <c r="AO390" s="49"/>
      <c r="AP390" s="49"/>
      <c r="AQ390" s="49"/>
      <c r="AR390" s="49"/>
      <c r="AS390" s="49"/>
      <c r="AT390" s="49"/>
      <c r="AU390" s="49"/>
      <c r="AV390" s="49"/>
      <c r="AW390" s="49"/>
      <c r="AX390" s="49"/>
      <c r="AY390" s="49"/>
      <c r="AZ390" s="49"/>
      <c r="BA390" s="49"/>
      <c r="BB390" s="49"/>
      <c r="BC390" s="49"/>
      <c r="BD390" s="49"/>
      <c r="BE390" s="49"/>
      <c r="BF390" s="49"/>
      <c r="BG390" s="49"/>
      <c r="BH390" s="49"/>
      <c r="BI390" s="49"/>
      <c r="BJ390" s="49"/>
      <c r="BK390" s="49"/>
      <c r="BL390" s="49"/>
      <c r="BM390" s="49"/>
      <c r="BN390" s="49"/>
      <c r="BO390" s="49"/>
      <c r="BP390" s="49"/>
      <c r="BQ390" s="49"/>
      <c r="BR390" s="49"/>
      <c r="BS390" s="49"/>
      <c r="BT390" s="49"/>
      <c r="BU390" s="49"/>
      <c r="BV390" s="49"/>
      <c r="BW390" s="49"/>
      <c r="BX390" s="49"/>
      <c r="BY390" s="49"/>
      <c r="BZ390" s="49"/>
      <c r="CA390" s="49"/>
    </row>
    <row r="391" spans="1:79">
      <c r="A391" s="49"/>
      <c r="B391" s="49"/>
      <c r="C391" s="49"/>
      <c r="D391" s="49"/>
      <c r="E391" s="49"/>
      <c r="F391" s="49"/>
      <c r="G391" s="49"/>
      <c r="H391" s="49"/>
      <c r="I391" s="49"/>
      <c r="J391" s="49"/>
      <c r="K391" s="49"/>
      <c r="L391" s="49"/>
      <c r="M391" s="49"/>
      <c r="N391" s="49"/>
      <c r="O391" s="49"/>
      <c r="P391" s="49"/>
      <c r="Q391" s="49"/>
      <c r="R391" s="49" t="s">
        <v>4639</v>
      </c>
      <c r="S391" s="49"/>
      <c r="T391" s="49" t="s">
        <v>4643</v>
      </c>
      <c r="U391" s="49"/>
      <c r="V391" s="49"/>
      <c r="W391" s="49"/>
      <c r="X391" s="49"/>
      <c r="Y391" s="49"/>
      <c r="Z391" s="49" t="s">
        <v>4641</v>
      </c>
      <c r="AA391" s="49"/>
      <c r="AB391" s="49"/>
      <c r="AC391" s="49"/>
      <c r="AD391" s="49"/>
      <c r="AE391" s="49"/>
      <c r="AF391" s="110">
        <v>500</v>
      </c>
      <c r="AG391" s="111">
        <v>2000</v>
      </c>
      <c r="AH391" s="49"/>
      <c r="AI391" s="49"/>
      <c r="AJ391" s="49"/>
      <c r="AK391" s="49"/>
      <c r="AL391" s="49"/>
      <c r="AM391" s="49"/>
      <c r="AN391" s="49"/>
      <c r="AO391" s="49"/>
      <c r="AP391" s="49"/>
      <c r="AQ391" s="49"/>
      <c r="AR391" s="49"/>
      <c r="AS391" s="49"/>
      <c r="AT391" s="49"/>
      <c r="AU391" s="49"/>
      <c r="AV391" s="49"/>
      <c r="AW391" s="49"/>
      <c r="AX391" s="49"/>
      <c r="AY391" s="49"/>
      <c r="AZ391" s="49"/>
      <c r="BA391" s="49"/>
      <c r="BB391" s="49"/>
      <c r="BC391" s="49"/>
      <c r="BD391" s="49"/>
      <c r="BE391" s="49"/>
      <c r="BF391" s="49"/>
      <c r="BG391" s="49"/>
      <c r="BH391" s="49"/>
      <c r="BI391" s="49"/>
      <c r="BJ391" s="49"/>
      <c r="BK391" s="49"/>
      <c r="BL391" s="49"/>
      <c r="BM391" s="49"/>
      <c r="BN391" s="49"/>
      <c r="BO391" s="49"/>
      <c r="BP391" s="49"/>
      <c r="BQ391" s="49"/>
      <c r="BR391" s="49"/>
      <c r="BS391" s="49"/>
      <c r="BT391" s="49"/>
      <c r="BU391" s="49"/>
      <c r="BV391" s="49"/>
      <c r="BW391" s="49"/>
      <c r="BX391" s="49"/>
      <c r="BY391" s="49"/>
      <c r="BZ391" s="49"/>
      <c r="CA391" s="49"/>
    </row>
    <row r="392" spans="1:79">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49"/>
      <c r="BA392" s="49"/>
      <c r="BB392" s="49"/>
      <c r="BC392" s="49"/>
      <c r="BD392" s="49"/>
      <c r="BE392" s="49"/>
      <c r="BF392" s="49"/>
      <c r="BG392" s="49"/>
      <c r="BH392" s="49"/>
      <c r="BI392" s="49"/>
      <c r="BJ392" s="49"/>
      <c r="BK392" s="49"/>
      <c r="BL392" s="49"/>
      <c r="BM392" s="49"/>
      <c r="BN392" s="49"/>
      <c r="BO392" s="49"/>
      <c r="BP392" s="49"/>
      <c r="BQ392" s="49"/>
      <c r="BR392" s="49"/>
      <c r="BS392" s="49"/>
      <c r="BT392" s="49"/>
      <c r="BU392" s="49"/>
      <c r="BV392" s="49"/>
      <c r="BW392" s="49"/>
      <c r="BX392" s="49"/>
      <c r="BY392" s="49"/>
      <c r="BZ392" s="49"/>
      <c r="CA392" s="49"/>
    </row>
    <row r="393" spans="1:79">
      <c r="A393" s="49"/>
      <c r="B393" s="49"/>
      <c r="C393" s="49"/>
      <c r="D393" s="49"/>
      <c r="E393" s="49"/>
      <c r="F393" s="49"/>
      <c r="G393" s="49"/>
      <c r="H393" s="49"/>
      <c r="I393" s="49"/>
      <c r="J393" s="49"/>
      <c r="K393" s="49"/>
      <c r="L393" s="49"/>
      <c r="M393" s="49"/>
      <c r="N393" s="49"/>
      <c r="O393" s="49"/>
      <c r="P393" s="49"/>
      <c r="Q393" s="49"/>
      <c r="R393" s="49" t="s">
        <v>4644</v>
      </c>
      <c r="S393" s="49"/>
      <c r="T393" s="49" t="s">
        <v>4645</v>
      </c>
      <c r="U393" s="49"/>
      <c r="V393" s="49"/>
      <c r="W393" s="49"/>
      <c r="X393" s="49"/>
      <c r="Y393" s="49"/>
      <c r="Z393" s="49"/>
      <c r="AA393" s="49"/>
      <c r="AB393" s="49"/>
      <c r="AC393" s="49"/>
      <c r="AD393" s="49"/>
      <c r="AE393" s="49"/>
      <c r="AF393" s="110">
        <v>50</v>
      </c>
      <c r="AG393" s="111">
        <v>10</v>
      </c>
      <c r="AH393" s="49"/>
      <c r="AI393" s="49"/>
      <c r="AJ393" s="49"/>
      <c r="AK393" s="49"/>
      <c r="AL393" s="49"/>
      <c r="AM393" s="49"/>
      <c r="AN393" s="49"/>
      <c r="AO393" s="49"/>
      <c r="AP393" s="49"/>
      <c r="AQ393" s="49"/>
      <c r="AR393" s="49"/>
      <c r="AS393" s="49"/>
      <c r="AT393" s="49"/>
      <c r="AU393" s="49"/>
      <c r="AV393" s="49"/>
      <c r="AW393" s="49"/>
      <c r="AX393" s="49"/>
      <c r="AY393" s="49"/>
      <c r="AZ393" s="49"/>
      <c r="BA393" s="49"/>
      <c r="BB393" s="49"/>
      <c r="BC393" s="49"/>
      <c r="BD393" s="49"/>
      <c r="BE393" s="49"/>
      <c r="BF393" s="49"/>
      <c r="BG393" s="49"/>
      <c r="BH393" s="49"/>
      <c r="BI393" s="49"/>
      <c r="BJ393" s="49"/>
      <c r="BK393" s="49"/>
      <c r="BL393" s="49"/>
      <c r="BM393" s="49"/>
      <c r="BN393" s="49"/>
      <c r="BO393" s="49"/>
      <c r="BP393" s="49"/>
      <c r="BQ393" s="49"/>
      <c r="BR393" s="49"/>
      <c r="BS393" s="49"/>
      <c r="BT393" s="49"/>
      <c r="BU393" s="49"/>
      <c r="BV393" s="49"/>
      <c r="BW393" s="49"/>
      <c r="BX393" s="49"/>
      <c r="BY393" s="49"/>
      <c r="BZ393" s="49"/>
      <c r="CA393" s="49"/>
    </row>
    <row r="394" spans="1:79">
      <c r="A394" s="49"/>
      <c r="B394" s="49"/>
      <c r="C394" s="49"/>
      <c r="D394" s="49"/>
      <c r="E394" s="49"/>
      <c r="F394" s="49"/>
      <c r="G394" s="49"/>
      <c r="H394" s="49"/>
      <c r="I394" s="49"/>
      <c r="J394" s="49"/>
      <c r="K394" s="49"/>
      <c r="L394" s="49"/>
      <c r="M394" s="49"/>
      <c r="N394" s="49"/>
      <c r="O394" s="49"/>
      <c r="P394" s="49"/>
      <c r="Q394" s="49"/>
      <c r="R394" s="49" t="s">
        <v>4644</v>
      </c>
      <c r="S394" s="49"/>
      <c r="T394" s="49" t="s">
        <v>4646</v>
      </c>
      <c r="U394" s="49"/>
      <c r="V394" s="49"/>
      <c r="W394" s="49"/>
      <c r="X394" s="49"/>
      <c r="Y394" s="49"/>
      <c r="Z394" s="49"/>
      <c r="AA394" s="49"/>
      <c r="AB394" s="49"/>
      <c r="AC394" s="49"/>
      <c r="AD394" s="49"/>
      <c r="AE394" s="49"/>
      <c r="AF394" s="110">
        <v>100</v>
      </c>
      <c r="AG394" s="111">
        <v>100</v>
      </c>
      <c r="AH394" s="49"/>
      <c r="AI394" s="49"/>
      <c r="AJ394" s="49"/>
      <c r="AK394" s="49"/>
      <c r="AL394" s="49"/>
      <c r="AM394" s="49"/>
      <c r="AN394" s="49"/>
      <c r="AO394" s="49"/>
      <c r="AP394" s="49"/>
      <c r="AQ394" s="49"/>
      <c r="AR394" s="49"/>
      <c r="AS394" s="49"/>
      <c r="AT394" s="49"/>
      <c r="AU394" s="49"/>
      <c r="AV394" s="49"/>
      <c r="AW394" s="49"/>
      <c r="AX394" s="49"/>
      <c r="AY394" s="49"/>
      <c r="AZ394" s="49"/>
      <c r="BA394" s="49"/>
      <c r="BB394" s="49"/>
      <c r="BC394" s="49"/>
      <c r="BD394" s="49"/>
      <c r="BE394" s="49"/>
      <c r="BF394" s="49"/>
      <c r="BG394" s="49"/>
      <c r="BH394" s="49"/>
      <c r="BI394" s="49"/>
      <c r="BJ394" s="49"/>
      <c r="BK394" s="49"/>
      <c r="BL394" s="49"/>
      <c r="BM394" s="49"/>
      <c r="BN394" s="49"/>
      <c r="BO394" s="49"/>
      <c r="BP394" s="49"/>
      <c r="BQ394" s="49"/>
      <c r="BR394" s="49"/>
      <c r="BS394" s="49"/>
      <c r="BT394" s="49"/>
      <c r="BU394" s="49"/>
      <c r="BV394" s="49"/>
      <c r="BW394" s="49"/>
      <c r="BX394" s="49"/>
      <c r="BY394" s="49"/>
      <c r="BZ394" s="49"/>
      <c r="CA394" s="49"/>
    </row>
    <row r="395" spans="1:79">
      <c r="A395" s="49"/>
      <c r="B395" s="49"/>
      <c r="C395" s="49"/>
      <c r="D395" s="49"/>
      <c r="E395" s="49"/>
      <c r="F395" s="49"/>
      <c r="G395" s="49"/>
      <c r="H395" s="49"/>
      <c r="I395" s="49"/>
      <c r="J395" s="49"/>
      <c r="K395" s="49"/>
      <c r="L395" s="49"/>
      <c r="M395" s="49"/>
      <c r="N395" s="49"/>
      <c r="O395" s="49"/>
      <c r="P395" s="49"/>
      <c r="Q395" s="49"/>
      <c r="R395" s="49" t="s">
        <v>4644</v>
      </c>
      <c r="S395" s="49"/>
      <c r="T395" s="49" t="s">
        <v>4647</v>
      </c>
      <c r="U395" s="49"/>
      <c r="V395" s="49"/>
      <c r="W395" s="49"/>
      <c r="X395" s="49"/>
      <c r="Y395" s="49"/>
      <c r="Z395" s="49"/>
      <c r="AA395" s="49"/>
      <c r="AB395" s="49"/>
      <c r="AC395" s="49"/>
      <c r="AD395" s="49"/>
      <c r="AE395" s="49"/>
      <c r="AF395" s="110">
        <v>250</v>
      </c>
      <c r="AG395" s="111">
        <v>1000</v>
      </c>
      <c r="AH395" s="49"/>
      <c r="AI395" s="49"/>
      <c r="AJ395" s="49"/>
      <c r="AK395" s="49"/>
      <c r="AL395" s="49"/>
      <c r="AM395" s="49"/>
      <c r="AN395" s="49"/>
      <c r="AO395" s="49"/>
      <c r="AP395" s="49"/>
      <c r="AQ395" s="49"/>
      <c r="AR395" s="49"/>
      <c r="AS395" s="49"/>
      <c r="AT395" s="49"/>
      <c r="AU395" s="49"/>
      <c r="AV395" s="49"/>
      <c r="AW395" s="49"/>
      <c r="AX395" s="49"/>
      <c r="AY395" s="49"/>
      <c r="AZ395" s="49"/>
      <c r="BA395" s="49"/>
      <c r="BB395" s="49"/>
      <c r="BC395" s="49"/>
      <c r="BD395" s="49"/>
      <c r="BE395" s="49"/>
      <c r="BF395" s="49"/>
      <c r="BG395" s="49"/>
      <c r="BH395" s="49"/>
      <c r="BI395" s="49"/>
      <c r="BJ395" s="49"/>
      <c r="BK395" s="49"/>
      <c r="BL395" s="49"/>
      <c r="BM395" s="49"/>
      <c r="BN395" s="49"/>
      <c r="BO395" s="49"/>
      <c r="BP395" s="49"/>
      <c r="BQ395" s="49"/>
      <c r="BR395" s="49"/>
      <c r="BS395" s="49"/>
      <c r="BT395" s="49"/>
      <c r="BU395" s="49"/>
      <c r="BV395" s="49"/>
      <c r="BW395" s="49"/>
      <c r="BX395" s="49"/>
      <c r="BY395" s="49"/>
      <c r="BZ395" s="49"/>
      <c r="CA395" s="49"/>
    </row>
    <row r="396" spans="1:79">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49"/>
      <c r="BA396" s="49"/>
      <c r="BB396" s="49"/>
      <c r="BC396" s="49"/>
      <c r="BD396" s="49"/>
      <c r="BE396" s="49"/>
      <c r="BF396" s="49"/>
      <c r="BG396" s="49"/>
      <c r="BH396" s="49"/>
      <c r="BI396" s="49"/>
      <c r="BJ396" s="49"/>
      <c r="BK396" s="49"/>
      <c r="BL396" s="49"/>
      <c r="BM396" s="49"/>
      <c r="BN396" s="49"/>
      <c r="BO396" s="49"/>
      <c r="BP396" s="49"/>
      <c r="BQ396" s="49"/>
      <c r="BR396" s="49"/>
      <c r="BS396" s="49"/>
      <c r="BT396" s="49"/>
      <c r="BU396" s="49"/>
      <c r="BV396" s="49"/>
      <c r="BW396" s="49"/>
      <c r="BX396" s="49"/>
      <c r="BY396" s="49"/>
      <c r="BZ396" s="49"/>
      <c r="CA396" s="49"/>
    </row>
    <row r="397" spans="1:79">
      <c r="A397" s="49"/>
      <c r="B397" s="49"/>
      <c r="C397" s="49"/>
      <c r="D397" s="49"/>
      <c r="E397" s="49"/>
      <c r="F397" s="49"/>
      <c r="G397" s="49"/>
      <c r="H397" s="49"/>
      <c r="I397" s="49"/>
      <c r="J397" s="49"/>
      <c r="K397" s="49"/>
      <c r="L397" s="49"/>
      <c r="M397" s="49"/>
      <c r="N397" s="49"/>
      <c r="O397" s="49"/>
      <c r="P397" s="49"/>
      <c r="Q397" s="49"/>
      <c r="R397" s="49" t="s">
        <v>4648</v>
      </c>
      <c r="S397" s="49"/>
      <c r="T397" s="49" t="s">
        <v>4649</v>
      </c>
      <c r="U397" s="49"/>
      <c r="V397" s="49"/>
      <c r="W397" s="49"/>
      <c r="X397" s="49"/>
      <c r="Y397" s="49"/>
      <c r="Z397" s="49"/>
      <c r="AA397" s="49"/>
      <c r="AB397" s="49"/>
      <c r="AC397" s="49"/>
      <c r="AD397" s="49"/>
      <c r="AE397" s="49"/>
      <c r="AF397" s="110">
        <v>75</v>
      </c>
      <c r="AG397" s="111">
        <v>20</v>
      </c>
      <c r="AH397" s="49"/>
      <c r="AI397" s="49"/>
      <c r="AJ397" s="49"/>
      <c r="AK397" s="49"/>
      <c r="AL397" s="49"/>
      <c r="AM397" s="49"/>
      <c r="AN397" s="49"/>
      <c r="AO397" s="49"/>
      <c r="AP397" s="49"/>
      <c r="AQ397" s="49"/>
      <c r="AR397" s="49"/>
      <c r="AS397" s="49"/>
      <c r="AT397" s="49"/>
      <c r="AU397" s="49"/>
      <c r="AV397" s="49"/>
      <c r="AW397" s="49"/>
      <c r="AX397" s="49"/>
      <c r="AY397" s="49"/>
      <c r="AZ397" s="49"/>
      <c r="BA397" s="49"/>
      <c r="BB397" s="49"/>
      <c r="BC397" s="49"/>
      <c r="BD397" s="49"/>
      <c r="BE397" s="49"/>
      <c r="BF397" s="49"/>
      <c r="BG397" s="49"/>
      <c r="BH397" s="49"/>
      <c r="BI397" s="49"/>
      <c r="BJ397" s="49"/>
      <c r="BK397" s="49"/>
      <c r="BL397" s="49"/>
      <c r="BM397" s="49"/>
      <c r="BN397" s="49"/>
      <c r="BO397" s="49"/>
      <c r="BP397" s="49"/>
      <c r="BQ397" s="49"/>
      <c r="BR397" s="49"/>
      <c r="BS397" s="49"/>
      <c r="BT397" s="49"/>
      <c r="BU397" s="49"/>
      <c r="BV397" s="49"/>
      <c r="BW397" s="49"/>
      <c r="BX397" s="49"/>
      <c r="BY397" s="49"/>
      <c r="BZ397" s="49"/>
      <c r="CA397" s="49"/>
    </row>
    <row r="398" spans="1:79">
      <c r="A398" s="49"/>
      <c r="B398" s="49"/>
      <c r="C398" s="49"/>
      <c r="D398" s="49"/>
      <c r="E398" s="49"/>
      <c r="F398" s="49"/>
      <c r="G398" s="49"/>
      <c r="H398" s="49"/>
      <c r="I398" s="49"/>
      <c r="J398" s="49"/>
      <c r="K398" s="49"/>
      <c r="L398" s="49"/>
      <c r="M398" s="49"/>
      <c r="N398" s="49"/>
      <c r="O398" s="49"/>
      <c r="P398" s="49"/>
      <c r="Q398" s="49"/>
      <c r="R398" s="49" t="s">
        <v>4648</v>
      </c>
      <c r="S398" s="49"/>
      <c r="T398" s="49" t="s">
        <v>4650</v>
      </c>
      <c r="U398" s="49"/>
      <c r="V398" s="49"/>
      <c r="W398" s="49"/>
      <c r="X398" s="49"/>
      <c r="Y398" s="49"/>
      <c r="Z398" s="49"/>
      <c r="AA398" s="49"/>
      <c r="AB398" s="49"/>
      <c r="AC398" s="49"/>
      <c r="AD398" s="49"/>
      <c r="AE398" s="49"/>
      <c r="AF398" s="110">
        <v>150</v>
      </c>
      <c r="AG398" s="111">
        <v>200</v>
      </c>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row>
    <row r="399" spans="1:79">
      <c r="A399" s="49"/>
      <c r="B399" s="49"/>
      <c r="C399" s="49"/>
      <c r="D399" s="49"/>
      <c r="E399" s="49"/>
      <c r="F399" s="49"/>
      <c r="G399" s="49"/>
      <c r="H399" s="49"/>
      <c r="I399" s="49"/>
      <c r="J399" s="49"/>
      <c r="K399" s="49"/>
      <c r="L399" s="49"/>
      <c r="M399" s="49"/>
      <c r="N399" s="49"/>
      <c r="O399" s="49"/>
      <c r="P399" s="49"/>
      <c r="Q399" s="49"/>
      <c r="R399" s="49" t="s">
        <v>4648</v>
      </c>
      <c r="S399" s="49"/>
      <c r="T399" s="49" t="s">
        <v>4651</v>
      </c>
      <c r="U399" s="49"/>
      <c r="V399" s="49"/>
      <c r="W399" s="49"/>
      <c r="X399" s="49"/>
      <c r="Y399" s="49"/>
      <c r="Z399" s="49"/>
      <c r="AA399" s="49"/>
      <c r="AB399" s="49"/>
      <c r="AC399" s="49"/>
      <c r="AD399" s="49"/>
      <c r="AE399" s="49"/>
      <c r="AF399" s="110">
        <v>500</v>
      </c>
      <c r="AG399" s="111">
        <v>2000</v>
      </c>
      <c r="AH399" s="49"/>
      <c r="AI399" s="49"/>
      <c r="AJ399" s="49"/>
      <c r="AK399" s="49"/>
      <c r="AL399" s="49"/>
      <c r="AM399" s="49"/>
      <c r="AN399" s="49"/>
      <c r="AO399" s="49"/>
      <c r="AP399" s="49"/>
      <c r="AQ399" s="49"/>
      <c r="AR399" s="49"/>
      <c r="AS399" s="49"/>
      <c r="AT399" s="49"/>
      <c r="AU399" s="49"/>
      <c r="AV399" s="49"/>
      <c r="AW399" s="49"/>
      <c r="AX399" s="49"/>
      <c r="AY399" s="49"/>
      <c r="AZ399" s="49"/>
      <c r="BA399" s="49"/>
      <c r="BB399" s="49"/>
      <c r="BC399" s="49"/>
      <c r="BD399" s="49"/>
      <c r="BE399" s="49"/>
      <c r="BF399" s="49"/>
      <c r="BG399" s="49"/>
      <c r="BH399" s="49"/>
      <c r="BI399" s="49"/>
      <c r="BJ399" s="49"/>
      <c r="BK399" s="49"/>
      <c r="BL399" s="49"/>
      <c r="BM399" s="49"/>
      <c r="BN399" s="49"/>
      <c r="BO399" s="49"/>
      <c r="BP399" s="49"/>
      <c r="BQ399" s="49"/>
      <c r="BR399" s="49"/>
      <c r="BS399" s="49"/>
      <c r="BT399" s="49"/>
      <c r="BU399" s="49"/>
      <c r="BV399" s="49"/>
      <c r="BW399" s="49"/>
      <c r="BX399" s="49"/>
      <c r="BY399" s="49"/>
      <c r="BZ399" s="49"/>
      <c r="CA399" s="49"/>
    </row>
    <row r="400" spans="1:79">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49"/>
      <c r="BA400" s="49"/>
      <c r="BB400" s="49"/>
      <c r="BC400" s="49"/>
      <c r="BD400" s="49"/>
      <c r="BE400" s="49"/>
      <c r="BF400" s="49"/>
      <c r="BG400" s="49"/>
      <c r="BH400" s="49"/>
      <c r="BI400" s="49"/>
      <c r="BJ400" s="49"/>
      <c r="BK400" s="49"/>
      <c r="BL400" s="49"/>
      <c r="BM400" s="49"/>
      <c r="BN400" s="49"/>
      <c r="BO400" s="49"/>
      <c r="BP400" s="49"/>
      <c r="BQ400" s="49"/>
      <c r="BR400" s="49"/>
      <c r="BS400" s="49"/>
      <c r="BT400" s="49"/>
      <c r="BU400" s="49"/>
      <c r="BV400" s="49"/>
      <c r="BW400" s="49"/>
      <c r="BX400" s="49"/>
      <c r="BY400" s="49"/>
      <c r="BZ400" s="49"/>
      <c r="CA400" s="49"/>
    </row>
    <row r="401" spans="1:79">
      <c r="A401" s="49"/>
      <c r="B401" s="49"/>
      <c r="C401" s="49"/>
      <c r="D401" s="49"/>
      <c r="E401" s="49"/>
      <c r="F401" s="49"/>
      <c r="G401" s="49"/>
      <c r="H401" s="49"/>
      <c r="I401" s="49"/>
      <c r="J401" s="49"/>
      <c r="K401" s="49"/>
      <c r="L401" s="49"/>
      <c r="M401" s="49"/>
      <c r="N401" s="49"/>
      <c r="O401" s="49"/>
      <c r="P401" s="49"/>
      <c r="Q401" s="49"/>
      <c r="R401" s="49" t="s">
        <v>4652</v>
      </c>
      <c r="S401" s="49"/>
      <c r="T401" s="49" t="s">
        <v>4653</v>
      </c>
      <c r="U401" s="49"/>
      <c r="V401" s="49"/>
      <c r="W401" s="49"/>
      <c r="X401" s="49"/>
      <c r="Y401" s="49"/>
      <c r="Z401" s="49"/>
      <c r="AA401" s="49"/>
      <c r="AB401" s="49"/>
      <c r="AC401" s="49"/>
      <c r="AD401" s="49"/>
      <c r="AE401" s="49"/>
      <c r="AF401" s="110">
        <v>50</v>
      </c>
      <c r="AG401" s="111">
        <v>500</v>
      </c>
      <c r="AH401" s="49"/>
      <c r="AI401" s="49"/>
      <c r="AJ401" s="49"/>
      <c r="AK401" s="49"/>
      <c r="AL401" s="49"/>
      <c r="AM401" s="49"/>
      <c r="AN401" s="49"/>
      <c r="AO401" s="49"/>
      <c r="AP401" s="49"/>
      <c r="AQ401" s="49"/>
      <c r="AR401" s="49"/>
      <c r="AS401" s="49"/>
      <c r="AT401" s="49"/>
      <c r="AU401" s="49"/>
      <c r="AV401" s="49"/>
      <c r="AW401" s="49"/>
      <c r="AX401" s="49"/>
      <c r="AY401" s="49"/>
      <c r="AZ401" s="49"/>
      <c r="BA401" s="49"/>
      <c r="BB401" s="49"/>
      <c r="BC401" s="49"/>
      <c r="BD401" s="49"/>
      <c r="BE401" s="49"/>
      <c r="BF401" s="49"/>
      <c r="BG401" s="49"/>
      <c r="BH401" s="49"/>
      <c r="BI401" s="49"/>
      <c r="BJ401" s="49"/>
      <c r="BK401" s="49"/>
      <c r="BL401" s="49"/>
      <c r="BM401" s="49"/>
      <c r="BN401" s="49"/>
      <c r="BO401" s="49"/>
      <c r="BP401" s="49"/>
      <c r="BQ401" s="49"/>
      <c r="BR401" s="49"/>
      <c r="BS401" s="49"/>
      <c r="BT401" s="49"/>
      <c r="BU401" s="49"/>
      <c r="BV401" s="49"/>
      <c r="BW401" s="49"/>
      <c r="BX401" s="49"/>
      <c r="BY401" s="49"/>
      <c r="BZ401" s="49"/>
      <c r="CA401" s="49"/>
    </row>
    <row r="402" spans="1:79">
      <c r="A402" s="49"/>
      <c r="B402" s="49"/>
      <c r="C402" s="49"/>
      <c r="D402" s="49"/>
      <c r="E402" s="49"/>
      <c r="F402" s="49"/>
      <c r="G402" s="49"/>
      <c r="H402" s="49"/>
      <c r="I402" s="49"/>
      <c r="J402" s="49"/>
      <c r="K402" s="49"/>
      <c r="L402" s="49"/>
      <c r="M402" s="49"/>
      <c r="N402" s="49"/>
      <c r="O402" s="49"/>
      <c r="P402" s="49"/>
      <c r="Q402" s="49"/>
      <c r="R402" s="49" t="s">
        <v>4652</v>
      </c>
      <c r="S402" s="49"/>
      <c r="T402" s="49" t="s">
        <v>4654</v>
      </c>
      <c r="U402" s="49"/>
      <c r="V402" s="49"/>
      <c r="W402" s="49"/>
      <c r="X402" s="49"/>
      <c r="Y402" s="49"/>
      <c r="Z402" s="49"/>
      <c r="AA402" s="49"/>
      <c r="AB402" s="49"/>
      <c r="AC402" s="49"/>
      <c r="AD402" s="49"/>
      <c r="AE402" s="49"/>
      <c r="AF402" s="110">
        <v>100</v>
      </c>
      <c r="AG402" s="111">
        <v>1000</v>
      </c>
      <c r="AH402" s="49"/>
      <c r="AI402" s="49"/>
      <c r="AJ402" s="49"/>
      <c r="AK402" s="49"/>
      <c r="AL402" s="49"/>
      <c r="AM402" s="49"/>
      <c r="AN402" s="49"/>
      <c r="AO402" s="49"/>
      <c r="AP402" s="49"/>
      <c r="AQ402" s="49"/>
      <c r="AR402" s="49"/>
      <c r="AS402" s="49"/>
      <c r="AT402" s="49"/>
      <c r="AU402" s="49"/>
      <c r="AV402" s="49"/>
      <c r="AW402" s="49"/>
      <c r="AX402" s="49"/>
      <c r="AY402" s="49"/>
      <c r="AZ402" s="49"/>
      <c r="BA402" s="49"/>
      <c r="BB402" s="49"/>
      <c r="BC402" s="49"/>
      <c r="BD402" s="49"/>
      <c r="BE402" s="49"/>
      <c r="BF402" s="49"/>
      <c r="BG402" s="49"/>
      <c r="BH402" s="49"/>
      <c r="BI402" s="49"/>
      <c r="BJ402" s="49"/>
      <c r="BK402" s="49"/>
      <c r="BL402" s="49"/>
      <c r="BM402" s="49"/>
      <c r="BN402" s="49"/>
      <c r="BO402" s="49"/>
      <c r="BP402" s="49"/>
      <c r="BQ402" s="49"/>
      <c r="BR402" s="49"/>
      <c r="BS402" s="49"/>
      <c r="BT402" s="49"/>
      <c r="BU402" s="49"/>
      <c r="BV402" s="49"/>
      <c r="BW402" s="49"/>
      <c r="BX402" s="49"/>
      <c r="BY402" s="49"/>
      <c r="BZ402" s="49"/>
      <c r="CA402" s="49"/>
    </row>
    <row r="403" spans="1:79">
      <c r="A403" s="49"/>
      <c r="B403" s="49"/>
      <c r="C403" s="49"/>
      <c r="D403" s="49"/>
      <c r="E403" s="49"/>
      <c r="F403" s="49"/>
      <c r="G403" s="49"/>
      <c r="H403" s="49"/>
      <c r="I403" s="49"/>
      <c r="J403" s="49"/>
      <c r="K403" s="49"/>
      <c r="L403" s="49"/>
      <c r="M403" s="49"/>
      <c r="N403" s="49"/>
      <c r="O403" s="49"/>
      <c r="P403" s="49"/>
      <c r="Q403" s="49"/>
      <c r="R403" s="49" t="s">
        <v>4652</v>
      </c>
      <c r="S403" s="49"/>
      <c r="T403" s="49" t="s">
        <v>4655</v>
      </c>
      <c r="U403" s="49"/>
      <c r="V403" s="49"/>
      <c r="W403" s="49"/>
      <c r="X403" s="49"/>
      <c r="Y403" s="49"/>
      <c r="Z403" s="49"/>
      <c r="AA403" s="49"/>
      <c r="AB403" s="49"/>
      <c r="AC403" s="49"/>
      <c r="AD403" s="49"/>
      <c r="AE403" s="49"/>
      <c r="AF403" s="110">
        <v>150</v>
      </c>
      <c r="AG403" s="111">
        <v>2000</v>
      </c>
      <c r="AH403" s="49"/>
      <c r="AI403" s="49"/>
      <c r="AJ403" s="49"/>
      <c r="AK403" s="49"/>
      <c r="AL403" s="49"/>
      <c r="AM403" s="49"/>
      <c r="AN403" s="49"/>
      <c r="AO403" s="49"/>
      <c r="AP403" s="49"/>
      <c r="AQ403" s="49"/>
      <c r="AR403" s="49"/>
      <c r="AS403" s="49"/>
      <c r="AT403" s="49"/>
      <c r="AU403" s="49"/>
      <c r="AV403" s="49"/>
      <c r="AW403" s="49"/>
      <c r="AX403" s="49"/>
      <c r="AY403" s="49"/>
      <c r="AZ403" s="49"/>
      <c r="BA403" s="49"/>
      <c r="BB403" s="49"/>
      <c r="BC403" s="49"/>
      <c r="BD403" s="49"/>
      <c r="BE403" s="49"/>
      <c r="BF403" s="49"/>
      <c r="BG403" s="49"/>
      <c r="BH403" s="49"/>
      <c r="BI403" s="49"/>
      <c r="BJ403" s="49"/>
      <c r="BK403" s="49"/>
      <c r="BL403" s="49"/>
      <c r="BM403" s="49"/>
      <c r="BN403" s="49"/>
      <c r="BO403" s="49"/>
      <c r="BP403" s="49"/>
      <c r="BQ403" s="49"/>
      <c r="BR403" s="49"/>
      <c r="BS403" s="49"/>
      <c r="BT403" s="49"/>
      <c r="BU403" s="49"/>
      <c r="BV403" s="49"/>
      <c r="BW403" s="49"/>
      <c r="BX403" s="49"/>
      <c r="BY403" s="49"/>
      <c r="BZ403" s="49"/>
      <c r="CA403" s="49"/>
    </row>
    <row r="404" spans="1:79">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110"/>
      <c r="AG404" s="111"/>
      <c r="AH404" s="49"/>
      <c r="AI404" s="49"/>
      <c r="AJ404" s="49"/>
      <c r="AK404" s="49"/>
      <c r="AL404" s="49"/>
      <c r="AM404" s="49"/>
      <c r="AN404" s="49"/>
      <c r="AO404" s="49"/>
      <c r="AP404" s="49"/>
      <c r="AQ404" s="49"/>
      <c r="AR404" s="49"/>
      <c r="AS404" s="49"/>
      <c r="AT404" s="49"/>
      <c r="AU404" s="49"/>
      <c r="AV404" s="49"/>
      <c r="AW404" s="49"/>
      <c r="AX404" s="49"/>
      <c r="AY404" s="49"/>
      <c r="AZ404" s="49"/>
      <c r="BA404" s="49"/>
      <c r="BB404" s="49"/>
      <c r="BC404" s="49"/>
      <c r="BD404" s="49"/>
      <c r="BE404" s="49"/>
      <c r="BF404" s="49"/>
      <c r="BG404" s="49"/>
      <c r="BH404" s="49"/>
      <c r="BI404" s="49"/>
      <c r="BJ404" s="49"/>
      <c r="BK404" s="49"/>
      <c r="BL404" s="49"/>
      <c r="BM404" s="49"/>
      <c r="BN404" s="49"/>
      <c r="BO404" s="49"/>
      <c r="BP404" s="49"/>
      <c r="BQ404" s="49"/>
      <c r="BR404" s="49"/>
      <c r="BS404" s="49"/>
      <c r="BT404" s="49"/>
      <c r="BU404" s="49"/>
      <c r="BV404" s="49"/>
      <c r="BW404" s="49"/>
      <c r="BX404" s="49"/>
      <c r="BY404" s="49"/>
      <c r="BZ404" s="49"/>
      <c r="CA404" s="49"/>
    </row>
    <row r="405" spans="1:79">
      <c r="A405" s="49"/>
      <c r="B405" s="49"/>
      <c r="C405" s="49"/>
      <c r="D405" s="49"/>
      <c r="E405" s="49"/>
      <c r="F405" s="49"/>
      <c r="G405" s="49"/>
      <c r="H405" s="49"/>
      <c r="I405" s="49"/>
      <c r="J405" s="49"/>
      <c r="K405" s="49"/>
      <c r="L405" s="49"/>
      <c r="M405" s="49"/>
      <c r="N405" s="49"/>
      <c r="O405" s="49"/>
      <c r="P405" s="49"/>
      <c r="Q405" s="49"/>
      <c r="R405" s="49" t="s">
        <v>4656</v>
      </c>
      <c r="S405" s="49"/>
      <c r="T405" s="49" t="s">
        <v>4657</v>
      </c>
      <c r="U405" s="49"/>
      <c r="V405" s="49"/>
      <c r="W405" s="49"/>
      <c r="X405" s="49"/>
      <c r="Y405" s="49"/>
      <c r="Z405" s="49"/>
      <c r="AA405" s="49"/>
      <c r="AB405" s="49"/>
      <c r="AC405" s="49"/>
      <c r="AD405" s="49"/>
      <c r="AE405" s="49"/>
      <c r="AF405" s="110">
        <v>100</v>
      </c>
      <c r="AG405" s="111">
        <v>100</v>
      </c>
      <c r="AH405" s="49"/>
      <c r="AI405" s="49"/>
      <c r="AJ405" s="49"/>
      <c r="AK405" s="49"/>
      <c r="AL405" s="49"/>
      <c r="AM405" s="49"/>
      <c r="AN405" s="49"/>
      <c r="AO405" s="49"/>
      <c r="AP405" s="49"/>
      <c r="AQ405" s="49"/>
      <c r="AR405" s="49"/>
      <c r="AS405" s="49"/>
      <c r="AT405" s="49"/>
      <c r="AU405" s="49"/>
      <c r="AV405" s="49"/>
      <c r="AW405" s="49"/>
      <c r="AX405" s="49"/>
      <c r="AY405" s="49"/>
      <c r="AZ405" s="49"/>
      <c r="BA405" s="49"/>
      <c r="BB405" s="49"/>
      <c r="BC405" s="49"/>
      <c r="BD405" s="49"/>
      <c r="BE405" s="49"/>
      <c r="BF405" s="49"/>
      <c r="BG405" s="49"/>
      <c r="BH405" s="49"/>
      <c r="BI405" s="49"/>
      <c r="BJ405" s="49"/>
      <c r="BK405" s="49"/>
      <c r="BL405" s="49"/>
      <c r="BM405" s="49"/>
      <c r="BN405" s="49"/>
      <c r="BO405" s="49"/>
      <c r="BP405" s="49"/>
      <c r="BQ405" s="49"/>
      <c r="BR405" s="49"/>
      <c r="BS405" s="49"/>
      <c r="BT405" s="49"/>
      <c r="BU405" s="49"/>
      <c r="BV405" s="49"/>
      <c r="BW405" s="49"/>
      <c r="BX405" s="49"/>
      <c r="BY405" s="49"/>
      <c r="BZ405" s="49"/>
      <c r="CA405" s="49"/>
    </row>
    <row r="406" spans="1:79">
      <c r="A406" s="49"/>
      <c r="B406" s="49"/>
      <c r="C406" s="49"/>
      <c r="D406" s="49"/>
      <c r="E406" s="49"/>
      <c r="F406" s="49"/>
      <c r="G406" s="49"/>
      <c r="H406" s="49"/>
      <c r="I406" s="49"/>
      <c r="J406" s="49"/>
      <c r="K406" s="49"/>
      <c r="L406" s="49"/>
      <c r="M406" s="49"/>
      <c r="N406" s="49"/>
      <c r="O406" s="49"/>
      <c r="P406" s="49"/>
      <c r="Q406" s="49"/>
      <c r="R406" s="49" t="s">
        <v>4656</v>
      </c>
      <c r="S406" s="49"/>
      <c r="T406" s="49" t="s">
        <v>4658</v>
      </c>
      <c r="U406" s="49"/>
      <c r="V406" s="49"/>
      <c r="W406" s="49"/>
      <c r="X406" s="49"/>
      <c r="Y406" s="49"/>
      <c r="Z406" s="49"/>
      <c r="AA406" s="49"/>
      <c r="AB406" s="49"/>
      <c r="AC406" s="49"/>
      <c r="AD406" s="49"/>
      <c r="AE406" s="49"/>
      <c r="AF406" s="110">
        <v>250</v>
      </c>
      <c r="AG406" s="111">
        <v>800</v>
      </c>
      <c r="AH406" s="49"/>
      <c r="AI406" s="49"/>
      <c r="AJ406" s="49"/>
      <c r="AK406" s="49"/>
      <c r="AL406" s="49"/>
      <c r="AM406" s="49"/>
      <c r="AN406" s="49"/>
      <c r="AO406" s="49"/>
      <c r="AP406" s="49"/>
      <c r="AQ406" s="49"/>
      <c r="AR406" s="49"/>
      <c r="AS406" s="49"/>
      <c r="AT406" s="49"/>
      <c r="AU406" s="49"/>
      <c r="AV406" s="49"/>
      <c r="AW406" s="49"/>
      <c r="AX406" s="49"/>
      <c r="AY406" s="49"/>
      <c r="AZ406" s="49"/>
      <c r="BA406" s="49"/>
      <c r="BB406" s="49"/>
      <c r="BC406" s="49"/>
      <c r="BD406" s="49"/>
      <c r="BE406" s="49"/>
      <c r="BF406" s="49"/>
      <c r="BG406" s="49"/>
      <c r="BH406" s="49"/>
      <c r="BI406" s="49"/>
      <c r="BJ406" s="49"/>
      <c r="BK406" s="49"/>
      <c r="BL406" s="49"/>
      <c r="BM406" s="49"/>
      <c r="BN406" s="49"/>
      <c r="BO406" s="49"/>
      <c r="BP406" s="49"/>
      <c r="BQ406" s="49"/>
      <c r="BR406" s="49"/>
      <c r="BS406" s="49"/>
      <c r="BT406" s="49"/>
      <c r="BU406" s="49"/>
      <c r="BV406" s="49"/>
      <c r="BW406" s="49"/>
      <c r="BX406" s="49"/>
      <c r="BY406" s="49"/>
      <c r="BZ406" s="49"/>
      <c r="CA406" s="49"/>
    </row>
    <row r="407" spans="1:79">
      <c r="A407" s="49"/>
      <c r="B407" s="49"/>
      <c r="C407" s="49"/>
      <c r="D407" s="49"/>
      <c r="E407" s="49"/>
      <c r="F407" s="49"/>
      <c r="G407" s="49"/>
      <c r="H407" s="49"/>
      <c r="I407" s="49"/>
      <c r="J407" s="49"/>
      <c r="K407" s="49"/>
      <c r="L407" s="49"/>
      <c r="M407" s="49"/>
      <c r="N407" s="49"/>
      <c r="O407" s="49"/>
      <c r="P407" s="49"/>
      <c r="Q407" s="49"/>
      <c r="R407" s="49" t="s">
        <v>4656</v>
      </c>
      <c r="S407" s="49"/>
      <c r="T407" s="49" t="s">
        <v>4659</v>
      </c>
      <c r="U407" s="49"/>
      <c r="V407" s="49"/>
      <c r="W407" s="49"/>
      <c r="X407" s="49"/>
      <c r="Y407" s="49"/>
      <c r="Z407" s="49"/>
      <c r="AA407" s="49"/>
      <c r="AB407" s="49"/>
      <c r="AC407" s="49"/>
      <c r="AD407" s="49"/>
      <c r="AE407" s="49"/>
      <c r="AF407" s="110">
        <v>500</v>
      </c>
      <c r="AG407" s="111">
        <v>5000</v>
      </c>
      <c r="AH407" s="49"/>
      <c r="AI407" s="49"/>
      <c r="AJ407" s="49"/>
      <c r="AK407" s="49"/>
      <c r="AL407" s="49"/>
      <c r="AM407" s="49"/>
      <c r="AN407" s="49"/>
      <c r="AO407" s="49"/>
      <c r="AP407" s="49"/>
      <c r="AQ407" s="49"/>
      <c r="AR407" s="49"/>
      <c r="AS407" s="49"/>
      <c r="AT407" s="49"/>
      <c r="AU407" s="49"/>
      <c r="AV407" s="49"/>
      <c r="AW407" s="49"/>
      <c r="AX407" s="49"/>
      <c r="AY407" s="49"/>
      <c r="AZ407" s="49"/>
      <c r="BA407" s="49"/>
      <c r="BB407" s="49"/>
      <c r="BC407" s="49"/>
      <c r="BD407" s="49"/>
      <c r="BE407" s="49"/>
      <c r="BF407" s="49"/>
      <c r="BG407" s="49"/>
      <c r="BH407" s="49"/>
      <c r="BI407" s="49"/>
      <c r="BJ407" s="49"/>
      <c r="BK407" s="49"/>
      <c r="BL407" s="49"/>
      <c r="BM407" s="49"/>
      <c r="BN407" s="49"/>
      <c r="BO407" s="49"/>
      <c r="BP407" s="49"/>
      <c r="BQ407" s="49"/>
      <c r="BR407" s="49"/>
      <c r="BS407" s="49"/>
      <c r="BT407" s="49"/>
      <c r="BU407" s="49"/>
      <c r="BV407" s="49"/>
      <c r="BW407" s="49"/>
      <c r="BX407" s="49"/>
      <c r="BY407" s="49"/>
      <c r="BZ407" s="49"/>
      <c r="CA407" s="49"/>
    </row>
    <row r="408" spans="1:79">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110"/>
      <c r="AG408" s="111"/>
      <c r="AH408" s="49"/>
      <c r="AI408" s="49"/>
      <c r="AJ408" s="49"/>
      <c r="AK408" s="49"/>
      <c r="AL408" s="49"/>
      <c r="AM408" s="49"/>
      <c r="AN408" s="49"/>
      <c r="AO408" s="49"/>
      <c r="AP408" s="49"/>
      <c r="AQ408" s="49"/>
      <c r="AR408" s="49"/>
      <c r="AS408" s="49"/>
      <c r="AT408" s="49"/>
      <c r="AU408" s="49"/>
      <c r="AV408" s="49"/>
      <c r="AW408" s="49"/>
      <c r="AX408" s="49"/>
      <c r="AY408" s="49"/>
      <c r="AZ408" s="49"/>
      <c r="BA408" s="49"/>
      <c r="BB408" s="49"/>
      <c r="BC408" s="49"/>
      <c r="BD408" s="49"/>
      <c r="BE408" s="49"/>
      <c r="BF408" s="49"/>
      <c r="BG408" s="49"/>
      <c r="BH408" s="49"/>
      <c r="BI408" s="49"/>
      <c r="BJ408" s="49"/>
      <c r="BK408" s="49"/>
      <c r="BL408" s="49"/>
      <c r="BM408" s="49"/>
      <c r="BN408" s="49"/>
      <c r="BO408" s="49"/>
      <c r="BP408" s="49"/>
      <c r="BQ408" s="49"/>
      <c r="BR408" s="49"/>
      <c r="BS408" s="49"/>
      <c r="BT408" s="49"/>
      <c r="BU408" s="49"/>
      <c r="BV408" s="49"/>
      <c r="BW408" s="49"/>
      <c r="BX408" s="49"/>
      <c r="BY408" s="49"/>
      <c r="BZ408" s="49"/>
      <c r="CA408" s="49"/>
    </row>
    <row r="409" spans="1:79">
      <c r="A409" s="49"/>
      <c r="B409" s="49"/>
      <c r="C409" s="49"/>
      <c r="D409" s="49"/>
      <c r="E409" s="49"/>
      <c r="F409" s="49"/>
      <c r="G409" s="49"/>
      <c r="H409" s="49"/>
      <c r="I409" s="49"/>
      <c r="J409" s="49"/>
      <c r="K409" s="49"/>
      <c r="L409" s="49"/>
      <c r="M409" s="49"/>
      <c r="N409" s="49"/>
      <c r="O409" s="49"/>
      <c r="P409" s="49"/>
      <c r="Q409" s="49"/>
      <c r="R409" s="49" t="s">
        <v>4660</v>
      </c>
      <c r="S409" s="49"/>
      <c r="T409" s="49" t="s">
        <v>4661</v>
      </c>
      <c r="U409" s="49"/>
      <c r="V409" s="49"/>
      <c r="W409" s="49"/>
      <c r="X409" s="49"/>
      <c r="Y409" s="49"/>
      <c r="Z409" s="49"/>
      <c r="AA409" s="49"/>
      <c r="AB409" s="49"/>
      <c r="AC409" s="49"/>
      <c r="AD409" s="49"/>
      <c r="AE409" s="49"/>
      <c r="AF409" s="110">
        <v>100</v>
      </c>
      <c r="AG409" s="111">
        <v>100</v>
      </c>
      <c r="AH409" s="49"/>
      <c r="AI409" s="49"/>
      <c r="AJ409" s="49"/>
      <c r="AK409" s="49"/>
      <c r="AL409" s="49"/>
      <c r="AM409" s="49"/>
      <c r="AN409" s="49"/>
      <c r="AO409" s="49"/>
      <c r="AP409" s="49"/>
      <c r="AQ409" s="49"/>
      <c r="AR409" s="49"/>
      <c r="AS409" s="49"/>
      <c r="AT409" s="49"/>
      <c r="AU409" s="49"/>
      <c r="AV409" s="49"/>
      <c r="AW409" s="49"/>
      <c r="AX409" s="49"/>
      <c r="AY409" s="49"/>
      <c r="AZ409" s="49"/>
      <c r="BA409" s="49"/>
      <c r="BB409" s="49"/>
      <c r="BC409" s="49"/>
      <c r="BD409" s="49"/>
      <c r="BE409" s="49"/>
      <c r="BF409" s="49"/>
      <c r="BG409" s="49"/>
      <c r="BH409" s="49"/>
      <c r="BI409" s="49"/>
      <c r="BJ409" s="49"/>
      <c r="BK409" s="49"/>
      <c r="BL409" s="49"/>
      <c r="BM409" s="49"/>
      <c r="BN409" s="49"/>
      <c r="BO409" s="49"/>
      <c r="BP409" s="49"/>
      <c r="BQ409" s="49"/>
      <c r="BR409" s="49"/>
      <c r="BS409" s="49"/>
      <c r="BT409" s="49"/>
      <c r="BU409" s="49"/>
      <c r="BV409" s="49"/>
      <c r="BW409" s="49"/>
      <c r="BX409" s="49"/>
      <c r="BY409" s="49"/>
      <c r="BZ409" s="49"/>
      <c r="CA409" s="49"/>
    </row>
    <row r="410" spans="1:79">
      <c r="A410" s="49"/>
      <c r="B410" s="49"/>
      <c r="C410" s="49"/>
      <c r="D410" s="49"/>
      <c r="E410" s="49"/>
      <c r="F410" s="49"/>
      <c r="G410" s="49"/>
      <c r="H410" s="49"/>
      <c r="I410" s="49"/>
      <c r="J410" s="49"/>
      <c r="K410" s="49"/>
      <c r="L410" s="49"/>
      <c r="M410" s="49"/>
      <c r="N410" s="49"/>
      <c r="O410" s="49"/>
      <c r="P410" s="49"/>
      <c r="Q410" s="49"/>
      <c r="R410" s="49" t="s">
        <v>4660</v>
      </c>
      <c r="S410" s="49"/>
      <c r="T410" s="49" t="s">
        <v>4662</v>
      </c>
      <c r="U410" s="49"/>
      <c r="V410" s="49"/>
      <c r="W410" s="49"/>
      <c r="X410" s="49"/>
      <c r="Y410" s="49"/>
      <c r="Z410" s="49"/>
      <c r="AA410" s="49"/>
      <c r="AB410" s="49"/>
      <c r="AC410" s="49"/>
      <c r="AD410" s="49"/>
      <c r="AE410" s="49"/>
      <c r="AF410" s="110">
        <v>250</v>
      </c>
      <c r="AG410" s="111">
        <v>800</v>
      </c>
      <c r="AH410" s="49"/>
      <c r="AI410" s="49"/>
      <c r="AJ410" s="49"/>
      <c r="AK410" s="49"/>
      <c r="AL410" s="49"/>
      <c r="AM410" s="49"/>
      <c r="AN410" s="49"/>
      <c r="AO410" s="49"/>
      <c r="AP410" s="49"/>
      <c r="AQ410" s="49"/>
      <c r="AR410" s="49"/>
      <c r="AS410" s="49"/>
      <c r="AT410" s="49"/>
      <c r="AU410" s="49"/>
      <c r="AV410" s="49"/>
      <c r="AW410" s="49"/>
      <c r="AX410" s="49"/>
      <c r="AY410" s="49"/>
      <c r="AZ410" s="49"/>
      <c r="BA410" s="49"/>
      <c r="BB410" s="49"/>
      <c r="BC410" s="49"/>
      <c r="BD410" s="49"/>
      <c r="BE410" s="49"/>
      <c r="BF410" s="49"/>
      <c r="BG410" s="49"/>
      <c r="BH410" s="49"/>
      <c r="BI410" s="49"/>
      <c r="BJ410" s="49"/>
      <c r="BK410" s="49"/>
      <c r="BL410" s="49"/>
      <c r="BM410" s="49"/>
      <c r="BN410" s="49"/>
      <c r="BO410" s="49"/>
      <c r="BP410" s="49"/>
      <c r="BQ410" s="49"/>
      <c r="BR410" s="49"/>
      <c r="BS410" s="49"/>
      <c r="BT410" s="49"/>
      <c r="BU410" s="49"/>
      <c r="BV410" s="49"/>
      <c r="BW410" s="49"/>
      <c r="BX410" s="49"/>
      <c r="BY410" s="49"/>
      <c r="BZ410" s="49"/>
      <c r="CA410" s="49"/>
    </row>
    <row r="411" spans="1:79">
      <c r="A411" s="49"/>
      <c r="B411" s="49"/>
      <c r="C411" s="49"/>
      <c r="D411" s="49"/>
      <c r="E411" s="49"/>
      <c r="F411" s="49"/>
      <c r="G411" s="49"/>
      <c r="H411" s="49"/>
      <c r="I411" s="49"/>
      <c r="J411" s="49"/>
      <c r="K411" s="49"/>
      <c r="L411" s="49"/>
      <c r="M411" s="49"/>
      <c r="N411" s="49"/>
      <c r="O411" s="49"/>
      <c r="P411" s="49"/>
      <c r="Q411" s="49"/>
      <c r="R411" s="49" t="s">
        <v>4660</v>
      </c>
      <c r="S411" s="49"/>
      <c r="T411" s="49" t="s">
        <v>4663</v>
      </c>
      <c r="U411" s="49"/>
      <c r="V411" s="49"/>
      <c r="W411" s="49"/>
      <c r="X411" s="49"/>
      <c r="Y411" s="49"/>
      <c r="Z411" s="49"/>
      <c r="AA411" s="49"/>
      <c r="AB411" s="49"/>
      <c r="AC411" s="49"/>
      <c r="AD411" s="49"/>
      <c r="AE411" s="49"/>
      <c r="AF411" s="110">
        <v>500</v>
      </c>
      <c r="AG411" s="111">
        <v>5000</v>
      </c>
      <c r="AH411" s="49"/>
      <c r="AI411" s="49"/>
      <c r="AJ411" s="49"/>
      <c r="AK411" s="49"/>
      <c r="AL411" s="49"/>
      <c r="AM411" s="49"/>
      <c r="AN411" s="49"/>
      <c r="AO411" s="49"/>
      <c r="AP411" s="49"/>
      <c r="AQ411" s="49"/>
      <c r="AR411" s="49"/>
      <c r="AS411" s="49"/>
      <c r="AT411" s="49"/>
      <c r="AU411" s="49"/>
      <c r="AV411" s="49"/>
      <c r="AW411" s="49"/>
      <c r="AX411" s="49"/>
      <c r="AY411" s="49"/>
      <c r="AZ411" s="49"/>
      <c r="BA411" s="49"/>
      <c r="BB411" s="49"/>
      <c r="BC411" s="49"/>
      <c r="BD411" s="49"/>
      <c r="BE411" s="49"/>
      <c r="BF411" s="49"/>
      <c r="BG411" s="49"/>
      <c r="BH411" s="49"/>
      <c r="BI411" s="49"/>
      <c r="BJ411" s="49"/>
      <c r="BK411" s="49"/>
      <c r="BL411" s="49"/>
      <c r="BM411" s="49"/>
      <c r="BN411" s="49"/>
      <c r="BO411" s="49"/>
      <c r="BP411" s="49"/>
      <c r="BQ411" s="49"/>
      <c r="BR411" s="49"/>
      <c r="BS411" s="49"/>
      <c r="BT411" s="49"/>
      <c r="BU411" s="49"/>
      <c r="BV411" s="49"/>
      <c r="BW411" s="49"/>
      <c r="BX411" s="49"/>
      <c r="BY411" s="49"/>
      <c r="BZ411" s="49"/>
      <c r="CA411" s="49"/>
    </row>
    <row r="412" spans="1:79">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110"/>
      <c r="AG412" s="111"/>
      <c r="AH412" s="49"/>
      <c r="AI412" s="49"/>
      <c r="AJ412" s="49"/>
      <c r="AK412" s="49"/>
      <c r="AL412" s="49"/>
      <c r="AM412" s="49"/>
      <c r="AN412" s="49"/>
      <c r="AO412" s="49"/>
      <c r="AP412" s="49"/>
      <c r="AQ412" s="49"/>
      <c r="AR412" s="49"/>
      <c r="AS412" s="49"/>
      <c r="AT412" s="49"/>
      <c r="AU412" s="49"/>
      <c r="AV412" s="49"/>
      <c r="AW412" s="49"/>
      <c r="AX412" s="49"/>
      <c r="AY412" s="49"/>
      <c r="AZ412" s="49"/>
      <c r="BA412" s="49"/>
      <c r="BB412" s="49"/>
      <c r="BC412" s="49"/>
      <c r="BD412" s="49"/>
      <c r="BE412" s="49"/>
      <c r="BF412" s="49"/>
      <c r="BG412" s="49"/>
      <c r="BH412" s="49"/>
      <c r="BI412" s="49"/>
      <c r="BJ412" s="49"/>
      <c r="BK412" s="49"/>
      <c r="BL412" s="49"/>
      <c r="BM412" s="49"/>
      <c r="BN412" s="49"/>
      <c r="BO412" s="49"/>
      <c r="BP412" s="49"/>
      <c r="BQ412" s="49"/>
      <c r="BR412" s="49"/>
      <c r="BS412" s="49"/>
      <c r="BT412" s="49"/>
      <c r="BU412" s="49"/>
      <c r="BV412" s="49"/>
      <c r="BW412" s="49"/>
      <c r="BX412" s="49"/>
      <c r="BY412" s="49"/>
      <c r="BZ412" s="49"/>
      <c r="CA412" s="49"/>
    </row>
    <row r="413" spans="1:79">
      <c r="A413" s="49"/>
      <c r="B413" s="49"/>
      <c r="C413" s="49"/>
      <c r="D413" s="49"/>
      <c r="E413" s="49"/>
      <c r="F413" s="49"/>
      <c r="G413" s="49"/>
      <c r="H413" s="49"/>
      <c r="I413" s="49"/>
      <c r="J413" s="49"/>
      <c r="K413" s="49"/>
      <c r="L413" s="49"/>
      <c r="M413" s="49"/>
      <c r="N413" s="49"/>
      <c r="O413" s="49"/>
      <c r="P413" s="49"/>
      <c r="Q413" s="49"/>
      <c r="R413" s="49" t="s">
        <v>4664</v>
      </c>
      <c r="S413" s="49"/>
      <c r="T413" s="49" t="s">
        <v>4665</v>
      </c>
      <c r="U413" s="49"/>
      <c r="V413" s="49"/>
      <c r="W413" s="49"/>
      <c r="X413" s="49"/>
      <c r="Y413" s="49"/>
      <c r="Z413" s="49"/>
      <c r="AA413" s="49"/>
      <c r="AB413" s="49"/>
      <c r="AC413" s="49"/>
      <c r="AD413" s="49"/>
      <c r="AE413" s="49"/>
      <c r="AF413" s="110">
        <v>20</v>
      </c>
      <c r="AG413" s="111">
        <v>200</v>
      </c>
      <c r="AH413" s="49"/>
      <c r="AI413" s="49"/>
      <c r="AJ413" s="49"/>
      <c r="AK413" s="49"/>
      <c r="AL413" s="49"/>
      <c r="AM413" s="49"/>
      <c r="AN413" s="49"/>
      <c r="AO413" s="49"/>
      <c r="AP413" s="49"/>
      <c r="AQ413" s="49"/>
      <c r="AR413" s="49"/>
      <c r="AS413" s="49"/>
      <c r="AT413" s="49"/>
      <c r="AU413" s="49"/>
      <c r="AV413" s="49"/>
      <c r="AW413" s="49"/>
      <c r="AX413" s="49"/>
      <c r="AY413" s="49"/>
      <c r="AZ413" s="49"/>
      <c r="BA413" s="49"/>
      <c r="BB413" s="49"/>
      <c r="BC413" s="49"/>
      <c r="BD413" s="49"/>
      <c r="BE413" s="49"/>
      <c r="BF413" s="49"/>
      <c r="BG413" s="49"/>
      <c r="BH413" s="49"/>
      <c r="BI413" s="49"/>
      <c r="BJ413" s="49"/>
      <c r="BK413" s="49"/>
      <c r="BL413" s="49"/>
      <c r="BM413" s="49"/>
      <c r="BN413" s="49"/>
      <c r="BO413" s="49"/>
      <c r="BP413" s="49"/>
      <c r="BQ413" s="49"/>
      <c r="BR413" s="49"/>
      <c r="BS413" s="49"/>
      <c r="BT413" s="49"/>
      <c r="BU413" s="49"/>
      <c r="BV413" s="49"/>
      <c r="BW413" s="49"/>
      <c r="BX413" s="49"/>
      <c r="BY413" s="49"/>
      <c r="BZ413" s="49"/>
      <c r="CA413" s="49"/>
    </row>
    <row r="414" spans="1:79">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110"/>
      <c r="AG414" s="111"/>
      <c r="AH414" s="49"/>
      <c r="AI414" s="49"/>
      <c r="AJ414" s="49"/>
      <c r="AK414" s="49"/>
      <c r="AL414" s="49"/>
      <c r="AM414" s="49"/>
      <c r="AN414" s="49"/>
      <c r="AO414" s="49"/>
      <c r="AP414" s="49"/>
      <c r="AQ414" s="49"/>
      <c r="AR414" s="49"/>
      <c r="AS414" s="49"/>
      <c r="AT414" s="49"/>
      <c r="AU414" s="49"/>
      <c r="AV414" s="49"/>
      <c r="AW414" s="49"/>
      <c r="AX414" s="49"/>
      <c r="AY414" s="49"/>
      <c r="AZ414" s="49"/>
      <c r="BA414" s="49"/>
      <c r="BB414" s="49"/>
      <c r="BC414" s="49"/>
      <c r="BD414" s="49"/>
      <c r="BE414" s="49"/>
      <c r="BF414" s="49"/>
      <c r="BG414" s="49"/>
      <c r="BH414" s="49"/>
      <c r="BI414" s="49"/>
      <c r="BJ414" s="49"/>
      <c r="BK414" s="49"/>
      <c r="BL414" s="49"/>
      <c r="BM414" s="49"/>
      <c r="BN414" s="49"/>
      <c r="BO414" s="49"/>
      <c r="BP414" s="49"/>
      <c r="BQ414" s="49"/>
      <c r="BR414" s="49"/>
      <c r="BS414" s="49"/>
      <c r="BT414" s="49"/>
      <c r="BU414" s="49"/>
      <c r="BV414" s="49"/>
      <c r="BW414" s="49"/>
      <c r="BX414" s="49"/>
      <c r="BY414" s="49"/>
      <c r="BZ414" s="49"/>
      <c r="CA414" s="49"/>
    </row>
    <row r="415" spans="1:79">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110"/>
      <c r="AG415" s="111"/>
      <c r="AH415" s="49"/>
      <c r="AI415" s="49"/>
      <c r="AJ415" s="49"/>
      <c r="AK415" s="49"/>
      <c r="AL415" s="49"/>
      <c r="AM415" s="49"/>
      <c r="AN415" s="49"/>
      <c r="AO415" s="49"/>
      <c r="AP415" s="49"/>
      <c r="AQ415" s="49"/>
      <c r="AR415" s="49"/>
      <c r="AS415" s="49"/>
      <c r="AT415" s="49"/>
      <c r="AU415" s="49"/>
      <c r="AV415" s="49"/>
      <c r="AW415" s="49"/>
      <c r="AX415" s="49"/>
      <c r="AY415" s="49"/>
      <c r="AZ415" s="49"/>
      <c r="BA415" s="49"/>
      <c r="BB415" s="49"/>
      <c r="BC415" s="49"/>
      <c r="BD415" s="49"/>
      <c r="BE415" s="49"/>
      <c r="BF415" s="49"/>
      <c r="BG415" s="49"/>
      <c r="BH415" s="49"/>
      <c r="BI415" s="49"/>
      <c r="BJ415" s="49"/>
      <c r="BK415" s="49"/>
      <c r="BL415" s="49"/>
      <c r="BM415" s="49"/>
      <c r="BN415" s="49"/>
      <c r="BO415" s="49"/>
      <c r="BP415" s="49"/>
      <c r="BQ415" s="49"/>
      <c r="BR415" s="49"/>
      <c r="BS415" s="49"/>
      <c r="BT415" s="49"/>
      <c r="BU415" s="49"/>
      <c r="BV415" s="49"/>
      <c r="BW415" s="49"/>
      <c r="BX415" s="49"/>
      <c r="BY415" s="49"/>
      <c r="BZ415" s="49"/>
      <c r="CA415" s="49"/>
    </row>
    <row r="416" spans="1:79">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110"/>
      <c r="AG416" s="111"/>
      <c r="AH416" s="49"/>
      <c r="AI416" s="49"/>
      <c r="AJ416" s="49"/>
      <c r="AK416" s="49"/>
      <c r="AL416" s="49"/>
      <c r="AM416" s="49"/>
      <c r="AN416" s="49"/>
      <c r="AO416" s="49"/>
      <c r="AP416" s="49"/>
      <c r="AQ416" s="49"/>
      <c r="AR416" s="49"/>
      <c r="AS416" s="49"/>
      <c r="AT416" s="49"/>
      <c r="AU416" s="49"/>
      <c r="AV416" s="49"/>
      <c r="AW416" s="49"/>
      <c r="AX416" s="49"/>
      <c r="AY416" s="49"/>
      <c r="AZ416" s="49"/>
      <c r="BA416" s="49"/>
      <c r="BB416" s="49"/>
      <c r="BC416" s="49"/>
      <c r="BD416" s="49"/>
      <c r="BE416" s="49"/>
      <c r="BF416" s="49"/>
      <c r="BG416" s="49"/>
      <c r="BH416" s="49"/>
      <c r="BI416" s="49"/>
      <c r="BJ416" s="49"/>
      <c r="BK416" s="49"/>
      <c r="BL416" s="49"/>
      <c r="BM416" s="49"/>
      <c r="BN416" s="49"/>
      <c r="BO416" s="49"/>
      <c r="BP416" s="49"/>
      <c r="BQ416" s="49"/>
      <c r="BR416" s="49"/>
      <c r="BS416" s="49"/>
      <c r="BT416" s="49"/>
      <c r="BU416" s="49"/>
      <c r="BV416" s="49"/>
      <c r="BW416" s="49"/>
      <c r="BX416" s="49"/>
      <c r="BY416" s="49"/>
      <c r="BZ416" s="49"/>
      <c r="CA416" s="49"/>
    </row>
    <row r="417" spans="1:79">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110"/>
      <c r="AG417" s="111"/>
      <c r="AH417" s="49"/>
      <c r="AI417" s="49"/>
      <c r="AJ417" s="49"/>
      <c r="AK417" s="49"/>
      <c r="AL417" s="49"/>
      <c r="AM417" s="49"/>
      <c r="AN417" s="49"/>
      <c r="AO417" s="49"/>
      <c r="AP417" s="49"/>
      <c r="AQ417" s="49"/>
      <c r="AR417" s="49"/>
      <c r="AS417" s="49"/>
      <c r="AT417" s="49"/>
      <c r="AU417" s="49"/>
      <c r="AV417" s="49"/>
      <c r="AW417" s="49"/>
      <c r="AX417" s="49"/>
      <c r="AY417" s="49"/>
      <c r="AZ417" s="49"/>
      <c r="BA417" s="49"/>
      <c r="BB417" s="49"/>
      <c r="BC417" s="49"/>
      <c r="BD417" s="49"/>
      <c r="BE417" s="49"/>
      <c r="BF417" s="49"/>
      <c r="BG417" s="49"/>
      <c r="BH417" s="49"/>
      <c r="BI417" s="49"/>
      <c r="BJ417" s="49"/>
      <c r="BK417" s="49"/>
      <c r="BL417" s="49"/>
      <c r="BM417" s="49"/>
      <c r="BN417" s="49"/>
      <c r="BO417" s="49"/>
      <c r="BP417" s="49"/>
      <c r="BQ417" s="49"/>
      <c r="BR417" s="49"/>
      <c r="BS417" s="49"/>
      <c r="BT417" s="49"/>
      <c r="BU417" s="49"/>
      <c r="BV417" s="49"/>
      <c r="BW417" s="49"/>
      <c r="BX417" s="49"/>
      <c r="BY417" s="49"/>
      <c r="BZ417" s="49"/>
      <c r="CA417" s="49"/>
    </row>
    <row r="418" spans="1:79">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110"/>
      <c r="AG418" s="111"/>
      <c r="AH418" s="49"/>
      <c r="AI418" s="49"/>
      <c r="AJ418" s="49"/>
      <c r="AK418" s="49"/>
      <c r="AL418" s="49"/>
      <c r="AM418" s="49"/>
      <c r="AN418" s="49"/>
      <c r="AO418" s="49"/>
      <c r="AP418" s="49"/>
      <c r="AQ418" s="49"/>
      <c r="AR418" s="49"/>
      <c r="AS418" s="49"/>
      <c r="AT418" s="49"/>
      <c r="AU418" s="49"/>
      <c r="AV418" s="49"/>
      <c r="AW418" s="49"/>
      <c r="AX418" s="49"/>
      <c r="AY418" s="49"/>
      <c r="AZ418" s="49"/>
      <c r="BA418" s="49"/>
      <c r="BB418" s="49"/>
      <c r="BC418" s="49"/>
      <c r="BD418" s="49"/>
      <c r="BE418" s="49"/>
      <c r="BF418" s="49"/>
      <c r="BG418" s="49"/>
      <c r="BH418" s="49"/>
      <c r="BI418" s="49"/>
      <c r="BJ418" s="49"/>
      <c r="BK418" s="49"/>
      <c r="BL418" s="49"/>
      <c r="BM418" s="49"/>
      <c r="BN418" s="49"/>
      <c r="BO418" s="49"/>
      <c r="BP418" s="49"/>
      <c r="BQ418" s="49"/>
      <c r="BR418" s="49"/>
      <c r="BS418" s="49"/>
      <c r="BT418" s="49"/>
      <c r="BU418" s="49"/>
      <c r="BV418" s="49"/>
      <c r="BW418" s="49"/>
      <c r="BX418" s="49"/>
      <c r="BY418" s="49"/>
      <c r="BZ418" s="49"/>
      <c r="CA418" s="49"/>
    </row>
    <row r="419" spans="1:79">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110"/>
      <c r="AG419" s="111"/>
      <c r="AH419" s="49"/>
      <c r="AI419" s="49"/>
      <c r="AJ419" s="49"/>
      <c r="AK419" s="49"/>
      <c r="AL419" s="49"/>
      <c r="AM419" s="49"/>
      <c r="AN419" s="49"/>
      <c r="AO419" s="49"/>
      <c r="AP419" s="49"/>
      <c r="AQ419" s="49"/>
      <c r="AR419" s="49"/>
      <c r="AS419" s="49"/>
      <c r="AT419" s="49"/>
      <c r="AU419" s="49"/>
      <c r="AV419" s="49"/>
      <c r="AW419" s="49"/>
      <c r="AX419" s="49"/>
      <c r="AY419" s="49"/>
      <c r="AZ419" s="49"/>
      <c r="BA419" s="49"/>
      <c r="BB419" s="49"/>
      <c r="BC419" s="49"/>
      <c r="BD419" s="49"/>
      <c r="BE419" s="49"/>
      <c r="BF419" s="49"/>
      <c r="BG419" s="49"/>
      <c r="BH419" s="49"/>
      <c r="BI419" s="49"/>
      <c r="BJ419" s="49"/>
      <c r="BK419" s="49"/>
      <c r="BL419" s="49"/>
      <c r="BM419" s="49"/>
      <c r="BN419" s="49"/>
      <c r="BO419" s="49"/>
      <c r="BP419" s="49"/>
      <c r="BQ419" s="49"/>
      <c r="BR419" s="49"/>
      <c r="BS419" s="49"/>
      <c r="BT419" s="49"/>
      <c r="BU419" s="49"/>
      <c r="BV419" s="49"/>
      <c r="BW419" s="49"/>
      <c r="BX419" s="49"/>
      <c r="BY419" s="49"/>
      <c r="BZ419" s="49"/>
      <c r="CA419" s="49"/>
    </row>
    <row r="420" spans="1:79">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110"/>
      <c r="AG420" s="111"/>
      <c r="AH420" s="49"/>
      <c r="AI420" s="49"/>
      <c r="AJ420" s="49"/>
      <c r="AK420" s="49"/>
      <c r="AL420" s="49"/>
      <c r="AM420" s="49"/>
      <c r="AN420" s="49"/>
      <c r="AO420" s="49"/>
      <c r="AP420" s="49"/>
      <c r="AQ420" s="49"/>
      <c r="AR420" s="49"/>
      <c r="AS420" s="49"/>
      <c r="AT420" s="49"/>
      <c r="AU420" s="49"/>
      <c r="AV420" s="49"/>
      <c r="AW420" s="49"/>
      <c r="AX420" s="49"/>
      <c r="AY420" s="49"/>
      <c r="AZ420" s="49"/>
      <c r="BA420" s="49"/>
      <c r="BB420" s="49"/>
      <c r="BC420" s="49"/>
      <c r="BD420" s="49"/>
      <c r="BE420" s="49"/>
      <c r="BF420" s="49"/>
      <c r="BG420" s="49"/>
      <c r="BH420" s="49"/>
      <c r="BI420" s="49"/>
      <c r="BJ420" s="49"/>
      <c r="BK420" s="49"/>
      <c r="BL420" s="49"/>
      <c r="BM420" s="49"/>
      <c r="BN420" s="49"/>
      <c r="BO420" s="49"/>
      <c r="BP420" s="49"/>
      <c r="BQ420" s="49"/>
      <c r="BR420" s="49"/>
      <c r="BS420" s="49"/>
      <c r="BT420" s="49"/>
      <c r="BU420" s="49"/>
      <c r="BV420" s="49"/>
      <c r="BW420" s="49"/>
      <c r="BX420" s="49"/>
      <c r="BY420" s="49"/>
      <c r="BZ420" s="49"/>
      <c r="CA420" s="49"/>
    </row>
    <row r="421" spans="1:79">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110"/>
      <c r="AG421" s="111"/>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row>
    <row r="422" spans="1:79">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110"/>
      <c r="AG422" s="111"/>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row>
    <row r="423" spans="1:79">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110"/>
      <c r="AG423" s="111"/>
      <c r="AH423" s="49"/>
      <c r="AI423" s="49"/>
      <c r="AJ423" s="49"/>
      <c r="AK423" s="49"/>
      <c r="AL423" s="49"/>
      <c r="AM423" s="49"/>
      <c r="AN423" s="49"/>
      <c r="AO423" s="49"/>
      <c r="AP423" s="49"/>
      <c r="AQ423" s="49"/>
      <c r="AR423" s="49"/>
      <c r="AS423" s="49"/>
      <c r="AT423" s="49"/>
      <c r="AU423" s="49"/>
      <c r="AV423" s="49"/>
      <c r="AW423" s="49"/>
      <c r="AX423" s="49"/>
      <c r="AY423" s="49"/>
      <c r="AZ423" s="49"/>
      <c r="BA423" s="49"/>
      <c r="BB423" s="49"/>
      <c r="BC423" s="49"/>
      <c r="BD423" s="49"/>
      <c r="BE423" s="49"/>
      <c r="BF423" s="49"/>
      <c r="BG423" s="49"/>
      <c r="BH423" s="49"/>
      <c r="BI423" s="49"/>
      <c r="BJ423" s="49"/>
      <c r="BK423" s="49"/>
      <c r="BL423" s="49"/>
      <c r="BM423" s="49"/>
      <c r="BN423" s="49"/>
      <c r="BO423" s="49"/>
      <c r="BP423" s="49"/>
      <c r="BQ423" s="49"/>
      <c r="BR423" s="49"/>
      <c r="BS423" s="49"/>
      <c r="BT423" s="49"/>
      <c r="BU423" s="49"/>
      <c r="BV423" s="49"/>
      <c r="BW423" s="49"/>
      <c r="BX423" s="49"/>
      <c r="BY423" s="49"/>
      <c r="BZ423" s="49"/>
      <c r="CA423" s="49"/>
    </row>
    <row r="424" spans="1:79">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110"/>
      <c r="AG424" s="111"/>
      <c r="AH424" s="49"/>
      <c r="AI424" s="49"/>
      <c r="AJ424" s="49"/>
      <c r="AK424" s="49"/>
      <c r="AL424" s="49"/>
      <c r="AM424" s="49"/>
      <c r="AN424" s="49"/>
      <c r="AO424" s="49"/>
      <c r="AP424" s="49"/>
      <c r="AQ424" s="49"/>
      <c r="AR424" s="49"/>
      <c r="AS424" s="49"/>
      <c r="AT424" s="49"/>
      <c r="AU424" s="49"/>
      <c r="AV424" s="49"/>
      <c r="AW424" s="49"/>
      <c r="AX424" s="49"/>
      <c r="AY424" s="49"/>
      <c r="AZ424" s="49"/>
      <c r="BA424" s="49"/>
      <c r="BB424" s="49"/>
      <c r="BC424" s="49"/>
      <c r="BD424" s="49"/>
      <c r="BE424" s="49"/>
      <c r="BF424" s="49"/>
      <c r="BG424" s="49"/>
      <c r="BH424" s="49"/>
      <c r="BI424" s="49"/>
      <c r="BJ424" s="49"/>
      <c r="BK424" s="49"/>
      <c r="BL424" s="49"/>
      <c r="BM424" s="49"/>
      <c r="BN424" s="49"/>
      <c r="BO424" s="49"/>
      <c r="BP424" s="49"/>
      <c r="BQ424" s="49"/>
      <c r="BR424" s="49"/>
      <c r="BS424" s="49"/>
      <c r="BT424" s="49"/>
      <c r="BU424" s="49"/>
      <c r="BV424" s="49"/>
      <c r="BW424" s="49"/>
      <c r="BX424" s="49"/>
      <c r="BY424" s="49"/>
      <c r="BZ424" s="49"/>
      <c r="CA424" s="49"/>
    </row>
    <row r="425" spans="1:79">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110"/>
      <c r="AG425" s="111"/>
      <c r="AH425" s="49"/>
      <c r="AI425" s="49"/>
      <c r="AJ425" s="49"/>
      <c r="AK425" s="49"/>
      <c r="AL425" s="49"/>
      <c r="AM425" s="49"/>
      <c r="AN425" s="49"/>
      <c r="AO425" s="49"/>
      <c r="AP425" s="49"/>
      <c r="AQ425" s="49"/>
      <c r="AR425" s="49"/>
      <c r="AS425" s="49"/>
      <c r="AT425" s="49"/>
      <c r="AU425" s="49"/>
      <c r="AV425" s="49"/>
      <c r="AW425" s="49"/>
      <c r="AX425" s="49"/>
      <c r="AY425" s="49"/>
      <c r="AZ425" s="49"/>
      <c r="BA425" s="49"/>
      <c r="BB425" s="49"/>
      <c r="BC425" s="49"/>
      <c r="BD425" s="49"/>
      <c r="BE425" s="49"/>
      <c r="BF425" s="49"/>
      <c r="BG425" s="49"/>
      <c r="BH425" s="49"/>
      <c r="BI425" s="49"/>
      <c r="BJ425" s="49"/>
      <c r="BK425" s="49"/>
      <c r="BL425" s="49"/>
      <c r="BM425" s="49"/>
      <c r="BN425" s="49"/>
      <c r="BO425" s="49"/>
      <c r="BP425" s="49"/>
      <c r="BQ425" s="49"/>
      <c r="BR425" s="49"/>
      <c r="BS425" s="49"/>
      <c r="BT425" s="49"/>
      <c r="BU425" s="49"/>
      <c r="BV425" s="49"/>
      <c r="BW425" s="49"/>
      <c r="BX425" s="49"/>
      <c r="BY425" s="49"/>
      <c r="BZ425" s="49"/>
      <c r="CA425" s="49"/>
    </row>
    <row r="426" spans="1:79">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110"/>
      <c r="AG426" s="111"/>
      <c r="AH426" s="49"/>
      <c r="AI426" s="49"/>
      <c r="AJ426" s="49"/>
      <c r="AK426" s="49"/>
      <c r="AL426" s="49"/>
      <c r="AM426" s="49"/>
      <c r="AN426" s="49"/>
      <c r="AO426" s="49"/>
      <c r="AP426" s="49"/>
      <c r="AQ426" s="49"/>
      <c r="AR426" s="49"/>
      <c r="AS426" s="49"/>
      <c r="AT426" s="49"/>
      <c r="AU426" s="49"/>
      <c r="AV426" s="49"/>
      <c r="AW426" s="49"/>
      <c r="AX426" s="49"/>
      <c r="AY426" s="49"/>
      <c r="AZ426" s="49"/>
      <c r="BA426" s="49"/>
      <c r="BB426" s="49"/>
      <c r="BC426" s="49"/>
      <c r="BD426" s="49"/>
      <c r="BE426" s="49"/>
      <c r="BF426" s="49"/>
      <c r="BG426" s="49"/>
      <c r="BH426" s="49"/>
      <c r="BI426" s="49"/>
      <c r="BJ426" s="49"/>
      <c r="BK426" s="49"/>
      <c r="BL426" s="49"/>
      <c r="BM426" s="49"/>
      <c r="BN426" s="49"/>
      <c r="BO426" s="49"/>
      <c r="BP426" s="49"/>
      <c r="BQ426" s="49"/>
      <c r="BR426" s="49"/>
      <c r="BS426" s="49"/>
      <c r="BT426" s="49"/>
      <c r="BU426" s="49"/>
      <c r="BV426" s="49"/>
      <c r="BW426" s="49"/>
      <c r="BX426" s="49"/>
      <c r="BY426" s="49"/>
      <c r="BZ426" s="49"/>
      <c r="CA426" s="49"/>
    </row>
    <row r="427" spans="1:79">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110"/>
      <c r="AG427" s="111"/>
      <c r="AH427" s="49"/>
      <c r="AI427" s="49"/>
      <c r="AJ427" s="49"/>
      <c r="AK427" s="49"/>
      <c r="AL427" s="49"/>
      <c r="AM427" s="49"/>
      <c r="AN427" s="49"/>
      <c r="AO427" s="49"/>
      <c r="AP427" s="49"/>
      <c r="AQ427" s="49"/>
      <c r="AR427" s="49"/>
      <c r="AS427" s="49"/>
      <c r="AT427" s="49"/>
      <c r="AU427" s="49"/>
      <c r="AV427" s="49"/>
      <c r="AW427" s="49"/>
      <c r="AX427" s="49"/>
      <c r="AY427" s="49"/>
      <c r="AZ427" s="49"/>
      <c r="BA427" s="49"/>
      <c r="BB427" s="49"/>
      <c r="BC427" s="49"/>
      <c r="BD427" s="49"/>
      <c r="BE427" s="49"/>
      <c r="BF427" s="49"/>
      <c r="BG427" s="49"/>
      <c r="BH427" s="49"/>
      <c r="BI427" s="49"/>
      <c r="BJ427" s="49"/>
      <c r="BK427" s="49"/>
      <c r="BL427" s="49"/>
      <c r="BM427" s="49"/>
      <c r="BN427" s="49"/>
      <c r="BO427" s="49"/>
      <c r="BP427" s="49"/>
      <c r="BQ427" s="49"/>
      <c r="BR427" s="49"/>
      <c r="BS427" s="49"/>
      <c r="BT427" s="49"/>
      <c r="BU427" s="49"/>
      <c r="BV427" s="49"/>
      <c r="BW427" s="49"/>
      <c r="BX427" s="49"/>
      <c r="BY427" s="49"/>
      <c r="BZ427" s="49"/>
      <c r="CA427" s="49"/>
    </row>
    <row r="428" spans="1:79">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111"/>
      <c r="AH428" s="49"/>
      <c r="AI428" s="49"/>
      <c r="AJ428" s="49"/>
      <c r="AK428" s="49"/>
      <c r="AL428" s="49"/>
      <c r="AM428" s="49"/>
      <c r="AN428" s="49"/>
      <c r="AO428" s="49"/>
      <c r="AP428" s="49"/>
      <c r="AQ428" s="49"/>
      <c r="AR428" s="49"/>
      <c r="AS428" s="49"/>
      <c r="AT428" s="49"/>
      <c r="AU428" s="49"/>
      <c r="AV428" s="49"/>
      <c r="AW428" s="49"/>
      <c r="AX428" s="49"/>
      <c r="AY428" s="49"/>
      <c r="AZ428" s="49"/>
      <c r="BA428" s="49"/>
      <c r="BB428" s="49"/>
      <c r="BC428" s="49"/>
      <c r="BD428" s="49"/>
      <c r="BE428" s="49"/>
      <c r="BF428" s="49"/>
      <c r="BG428" s="49"/>
      <c r="BH428" s="49"/>
      <c r="BI428" s="49"/>
      <c r="BJ428" s="49"/>
      <c r="BK428" s="49"/>
      <c r="BL428" s="49"/>
      <c r="BM428" s="49"/>
      <c r="BN428" s="49"/>
      <c r="BO428" s="49"/>
      <c r="BP428" s="49"/>
      <c r="BQ428" s="49"/>
      <c r="BR428" s="49"/>
      <c r="BS428" s="49"/>
      <c r="BT428" s="49"/>
      <c r="BU428" s="49"/>
      <c r="BV428" s="49"/>
      <c r="BW428" s="49"/>
      <c r="BX428" s="49"/>
      <c r="BY428" s="49"/>
      <c r="BZ428" s="49"/>
      <c r="CA428" s="49"/>
    </row>
    <row r="429" spans="1:79">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111"/>
      <c r="AH429" s="49"/>
      <c r="AI429" s="49"/>
      <c r="AJ429" s="49"/>
      <c r="AK429" s="49"/>
      <c r="AL429" s="49"/>
      <c r="AM429" s="49"/>
      <c r="AN429" s="49"/>
      <c r="AO429" s="49"/>
      <c r="AP429" s="49"/>
      <c r="AQ429" s="49"/>
      <c r="AR429" s="49"/>
      <c r="AS429" s="49"/>
      <c r="AT429" s="49"/>
      <c r="AU429" s="49"/>
      <c r="AV429" s="49"/>
      <c r="AW429" s="49"/>
      <c r="AX429" s="49"/>
      <c r="AY429" s="49"/>
      <c r="AZ429" s="49"/>
      <c r="BA429" s="49"/>
      <c r="BB429" s="49"/>
      <c r="BC429" s="49"/>
      <c r="BD429" s="49"/>
      <c r="BE429" s="49"/>
      <c r="BF429" s="49"/>
      <c r="BG429" s="49"/>
      <c r="BH429" s="49"/>
      <c r="BI429" s="49"/>
      <c r="BJ429" s="49"/>
      <c r="BK429" s="49"/>
      <c r="BL429" s="49"/>
      <c r="BM429" s="49"/>
      <c r="BN429" s="49"/>
      <c r="BO429" s="49"/>
      <c r="BP429" s="49"/>
      <c r="BQ429" s="49"/>
      <c r="BR429" s="49"/>
      <c r="BS429" s="49"/>
      <c r="BT429" s="49"/>
      <c r="BU429" s="49"/>
      <c r="BV429" s="49"/>
      <c r="BW429" s="49"/>
      <c r="BX429" s="49"/>
      <c r="BY429" s="49"/>
      <c r="BZ429" s="49"/>
      <c r="CA429" s="49"/>
    </row>
    <row r="430" spans="1:79">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111"/>
      <c r="AH430" s="49"/>
      <c r="AI430" s="49"/>
      <c r="AJ430" s="49"/>
      <c r="AK430" s="49"/>
      <c r="AL430" s="49"/>
      <c r="AM430" s="49"/>
      <c r="AN430" s="49"/>
      <c r="AO430" s="49"/>
      <c r="AP430" s="49"/>
      <c r="AQ430" s="49"/>
      <c r="AR430" s="49"/>
      <c r="AS430" s="49"/>
      <c r="AT430" s="49"/>
      <c r="AU430" s="49"/>
      <c r="AV430" s="49"/>
      <c r="AW430" s="49"/>
      <c r="AX430" s="49"/>
      <c r="AY430" s="49"/>
      <c r="AZ430" s="49"/>
      <c r="BA430" s="49"/>
      <c r="BB430" s="49"/>
      <c r="BC430" s="49"/>
      <c r="BD430" s="49"/>
      <c r="BE430" s="49"/>
      <c r="BF430" s="49"/>
      <c r="BG430" s="49"/>
      <c r="BH430" s="49"/>
      <c r="BI430" s="49"/>
      <c r="BJ430" s="49"/>
      <c r="BK430" s="49"/>
      <c r="BL430" s="49"/>
      <c r="BM430" s="49"/>
      <c r="BN430" s="49"/>
      <c r="BO430" s="49"/>
      <c r="BP430" s="49"/>
      <c r="BQ430" s="49"/>
      <c r="BR430" s="49"/>
      <c r="BS430" s="49"/>
      <c r="BT430" s="49"/>
      <c r="BU430" s="49"/>
      <c r="BV430" s="49"/>
      <c r="BW430" s="49"/>
      <c r="BX430" s="49"/>
      <c r="BY430" s="49"/>
      <c r="BZ430" s="49"/>
      <c r="CA430" s="49"/>
    </row>
    <row r="431" spans="1:79">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111"/>
      <c r="AH431" s="49"/>
      <c r="AI431" s="49"/>
      <c r="AJ431" s="49"/>
      <c r="AK431" s="49"/>
      <c r="AL431" s="49"/>
      <c r="AM431" s="49"/>
      <c r="AN431" s="49"/>
      <c r="AO431" s="49"/>
      <c r="AP431" s="49"/>
      <c r="AQ431" s="49"/>
      <c r="AR431" s="49"/>
      <c r="AS431" s="49"/>
      <c r="AT431" s="49"/>
      <c r="AU431" s="49"/>
      <c r="AV431" s="49"/>
      <c r="AW431" s="49"/>
      <c r="AX431" s="49"/>
      <c r="AY431" s="49"/>
      <c r="AZ431" s="49"/>
      <c r="BA431" s="49"/>
      <c r="BB431" s="49"/>
      <c r="BC431" s="49"/>
      <c r="BD431" s="49"/>
      <c r="BE431" s="49"/>
      <c r="BF431" s="49"/>
      <c r="BG431" s="49"/>
      <c r="BH431" s="49"/>
      <c r="BI431" s="49"/>
      <c r="BJ431" s="49"/>
      <c r="BK431" s="49"/>
      <c r="BL431" s="49"/>
      <c r="BM431" s="49"/>
      <c r="BN431" s="49"/>
      <c r="BO431" s="49"/>
      <c r="BP431" s="49"/>
      <c r="BQ431" s="49"/>
      <c r="BR431" s="49"/>
      <c r="BS431" s="49"/>
      <c r="BT431" s="49"/>
      <c r="BU431" s="49"/>
      <c r="BV431" s="49"/>
      <c r="BW431" s="49"/>
      <c r="BX431" s="49"/>
      <c r="BY431" s="49"/>
      <c r="BZ431" s="49"/>
      <c r="CA431" s="49"/>
    </row>
    <row r="432" spans="1:79">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111"/>
      <c r="AH432" s="49"/>
      <c r="AI432" s="49"/>
      <c r="AJ432" s="49"/>
      <c r="AK432" s="49"/>
      <c r="AL432" s="49"/>
      <c r="AM432" s="49"/>
      <c r="AN432" s="49"/>
      <c r="AO432" s="49"/>
      <c r="AP432" s="49"/>
      <c r="AQ432" s="49"/>
      <c r="AR432" s="49"/>
      <c r="AS432" s="49"/>
      <c r="AT432" s="49"/>
      <c r="AU432" s="49"/>
      <c r="AV432" s="49"/>
      <c r="AW432" s="49"/>
      <c r="AX432" s="49"/>
      <c r="AY432" s="49"/>
      <c r="AZ432" s="49"/>
      <c r="BA432" s="49"/>
      <c r="BB432" s="49"/>
      <c r="BC432" s="49"/>
      <c r="BD432" s="49"/>
      <c r="BE432" s="49"/>
      <c r="BF432" s="49"/>
      <c r="BG432" s="49"/>
      <c r="BH432" s="49"/>
      <c r="BI432" s="49"/>
      <c r="BJ432" s="49"/>
      <c r="BK432" s="49"/>
      <c r="BL432" s="49"/>
      <c r="BM432" s="49"/>
      <c r="BN432" s="49"/>
      <c r="BO432" s="49"/>
      <c r="BP432" s="49"/>
      <c r="BQ432" s="49"/>
      <c r="BR432" s="49"/>
      <c r="BS432" s="49"/>
      <c r="BT432" s="49"/>
      <c r="BU432" s="49"/>
      <c r="BV432" s="49"/>
      <c r="BW432" s="49"/>
      <c r="BX432" s="49"/>
      <c r="BY432" s="49"/>
      <c r="BZ432" s="49"/>
      <c r="CA432" s="49"/>
    </row>
    <row r="433" spans="1:79">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111"/>
      <c r="AH433" s="49"/>
      <c r="AI433" s="49"/>
      <c r="AJ433" s="49"/>
      <c r="AK433" s="49"/>
      <c r="AL433" s="49"/>
      <c r="AM433" s="49"/>
      <c r="AN433" s="49"/>
      <c r="AO433" s="49"/>
      <c r="AP433" s="49"/>
      <c r="AQ433" s="49"/>
      <c r="AR433" s="49"/>
      <c r="AS433" s="49"/>
      <c r="AT433" s="49"/>
      <c r="AU433" s="49"/>
      <c r="AV433" s="49"/>
      <c r="AW433" s="49"/>
      <c r="AX433" s="49"/>
      <c r="AY433" s="49"/>
      <c r="AZ433" s="49"/>
      <c r="BA433" s="49"/>
      <c r="BB433" s="49"/>
      <c r="BC433" s="49"/>
      <c r="BD433" s="49"/>
      <c r="BE433" s="49"/>
      <c r="BF433" s="49"/>
      <c r="BG433" s="49"/>
      <c r="BH433" s="49"/>
      <c r="BI433" s="49"/>
      <c r="BJ433" s="49"/>
      <c r="BK433" s="49"/>
      <c r="BL433" s="49"/>
      <c r="BM433" s="49"/>
      <c r="BN433" s="49"/>
      <c r="BO433" s="49"/>
      <c r="BP433" s="49"/>
      <c r="BQ433" s="49"/>
      <c r="BR433" s="49"/>
      <c r="BS433" s="49"/>
      <c r="BT433" s="49"/>
      <c r="BU433" s="49"/>
      <c r="BV433" s="49"/>
      <c r="BW433" s="49"/>
      <c r="BX433" s="49"/>
      <c r="BY433" s="49"/>
      <c r="BZ433" s="49"/>
      <c r="CA433" s="49"/>
    </row>
    <row r="434" spans="1:79">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111"/>
      <c r="AH434" s="49"/>
      <c r="AI434" s="49"/>
      <c r="AJ434" s="49"/>
      <c r="AK434" s="49"/>
      <c r="AL434" s="49"/>
      <c r="AM434" s="49"/>
      <c r="AN434" s="49"/>
      <c r="AO434" s="49"/>
      <c r="AP434" s="49"/>
      <c r="AQ434" s="49"/>
      <c r="AR434" s="49"/>
      <c r="AS434" s="49"/>
      <c r="AT434" s="49"/>
      <c r="AU434" s="49"/>
      <c r="AV434" s="49"/>
      <c r="AW434" s="49"/>
      <c r="AX434" s="49"/>
      <c r="AY434" s="49"/>
      <c r="AZ434" s="49"/>
      <c r="BA434" s="49"/>
      <c r="BB434" s="49"/>
      <c r="BC434" s="49"/>
      <c r="BD434" s="49"/>
      <c r="BE434" s="49"/>
      <c r="BF434" s="49"/>
      <c r="BG434" s="49"/>
      <c r="BH434" s="49"/>
      <c r="BI434" s="49"/>
      <c r="BJ434" s="49"/>
      <c r="BK434" s="49"/>
      <c r="BL434" s="49"/>
      <c r="BM434" s="49"/>
      <c r="BN434" s="49"/>
      <c r="BO434" s="49"/>
      <c r="BP434" s="49"/>
      <c r="BQ434" s="49"/>
      <c r="BR434" s="49"/>
      <c r="BS434" s="49"/>
      <c r="BT434" s="49"/>
      <c r="BU434" s="49"/>
      <c r="BV434" s="49"/>
      <c r="BW434" s="49"/>
      <c r="BX434" s="49"/>
      <c r="BY434" s="49"/>
      <c r="BZ434" s="49"/>
      <c r="CA434" s="49"/>
    </row>
    <row r="435" spans="1:79">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111"/>
      <c r="AH435" s="49"/>
      <c r="AI435" s="49"/>
      <c r="AJ435" s="49"/>
      <c r="AK435" s="49"/>
      <c r="AL435" s="49"/>
      <c r="AM435" s="49"/>
      <c r="AN435" s="49"/>
      <c r="AO435" s="49"/>
      <c r="AP435" s="49"/>
      <c r="AQ435" s="49"/>
      <c r="AR435" s="49"/>
      <c r="AS435" s="49"/>
      <c r="AT435" s="49"/>
      <c r="AU435" s="49"/>
      <c r="AV435" s="49"/>
      <c r="AW435" s="49"/>
      <c r="AX435" s="49"/>
      <c r="AY435" s="49"/>
      <c r="AZ435" s="49"/>
      <c r="BA435" s="49"/>
      <c r="BB435" s="49"/>
      <c r="BC435" s="49"/>
      <c r="BD435" s="49"/>
      <c r="BE435" s="49"/>
      <c r="BF435" s="49"/>
      <c r="BG435" s="49"/>
      <c r="BH435" s="49"/>
      <c r="BI435" s="49"/>
      <c r="BJ435" s="49"/>
      <c r="BK435" s="49"/>
      <c r="BL435" s="49"/>
      <c r="BM435" s="49"/>
      <c r="BN435" s="49"/>
      <c r="BO435" s="49"/>
      <c r="BP435" s="49"/>
      <c r="BQ435" s="49"/>
      <c r="BR435" s="49"/>
      <c r="BS435" s="49"/>
      <c r="BT435" s="49"/>
      <c r="BU435" s="49"/>
      <c r="BV435" s="49"/>
      <c r="BW435" s="49"/>
      <c r="BX435" s="49"/>
      <c r="BY435" s="49"/>
      <c r="BZ435" s="49"/>
      <c r="CA435" s="49"/>
    </row>
    <row r="436" spans="1:79">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111"/>
      <c r="AH436" s="49"/>
      <c r="AI436" s="49"/>
      <c r="AJ436" s="49"/>
      <c r="AK436" s="49"/>
      <c r="AL436" s="49"/>
      <c r="AM436" s="49"/>
      <c r="AN436" s="49"/>
      <c r="AO436" s="49"/>
      <c r="AP436" s="49"/>
      <c r="AQ436" s="49"/>
      <c r="AR436" s="49"/>
      <c r="AS436" s="49"/>
      <c r="AT436" s="49"/>
      <c r="AU436" s="49"/>
      <c r="AV436" s="49"/>
      <c r="AW436" s="49"/>
      <c r="AX436" s="49"/>
      <c r="AY436" s="49"/>
      <c r="AZ436" s="49"/>
      <c r="BA436" s="49"/>
      <c r="BB436" s="49"/>
      <c r="BC436" s="49"/>
      <c r="BD436" s="49"/>
      <c r="BE436" s="49"/>
      <c r="BF436" s="49"/>
      <c r="BG436" s="49"/>
      <c r="BH436" s="49"/>
      <c r="BI436" s="49"/>
      <c r="BJ436" s="49"/>
      <c r="BK436" s="49"/>
      <c r="BL436" s="49"/>
      <c r="BM436" s="49"/>
      <c r="BN436" s="49"/>
      <c r="BO436" s="49"/>
      <c r="BP436" s="49"/>
      <c r="BQ436" s="49"/>
      <c r="BR436" s="49"/>
      <c r="BS436" s="49"/>
      <c r="BT436" s="49"/>
      <c r="BU436" s="49"/>
      <c r="BV436" s="49"/>
      <c r="BW436" s="49"/>
      <c r="BX436" s="49"/>
      <c r="BY436" s="49"/>
      <c r="BZ436" s="49"/>
      <c r="CA436" s="49"/>
    </row>
    <row r="437" spans="1:79">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111"/>
      <c r="AH437" s="49"/>
      <c r="AI437" s="49"/>
      <c r="AJ437" s="49"/>
      <c r="AK437" s="49"/>
      <c r="AL437" s="49"/>
      <c r="AM437" s="49"/>
      <c r="AN437" s="49"/>
      <c r="AO437" s="49"/>
      <c r="AP437" s="49"/>
      <c r="AQ437" s="49"/>
      <c r="AR437" s="49"/>
      <c r="AS437" s="49"/>
      <c r="AT437" s="49"/>
      <c r="AU437" s="49"/>
      <c r="AV437" s="49"/>
      <c r="AW437" s="49"/>
      <c r="AX437" s="49"/>
      <c r="AY437" s="49"/>
      <c r="AZ437" s="49"/>
      <c r="BA437" s="49"/>
      <c r="BB437" s="49"/>
      <c r="BC437" s="49"/>
      <c r="BD437" s="49"/>
      <c r="BE437" s="49"/>
      <c r="BF437" s="49"/>
      <c r="BG437" s="49"/>
      <c r="BH437" s="49"/>
      <c r="BI437" s="49"/>
      <c r="BJ437" s="49"/>
      <c r="BK437" s="49"/>
      <c r="BL437" s="49"/>
      <c r="BM437" s="49"/>
      <c r="BN437" s="49"/>
      <c r="BO437" s="49"/>
      <c r="BP437" s="49"/>
      <c r="BQ437" s="49"/>
      <c r="BR437" s="49"/>
      <c r="BS437" s="49"/>
      <c r="BT437" s="49"/>
      <c r="BU437" s="49"/>
      <c r="BV437" s="49"/>
      <c r="BW437" s="49"/>
      <c r="BX437" s="49"/>
      <c r="BY437" s="49"/>
      <c r="BZ437" s="49"/>
      <c r="CA437" s="49"/>
    </row>
    <row r="438" spans="1:79">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111"/>
      <c r="AH438" s="49"/>
      <c r="AI438" s="49"/>
      <c r="AJ438" s="49"/>
      <c r="AK438" s="49"/>
      <c r="AL438" s="49"/>
      <c r="AM438" s="49"/>
      <c r="AN438" s="49"/>
      <c r="AO438" s="49"/>
      <c r="AP438" s="49"/>
      <c r="AQ438" s="49"/>
      <c r="AR438" s="49"/>
      <c r="AS438" s="49"/>
      <c r="AT438" s="49"/>
      <c r="AU438" s="49"/>
      <c r="AV438" s="49"/>
      <c r="AW438" s="49"/>
      <c r="AX438" s="49"/>
      <c r="AY438" s="49"/>
      <c r="AZ438" s="49"/>
      <c r="BA438" s="49"/>
      <c r="BB438" s="49"/>
      <c r="BC438" s="49"/>
      <c r="BD438" s="49"/>
      <c r="BE438" s="49"/>
      <c r="BF438" s="49"/>
      <c r="BG438" s="49"/>
      <c r="BH438" s="49"/>
      <c r="BI438" s="49"/>
      <c r="BJ438" s="49"/>
      <c r="BK438" s="49"/>
      <c r="BL438" s="49"/>
      <c r="BM438" s="49"/>
      <c r="BN438" s="49"/>
      <c r="BO438" s="49"/>
      <c r="BP438" s="49"/>
      <c r="BQ438" s="49"/>
      <c r="BR438" s="49"/>
      <c r="BS438" s="49"/>
      <c r="BT438" s="49"/>
      <c r="BU438" s="49"/>
      <c r="BV438" s="49"/>
      <c r="BW438" s="49"/>
      <c r="BX438" s="49"/>
      <c r="BY438" s="49"/>
      <c r="BZ438" s="49"/>
      <c r="CA438" s="49"/>
    </row>
    <row r="439" spans="1:79">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111"/>
      <c r="AH439" s="49"/>
      <c r="AI439" s="49"/>
      <c r="AJ439" s="49"/>
      <c r="AK439" s="49"/>
      <c r="AL439" s="49"/>
      <c r="AM439" s="49"/>
      <c r="AN439" s="49"/>
      <c r="AO439" s="49"/>
      <c r="AP439" s="49"/>
      <c r="AQ439" s="49"/>
      <c r="AR439" s="49"/>
      <c r="AS439" s="49"/>
      <c r="AT439" s="49"/>
      <c r="AU439" s="49"/>
      <c r="AV439" s="49"/>
      <c r="AW439" s="49"/>
      <c r="AX439" s="49"/>
      <c r="AY439" s="49"/>
      <c r="AZ439" s="49"/>
      <c r="BA439" s="49"/>
      <c r="BB439" s="49"/>
      <c r="BC439" s="49"/>
      <c r="BD439" s="49"/>
      <c r="BE439" s="49"/>
      <c r="BF439" s="49"/>
      <c r="BG439" s="49"/>
      <c r="BH439" s="49"/>
      <c r="BI439" s="49"/>
      <c r="BJ439" s="49"/>
      <c r="BK439" s="49"/>
      <c r="BL439" s="49"/>
      <c r="BM439" s="49"/>
      <c r="BN439" s="49"/>
      <c r="BO439" s="49"/>
      <c r="BP439" s="49"/>
      <c r="BQ439" s="49"/>
      <c r="BR439" s="49"/>
      <c r="BS439" s="49"/>
      <c r="BT439" s="49"/>
      <c r="BU439" s="49"/>
      <c r="BV439" s="49"/>
      <c r="BW439" s="49"/>
      <c r="BX439" s="49"/>
      <c r="BY439" s="49"/>
      <c r="BZ439" s="49"/>
      <c r="CA439" s="49"/>
    </row>
    <row r="440" spans="1:79">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111"/>
      <c r="AH440" s="49"/>
      <c r="AI440" s="49"/>
      <c r="AJ440" s="49"/>
      <c r="AK440" s="49"/>
      <c r="AL440" s="49"/>
      <c r="AM440" s="49"/>
      <c r="AN440" s="49"/>
      <c r="AO440" s="49"/>
      <c r="AP440" s="49"/>
      <c r="AQ440" s="49"/>
      <c r="AR440" s="49"/>
      <c r="AS440" s="49"/>
      <c r="AT440" s="49"/>
      <c r="AU440" s="49"/>
      <c r="AV440" s="49"/>
      <c r="AW440" s="49"/>
      <c r="AX440" s="49"/>
      <c r="AY440" s="49"/>
      <c r="AZ440" s="49"/>
      <c r="BA440" s="49"/>
      <c r="BB440" s="49"/>
      <c r="BC440" s="49"/>
      <c r="BD440" s="49"/>
      <c r="BE440" s="49"/>
      <c r="BF440" s="49"/>
      <c r="BG440" s="49"/>
      <c r="BH440" s="49"/>
      <c r="BI440" s="49"/>
      <c r="BJ440" s="49"/>
      <c r="BK440" s="49"/>
      <c r="BL440" s="49"/>
      <c r="BM440" s="49"/>
      <c r="BN440" s="49"/>
      <c r="BO440" s="49"/>
      <c r="BP440" s="49"/>
      <c r="BQ440" s="49"/>
      <c r="BR440" s="49"/>
      <c r="BS440" s="49"/>
      <c r="BT440" s="49"/>
      <c r="BU440" s="49"/>
      <c r="BV440" s="49"/>
      <c r="BW440" s="49"/>
      <c r="BX440" s="49"/>
      <c r="BY440" s="49"/>
      <c r="BZ440" s="49"/>
      <c r="CA440" s="49"/>
    </row>
    <row r="441" spans="1:79">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111"/>
      <c r="AH441" s="49"/>
      <c r="AI441" s="49"/>
      <c r="AJ441" s="49"/>
      <c r="AK441" s="49"/>
      <c r="AL441" s="49"/>
      <c r="AM441" s="49"/>
      <c r="AN441" s="49"/>
      <c r="AO441" s="49"/>
      <c r="AP441" s="49"/>
      <c r="AQ441" s="49"/>
      <c r="AR441" s="49"/>
      <c r="AS441" s="49"/>
      <c r="AT441" s="49"/>
      <c r="AU441" s="49"/>
      <c r="AV441" s="49"/>
      <c r="AW441" s="49"/>
      <c r="AX441" s="49"/>
      <c r="AY441" s="49"/>
      <c r="AZ441" s="49"/>
      <c r="BA441" s="49"/>
      <c r="BB441" s="49"/>
      <c r="BC441" s="49"/>
      <c r="BD441" s="49"/>
      <c r="BE441" s="49"/>
      <c r="BF441" s="49"/>
      <c r="BG441" s="49"/>
      <c r="BH441" s="49"/>
      <c r="BI441" s="49"/>
      <c r="BJ441" s="49"/>
      <c r="BK441" s="49"/>
      <c r="BL441" s="49"/>
      <c r="BM441" s="49"/>
      <c r="BN441" s="49"/>
      <c r="BO441" s="49"/>
      <c r="BP441" s="49"/>
      <c r="BQ441" s="49"/>
      <c r="BR441" s="49"/>
      <c r="BS441" s="49"/>
      <c r="BT441" s="49"/>
      <c r="BU441" s="49"/>
      <c r="BV441" s="49"/>
      <c r="BW441" s="49"/>
      <c r="BX441" s="49"/>
      <c r="BY441" s="49"/>
      <c r="BZ441" s="49"/>
      <c r="CA441" s="49"/>
    </row>
    <row r="442" spans="1:79">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111"/>
      <c r="AH442" s="49"/>
      <c r="AI442" s="49"/>
      <c r="AJ442" s="49"/>
      <c r="AK442" s="49"/>
      <c r="AL442" s="49"/>
      <c r="AM442" s="49"/>
      <c r="AN442" s="49"/>
      <c r="AO442" s="49"/>
      <c r="AP442" s="49"/>
      <c r="AQ442" s="49"/>
      <c r="AR442" s="49"/>
      <c r="AS442" s="49"/>
      <c r="AT442" s="49"/>
      <c r="AU442" s="49"/>
      <c r="AV442" s="49"/>
      <c r="AW442" s="49"/>
      <c r="AX442" s="49"/>
      <c r="AY442" s="49"/>
      <c r="AZ442" s="49"/>
      <c r="BA442" s="49"/>
      <c r="BB442" s="49"/>
      <c r="BC442" s="49"/>
      <c r="BD442" s="49"/>
      <c r="BE442" s="49"/>
      <c r="BF442" s="49"/>
      <c r="BG442" s="49"/>
      <c r="BH442" s="49"/>
      <c r="BI442" s="49"/>
      <c r="BJ442" s="49"/>
      <c r="BK442" s="49"/>
      <c r="BL442" s="49"/>
      <c r="BM442" s="49"/>
      <c r="BN442" s="49"/>
      <c r="BO442" s="49"/>
      <c r="BP442" s="49"/>
      <c r="BQ442" s="49"/>
      <c r="BR442" s="49"/>
      <c r="BS442" s="49"/>
      <c r="BT442" s="49"/>
      <c r="BU442" s="49"/>
      <c r="BV442" s="49"/>
      <c r="BW442" s="49"/>
      <c r="BX442" s="49"/>
      <c r="BY442" s="49"/>
      <c r="BZ442" s="49"/>
      <c r="CA442" s="49"/>
    </row>
    <row r="443" spans="1:79">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111"/>
      <c r="AH443" s="49"/>
      <c r="AI443" s="49"/>
      <c r="AJ443" s="49"/>
      <c r="AK443" s="49"/>
      <c r="AL443" s="49"/>
      <c r="AM443" s="49"/>
      <c r="AN443" s="49"/>
      <c r="AO443" s="49"/>
      <c r="AP443" s="49"/>
      <c r="AQ443" s="49"/>
      <c r="AR443" s="49"/>
      <c r="AS443" s="49"/>
      <c r="AT443" s="49"/>
      <c r="AU443" s="49"/>
      <c r="AV443" s="49"/>
      <c r="AW443" s="49"/>
      <c r="AX443" s="49"/>
      <c r="AY443" s="49"/>
      <c r="AZ443" s="49"/>
      <c r="BA443" s="49"/>
      <c r="BB443" s="49"/>
      <c r="BC443" s="49"/>
      <c r="BD443" s="49"/>
      <c r="BE443" s="49"/>
      <c r="BF443" s="49"/>
      <c r="BG443" s="49"/>
      <c r="BH443" s="49"/>
      <c r="BI443" s="49"/>
      <c r="BJ443" s="49"/>
      <c r="BK443" s="49"/>
      <c r="BL443" s="49"/>
      <c r="BM443" s="49"/>
      <c r="BN443" s="49"/>
      <c r="BO443" s="49"/>
      <c r="BP443" s="49"/>
      <c r="BQ443" s="49"/>
      <c r="BR443" s="49"/>
      <c r="BS443" s="49"/>
      <c r="BT443" s="49"/>
      <c r="BU443" s="49"/>
      <c r="BV443" s="49"/>
      <c r="BW443" s="49"/>
      <c r="BX443" s="49"/>
      <c r="BY443" s="49"/>
      <c r="BZ443" s="49"/>
      <c r="CA443" s="49"/>
    </row>
    <row r="444" spans="1:79">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111"/>
      <c r="AH444" s="49"/>
      <c r="AI444" s="49"/>
      <c r="AJ444" s="49"/>
      <c r="AK444" s="49"/>
      <c r="AL444" s="49"/>
      <c r="AM444" s="49"/>
      <c r="AN444" s="49"/>
      <c r="AO444" s="49"/>
      <c r="AP444" s="49"/>
      <c r="AQ444" s="49"/>
      <c r="AR444" s="49"/>
      <c r="AS444" s="49"/>
      <c r="AT444" s="49"/>
      <c r="AU444" s="49"/>
      <c r="AV444" s="49"/>
      <c r="AW444" s="49"/>
      <c r="AX444" s="49"/>
      <c r="AY444" s="49"/>
      <c r="AZ444" s="49"/>
      <c r="BA444" s="49"/>
      <c r="BB444" s="49"/>
      <c r="BC444" s="49"/>
      <c r="BD444" s="49"/>
      <c r="BE444" s="49"/>
      <c r="BF444" s="49"/>
      <c r="BG444" s="49"/>
      <c r="BH444" s="49"/>
      <c r="BI444" s="49"/>
      <c r="BJ444" s="49"/>
      <c r="BK444" s="49"/>
      <c r="BL444" s="49"/>
      <c r="BM444" s="49"/>
      <c r="BN444" s="49"/>
      <c r="BO444" s="49"/>
      <c r="BP444" s="49"/>
      <c r="BQ444" s="49"/>
      <c r="BR444" s="49"/>
      <c r="BS444" s="49"/>
      <c r="BT444" s="49"/>
      <c r="BU444" s="49"/>
      <c r="BV444" s="49"/>
      <c r="BW444" s="49"/>
      <c r="BX444" s="49"/>
      <c r="BY444" s="49"/>
      <c r="BZ444" s="49"/>
      <c r="CA444" s="49"/>
    </row>
    <row r="445" spans="1:79">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111"/>
      <c r="AH445" s="49"/>
      <c r="AI445" s="49"/>
      <c r="AJ445" s="49"/>
      <c r="AK445" s="49"/>
      <c r="AL445" s="49"/>
      <c r="AM445" s="49"/>
      <c r="AN445" s="49"/>
      <c r="AO445" s="49"/>
      <c r="AP445" s="49"/>
      <c r="AQ445" s="49"/>
      <c r="AR445" s="49"/>
      <c r="AS445" s="49"/>
      <c r="AT445" s="49"/>
      <c r="AU445" s="49"/>
      <c r="AV445" s="49"/>
      <c r="AW445" s="49"/>
      <c r="AX445" s="49"/>
      <c r="AY445" s="49"/>
      <c r="AZ445" s="49"/>
      <c r="BA445" s="49"/>
      <c r="BB445" s="49"/>
      <c r="BC445" s="49"/>
      <c r="BD445" s="49"/>
      <c r="BE445" s="49"/>
      <c r="BF445" s="49"/>
      <c r="BG445" s="49"/>
      <c r="BH445" s="49"/>
      <c r="BI445" s="49"/>
      <c r="BJ445" s="49"/>
      <c r="BK445" s="49"/>
      <c r="BL445" s="49"/>
      <c r="BM445" s="49"/>
      <c r="BN445" s="49"/>
      <c r="BO445" s="49"/>
      <c r="BP445" s="49"/>
      <c r="BQ445" s="49"/>
      <c r="BR445" s="49"/>
      <c r="BS445" s="49"/>
      <c r="BT445" s="49"/>
      <c r="BU445" s="49"/>
      <c r="BV445" s="49"/>
      <c r="BW445" s="49"/>
      <c r="BX445" s="49"/>
      <c r="BY445" s="49"/>
      <c r="BZ445" s="49"/>
      <c r="CA445" s="49"/>
    </row>
    <row r="446" spans="1:79">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111"/>
      <c r="AH446" s="49"/>
      <c r="AI446" s="49"/>
      <c r="AJ446" s="49"/>
      <c r="AK446" s="49"/>
      <c r="AL446" s="49"/>
      <c r="AM446" s="49"/>
      <c r="AN446" s="49"/>
      <c r="AO446" s="49"/>
      <c r="AP446" s="49"/>
      <c r="AQ446" s="49"/>
      <c r="AR446" s="49"/>
      <c r="AS446" s="49"/>
      <c r="AT446" s="49"/>
      <c r="AU446" s="49"/>
      <c r="AV446" s="49"/>
      <c r="AW446" s="49"/>
      <c r="AX446" s="49"/>
      <c r="AY446" s="49"/>
      <c r="AZ446" s="49"/>
      <c r="BA446" s="49"/>
      <c r="BB446" s="49"/>
      <c r="BC446" s="49"/>
      <c r="BD446" s="49"/>
      <c r="BE446" s="49"/>
      <c r="BF446" s="49"/>
      <c r="BG446" s="49"/>
      <c r="BH446" s="49"/>
      <c r="BI446" s="49"/>
      <c r="BJ446" s="49"/>
      <c r="BK446" s="49"/>
      <c r="BL446" s="49"/>
      <c r="BM446" s="49"/>
      <c r="BN446" s="49"/>
      <c r="BO446" s="49"/>
      <c r="BP446" s="49"/>
      <c r="BQ446" s="49"/>
      <c r="BR446" s="49"/>
      <c r="BS446" s="49"/>
      <c r="BT446" s="49"/>
      <c r="BU446" s="49"/>
      <c r="BV446" s="49"/>
      <c r="BW446" s="49"/>
      <c r="BX446" s="49"/>
      <c r="BY446" s="49"/>
      <c r="BZ446" s="49"/>
      <c r="CA446" s="49"/>
    </row>
    <row r="447" spans="1:79">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111"/>
      <c r="AH447" s="49"/>
      <c r="AI447" s="49"/>
      <c r="AJ447" s="49"/>
      <c r="AK447" s="49"/>
      <c r="AL447" s="49"/>
      <c r="AM447" s="49"/>
      <c r="AN447" s="49"/>
      <c r="AO447" s="49"/>
      <c r="AP447" s="49"/>
      <c r="AQ447" s="49"/>
      <c r="AR447" s="49"/>
      <c r="AS447" s="49"/>
      <c r="AT447" s="49"/>
      <c r="AU447" s="49"/>
      <c r="AV447" s="49"/>
      <c r="AW447" s="49"/>
      <c r="AX447" s="49"/>
      <c r="AY447" s="49"/>
      <c r="AZ447" s="49"/>
      <c r="BA447" s="49"/>
      <c r="BB447" s="49"/>
      <c r="BC447" s="49"/>
      <c r="BD447" s="49"/>
      <c r="BE447" s="49"/>
      <c r="BF447" s="49"/>
      <c r="BG447" s="49"/>
      <c r="BH447" s="49"/>
      <c r="BI447" s="49"/>
      <c r="BJ447" s="49"/>
      <c r="BK447" s="49"/>
      <c r="BL447" s="49"/>
      <c r="BM447" s="49"/>
      <c r="BN447" s="49"/>
      <c r="BO447" s="49"/>
      <c r="BP447" s="49"/>
      <c r="BQ447" s="49"/>
      <c r="BR447" s="49"/>
      <c r="BS447" s="49"/>
      <c r="BT447" s="49"/>
      <c r="BU447" s="49"/>
      <c r="BV447" s="49"/>
      <c r="BW447" s="49"/>
      <c r="BX447" s="49"/>
      <c r="BY447" s="49"/>
      <c r="BZ447" s="49"/>
      <c r="CA447" s="49"/>
    </row>
    <row r="448" spans="1:79">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111"/>
      <c r="AH448" s="49"/>
      <c r="AI448" s="49"/>
      <c r="AJ448" s="49"/>
      <c r="AK448" s="49"/>
      <c r="AL448" s="49"/>
      <c r="AM448" s="49"/>
      <c r="AN448" s="49"/>
      <c r="AO448" s="49"/>
      <c r="AP448" s="49"/>
      <c r="AQ448" s="49"/>
      <c r="AR448" s="49"/>
      <c r="AS448" s="49"/>
      <c r="AT448" s="49"/>
      <c r="AU448" s="49"/>
      <c r="AV448" s="49"/>
      <c r="AW448" s="49"/>
      <c r="AX448" s="49"/>
      <c r="AY448" s="49"/>
      <c r="AZ448" s="49"/>
      <c r="BA448" s="49"/>
      <c r="BB448" s="49"/>
      <c r="BC448" s="49"/>
      <c r="BD448" s="49"/>
      <c r="BE448" s="49"/>
      <c r="BF448" s="49"/>
      <c r="BG448" s="49"/>
      <c r="BH448" s="49"/>
      <c r="BI448" s="49"/>
      <c r="BJ448" s="49"/>
      <c r="BK448" s="49"/>
      <c r="BL448" s="49"/>
      <c r="BM448" s="49"/>
      <c r="BN448" s="49"/>
      <c r="BO448" s="49"/>
      <c r="BP448" s="49"/>
      <c r="BQ448" s="49"/>
      <c r="BR448" s="49"/>
      <c r="BS448" s="49"/>
      <c r="BT448" s="49"/>
      <c r="BU448" s="49"/>
      <c r="BV448" s="49"/>
      <c r="BW448" s="49"/>
      <c r="BX448" s="49"/>
      <c r="BY448" s="49"/>
      <c r="BZ448" s="49"/>
      <c r="CA448" s="49"/>
    </row>
    <row r="449" spans="1:79">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111"/>
      <c r="AH449" s="49"/>
      <c r="AI449" s="49"/>
      <c r="AJ449" s="49"/>
      <c r="AK449" s="49"/>
      <c r="AL449" s="49"/>
      <c r="AM449" s="49"/>
      <c r="AN449" s="49"/>
      <c r="AO449" s="49"/>
      <c r="AP449" s="49"/>
      <c r="AQ449" s="49"/>
      <c r="AR449" s="49"/>
      <c r="AS449" s="49"/>
      <c r="AT449" s="49"/>
      <c r="AU449" s="49"/>
      <c r="AV449" s="49"/>
      <c r="AW449" s="49"/>
      <c r="AX449" s="49"/>
      <c r="AY449" s="49"/>
      <c r="AZ449" s="49"/>
      <c r="BA449" s="49"/>
      <c r="BB449" s="49"/>
      <c r="BC449" s="49"/>
      <c r="BD449" s="49"/>
      <c r="BE449" s="49"/>
      <c r="BF449" s="49"/>
      <c r="BG449" s="49"/>
      <c r="BH449" s="49"/>
      <c r="BI449" s="49"/>
      <c r="BJ449" s="49"/>
      <c r="BK449" s="49"/>
      <c r="BL449" s="49"/>
      <c r="BM449" s="49"/>
      <c r="BN449" s="49"/>
      <c r="BO449" s="49"/>
      <c r="BP449" s="49"/>
      <c r="BQ449" s="49"/>
      <c r="BR449" s="49"/>
      <c r="BS449" s="49"/>
      <c r="BT449" s="49"/>
      <c r="BU449" s="49"/>
      <c r="BV449" s="49"/>
      <c r="BW449" s="49"/>
      <c r="BX449" s="49"/>
      <c r="BY449" s="49"/>
      <c r="BZ449" s="49"/>
      <c r="CA449" s="49"/>
    </row>
    <row r="450" spans="1:79">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111"/>
      <c r="AH450" s="49"/>
      <c r="AI450" s="49"/>
      <c r="AJ450" s="49"/>
      <c r="AK450" s="49"/>
      <c r="AL450" s="49"/>
      <c r="AM450" s="49"/>
      <c r="AN450" s="49"/>
      <c r="AO450" s="49"/>
      <c r="AP450" s="49"/>
      <c r="AQ450" s="49"/>
      <c r="AR450" s="49"/>
      <c r="AS450" s="49"/>
      <c r="AT450" s="49"/>
      <c r="AU450" s="49"/>
      <c r="AV450" s="49"/>
      <c r="AW450" s="49"/>
      <c r="AX450" s="49"/>
      <c r="AY450" s="49"/>
      <c r="AZ450" s="49"/>
      <c r="BA450" s="49"/>
      <c r="BB450" s="49"/>
      <c r="BC450" s="49"/>
      <c r="BD450" s="49"/>
      <c r="BE450" s="49"/>
      <c r="BF450" s="49"/>
      <c r="BG450" s="49"/>
      <c r="BH450" s="49"/>
      <c r="BI450" s="49"/>
      <c r="BJ450" s="49"/>
      <c r="BK450" s="49"/>
      <c r="BL450" s="49"/>
      <c r="BM450" s="49"/>
      <c r="BN450" s="49"/>
      <c r="BO450" s="49"/>
      <c r="BP450" s="49"/>
      <c r="BQ450" s="49"/>
      <c r="BR450" s="49"/>
      <c r="BS450" s="49"/>
      <c r="BT450" s="49"/>
      <c r="BU450" s="49"/>
      <c r="BV450" s="49"/>
      <c r="BW450" s="49"/>
      <c r="BX450" s="49"/>
      <c r="BY450" s="49"/>
      <c r="BZ450" s="49"/>
      <c r="CA450" s="49"/>
    </row>
    <row r="451" spans="1:79">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111"/>
      <c r="AH451" s="49"/>
      <c r="AI451" s="49"/>
      <c r="AJ451" s="49"/>
      <c r="AK451" s="49"/>
      <c r="AL451" s="49"/>
      <c r="AM451" s="49"/>
      <c r="AN451" s="49"/>
      <c r="AO451" s="49"/>
      <c r="AP451" s="49"/>
      <c r="AQ451" s="49"/>
      <c r="AR451" s="49"/>
      <c r="AS451" s="49"/>
      <c r="AT451" s="49"/>
      <c r="AU451" s="49"/>
      <c r="AV451" s="49"/>
      <c r="AW451" s="49"/>
      <c r="AX451" s="49"/>
      <c r="AY451" s="49"/>
      <c r="AZ451" s="49"/>
      <c r="BA451" s="49"/>
      <c r="BB451" s="49"/>
      <c r="BC451" s="49"/>
      <c r="BD451" s="49"/>
      <c r="BE451" s="49"/>
      <c r="BF451" s="49"/>
      <c r="BG451" s="49"/>
      <c r="BH451" s="49"/>
      <c r="BI451" s="49"/>
      <c r="BJ451" s="49"/>
      <c r="BK451" s="49"/>
      <c r="BL451" s="49"/>
      <c r="BM451" s="49"/>
      <c r="BN451" s="49"/>
      <c r="BO451" s="49"/>
      <c r="BP451" s="49"/>
      <c r="BQ451" s="49"/>
      <c r="BR451" s="49"/>
      <c r="BS451" s="49"/>
      <c r="BT451" s="49"/>
      <c r="BU451" s="49"/>
      <c r="BV451" s="49"/>
      <c r="BW451" s="49"/>
      <c r="BX451" s="49"/>
      <c r="BY451" s="49"/>
      <c r="BZ451" s="49"/>
      <c r="CA451" s="49"/>
    </row>
    <row r="452" spans="1:79">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111"/>
      <c r="AH452" s="49"/>
      <c r="AI452" s="49"/>
      <c r="AJ452" s="49"/>
      <c r="AK452" s="49"/>
      <c r="AL452" s="49"/>
      <c r="AM452" s="49"/>
      <c r="AN452" s="49"/>
      <c r="AO452" s="49"/>
      <c r="AP452" s="49"/>
      <c r="AQ452" s="49"/>
      <c r="AR452" s="49"/>
      <c r="AS452" s="49"/>
      <c r="AT452" s="49"/>
      <c r="AU452" s="49"/>
      <c r="AV452" s="49"/>
      <c r="AW452" s="49"/>
      <c r="AX452" s="49"/>
      <c r="AY452" s="49"/>
      <c r="AZ452" s="49"/>
      <c r="BA452" s="49"/>
      <c r="BB452" s="49"/>
      <c r="BC452" s="49"/>
      <c r="BD452" s="49"/>
      <c r="BE452" s="49"/>
      <c r="BF452" s="49"/>
      <c r="BG452" s="49"/>
      <c r="BH452" s="49"/>
      <c r="BI452" s="49"/>
      <c r="BJ452" s="49"/>
      <c r="BK452" s="49"/>
      <c r="BL452" s="49"/>
      <c r="BM452" s="49"/>
      <c r="BN452" s="49"/>
      <c r="BO452" s="49"/>
      <c r="BP452" s="49"/>
      <c r="BQ452" s="49"/>
      <c r="BR452" s="49"/>
      <c r="BS452" s="49"/>
      <c r="BT452" s="49"/>
      <c r="BU452" s="49"/>
      <c r="BV452" s="49"/>
      <c r="BW452" s="49"/>
      <c r="BX452" s="49"/>
      <c r="BY452" s="49"/>
      <c r="BZ452" s="49"/>
      <c r="CA452" s="49"/>
    </row>
    <row r="453" spans="1:79">
      <c r="A453" s="152"/>
      <c r="B453" s="152"/>
      <c r="C453" s="152"/>
      <c r="D453" s="153"/>
      <c r="E453" s="152"/>
      <c r="F453" s="152"/>
      <c r="G453" s="154"/>
      <c r="H453" s="152"/>
      <c r="I453" s="152"/>
      <c r="J453" s="152"/>
      <c r="K453" s="152"/>
      <c r="L453" s="152"/>
      <c r="M453" s="153"/>
      <c r="N453" s="153"/>
      <c r="O453" s="153"/>
      <c r="P453" s="152"/>
      <c r="Q453" s="152"/>
      <c r="AH453" s="152"/>
      <c r="AI453" s="152"/>
      <c r="AJ453" s="152"/>
      <c r="AK453" s="152"/>
      <c r="AL453" s="152"/>
      <c r="AM453" s="152"/>
      <c r="AN453" s="152"/>
      <c r="AO453" s="152"/>
      <c r="AP453" s="152"/>
      <c r="AQ453" s="152"/>
      <c r="AR453" s="152"/>
      <c r="AS453" s="152"/>
      <c r="AT453" s="152"/>
      <c r="AU453" s="152"/>
      <c r="AV453" s="152"/>
      <c r="AW453" s="152"/>
      <c r="AX453" s="152"/>
      <c r="AY453" s="152"/>
      <c r="AZ453" s="152"/>
      <c r="BA453" s="152"/>
      <c r="BB453" s="152"/>
      <c r="BC453" s="152"/>
      <c r="BD453" s="152"/>
      <c r="BE453" s="152"/>
      <c r="BF453" s="152"/>
      <c r="BG453" s="152"/>
      <c r="BH453" s="152"/>
      <c r="BI453" s="152"/>
      <c r="BJ453" s="152"/>
      <c r="BK453" s="152"/>
      <c r="BL453" s="152"/>
      <c r="BM453" s="152"/>
      <c r="BN453" s="152"/>
      <c r="BO453" s="152"/>
      <c r="BP453" s="152"/>
      <c r="BQ453" s="152"/>
      <c r="BR453" s="152"/>
      <c r="BS453" s="152"/>
      <c r="BT453" s="152"/>
      <c r="BU453" s="152"/>
      <c r="BV453" s="152"/>
      <c r="BW453" s="152"/>
      <c r="BX453" s="152"/>
      <c r="BY453" s="152"/>
      <c r="BZ453" s="152"/>
      <c r="CA453" s="152"/>
    </row>
    <row r="454" spans="1:79">
      <c r="A454" s="152"/>
      <c r="B454" s="152"/>
      <c r="C454" s="152"/>
      <c r="D454" s="153"/>
      <c r="E454" s="152"/>
      <c r="F454" s="152"/>
      <c r="G454" s="154"/>
      <c r="H454" s="152"/>
      <c r="I454" s="152"/>
      <c r="J454" s="152"/>
      <c r="K454" s="152"/>
      <c r="L454" s="152"/>
      <c r="M454" s="153"/>
      <c r="N454" s="153"/>
      <c r="O454" s="153"/>
      <c r="P454" s="152"/>
      <c r="Q454" s="152"/>
      <c r="AH454" s="152"/>
      <c r="AI454" s="152"/>
      <c r="AJ454" s="152"/>
      <c r="AK454" s="152"/>
      <c r="AL454" s="152"/>
      <c r="AM454" s="152"/>
      <c r="AN454" s="152"/>
      <c r="AO454" s="152"/>
      <c r="AP454" s="152"/>
      <c r="AQ454" s="152"/>
      <c r="AR454" s="152"/>
      <c r="AS454" s="152"/>
      <c r="AT454" s="152"/>
      <c r="AU454" s="152"/>
      <c r="AV454" s="152"/>
      <c r="AW454" s="152"/>
      <c r="AX454" s="152"/>
      <c r="AY454" s="152"/>
      <c r="AZ454" s="152"/>
      <c r="BA454" s="152"/>
      <c r="BB454" s="152"/>
      <c r="BC454" s="152"/>
      <c r="BD454" s="152"/>
      <c r="BE454" s="152"/>
      <c r="BF454" s="152"/>
      <c r="BG454" s="152"/>
      <c r="BH454" s="152"/>
      <c r="BI454" s="152"/>
      <c r="BJ454" s="152"/>
      <c r="BK454" s="152"/>
      <c r="BL454" s="152"/>
      <c r="BM454" s="152"/>
      <c r="BN454" s="152"/>
      <c r="BO454" s="152"/>
      <c r="BP454" s="152"/>
      <c r="BQ454" s="152"/>
      <c r="BR454" s="152"/>
      <c r="BS454" s="152"/>
      <c r="BT454" s="152"/>
      <c r="BU454" s="152"/>
      <c r="BV454" s="152"/>
      <c r="BW454" s="152"/>
      <c r="BX454" s="152"/>
      <c r="BY454" s="152"/>
      <c r="BZ454" s="152"/>
      <c r="CA454" s="152"/>
    </row>
    <row r="455" spans="1:79">
      <c r="A455" s="152"/>
      <c r="B455" s="152"/>
      <c r="C455" s="152"/>
      <c r="D455" s="153"/>
      <c r="E455" s="152"/>
      <c r="F455" s="152"/>
      <c r="G455" s="154"/>
      <c r="H455" s="152"/>
      <c r="I455" s="152"/>
      <c r="J455" s="152"/>
      <c r="K455" s="152"/>
      <c r="L455" s="152"/>
      <c r="M455" s="153"/>
      <c r="N455" s="153"/>
      <c r="O455" s="153"/>
      <c r="P455" s="152"/>
      <c r="Q455" s="152"/>
      <c r="AH455" s="152"/>
      <c r="AI455" s="152"/>
      <c r="AJ455" s="152"/>
      <c r="AK455" s="152"/>
      <c r="AL455" s="152"/>
      <c r="AM455" s="152"/>
      <c r="AN455" s="152"/>
      <c r="AO455" s="152"/>
      <c r="AP455" s="152"/>
      <c r="AQ455" s="152"/>
      <c r="AR455" s="152"/>
      <c r="AS455" s="152"/>
      <c r="AT455" s="152"/>
      <c r="AU455" s="152"/>
      <c r="AV455" s="152"/>
      <c r="AW455" s="152"/>
      <c r="AX455" s="152"/>
      <c r="AY455" s="152"/>
      <c r="AZ455" s="152"/>
      <c r="BA455" s="152"/>
      <c r="BB455" s="152"/>
      <c r="BC455" s="152"/>
      <c r="BD455" s="152"/>
      <c r="BE455" s="152"/>
      <c r="BF455" s="152"/>
      <c r="BG455" s="152"/>
      <c r="BH455" s="152"/>
      <c r="BI455" s="152"/>
      <c r="BJ455" s="152"/>
      <c r="BK455" s="152"/>
      <c r="BL455" s="152"/>
      <c r="BM455" s="152"/>
      <c r="BN455" s="152"/>
      <c r="BO455" s="152"/>
      <c r="BP455" s="152"/>
      <c r="BQ455" s="152"/>
      <c r="BR455" s="152"/>
      <c r="BS455" s="152"/>
      <c r="BT455" s="152"/>
      <c r="BU455" s="152"/>
      <c r="BV455" s="152"/>
      <c r="BW455" s="152"/>
      <c r="BX455" s="152"/>
      <c r="BY455" s="152"/>
      <c r="BZ455" s="152"/>
      <c r="CA455" s="152"/>
    </row>
    <row r="456" spans="1:79">
      <c r="A456" s="152"/>
      <c r="B456" s="152"/>
      <c r="C456" s="152"/>
      <c r="D456" s="153"/>
      <c r="E456" s="152"/>
      <c r="F456" s="152"/>
      <c r="G456" s="154"/>
      <c r="H456" s="152"/>
      <c r="I456" s="152"/>
      <c r="J456" s="152"/>
      <c r="K456" s="152"/>
      <c r="L456" s="152"/>
      <c r="M456" s="153"/>
      <c r="N456" s="153"/>
      <c r="O456" s="153"/>
      <c r="P456" s="152"/>
      <c r="Q456" s="152"/>
      <c r="AH456" s="152"/>
      <c r="AI456" s="152"/>
      <c r="AJ456" s="152"/>
      <c r="AK456" s="152"/>
      <c r="AL456" s="152"/>
      <c r="AM456" s="152"/>
      <c r="AN456" s="152"/>
      <c r="AO456" s="152"/>
      <c r="AP456" s="152"/>
      <c r="AQ456" s="152"/>
      <c r="AR456" s="152"/>
      <c r="AS456" s="152"/>
      <c r="AT456" s="152"/>
      <c r="AU456" s="152"/>
      <c r="AV456" s="152"/>
      <c r="AW456" s="152"/>
      <c r="AX456" s="152"/>
      <c r="AY456" s="152"/>
      <c r="AZ456" s="152"/>
      <c r="BA456" s="152"/>
      <c r="BB456" s="152"/>
      <c r="BC456" s="152"/>
      <c r="BD456" s="152"/>
      <c r="BE456" s="152"/>
      <c r="BF456" s="152"/>
      <c r="BG456" s="152"/>
      <c r="BH456" s="152"/>
      <c r="BI456" s="152"/>
      <c r="BJ456" s="152"/>
      <c r="BK456" s="152"/>
      <c r="BL456" s="152"/>
      <c r="BM456" s="152"/>
      <c r="BN456" s="152"/>
      <c r="BO456" s="152"/>
      <c r="BP456" s="152"/>
      <c r="BQ456" s="152"/>
      <c r="BR456" s="152"/>
      <c r="BS456" s="152"/>
      <c r="BT456" s="152"/>
      <c r="BU456" s="152"/>
      <c r="BV456" s="152"/>
      <c r="BW456" s="152"/>
      <c r="BX456" s="152"/>
      <c r="BY456" s="152"/>
      <c r="BZ456" s="152"/>
      <c r="CA456" s="152"/>
    </row>
    <row r="457" spans="1:79">
      <c r="A457" s="152"/>
      <c r="B457" s="152"/>
      <c r="C457" s="152"/>
      <c r="D457" s="153"/>
      <c r="E457" s="152"/>
      <c r="F457" s="152"/>
      <c r="G457" s="154"/>
      <c r="H457" s="152"/>
      <c r="I457" s="152"/>
      <c r="J457" s="152"/>
      <c r="K457" s="152"/>
      <c r="L457" s="152"/>
      <c r="M457" s="153"/>
      <c r="N457" s="153"/>
      <c r="O457" s="153"/>
      <c r="P457" s="152"/>
      <c r="Q457" s="152"/>
      <c r="AH457" s="152"/>
      <c r="AI457" s="152"/>
      <c r="AJ457" s="152"/>
      <c r="AK457" s="152"/>
      <c r="AL457" s="152"/>
      <c r="AM457" s="152"/>
      <c r="AN457" s="152"/>
      <c r="AO457" s="152"/>
      <c r="AP457" s="152"/>
      <c r="AQ457" s="152"/>
      <c r="AR457" s="152"/>
      <c r="AS457" s="152"/>
      <c r="AT457" s="152"/>
      <c r="AU457" s="152"/>
      <c r="AV457" s="152"/>
      <c r="AW457" s="152"/>
      <c r="AX457" s="152"/>
      <c r="AY457" s="152"/>
      <c r="AZ457" s="152"/>
      <c r="BA457" s="152"/>
      <c r="BB457" s="152"/>
      <c r="BC457" s="152"/>
      <c r="BD457" s="152"/>
      <c r="BE457" s="152"/>
      <c r="BF457" s="152"/>
      <c r="BG457" s="152"/>
      <c r="BH457" s="152"/>
      <c r="BI457" s="152"/>
      <c r="BJ457" s="152"/>
      <c r="BK457" s="152"/>
      <c r="BL457" s="152"/>
      <c r="BM457" s="152"/>
      <c r="BN457" s="152"/>
      <c r="BO457" s="152"/>
      <c r="BP457" s="152"/>
      <c r="BQ457" s="152"/>
      <c r="BR457" s="152"/>
      <c r="BS457" s="152"/>
      <c r="BT457" s="152"/>
      <c r="BU457" s="152"/>
      <c r="BV457" s="152"/>
      <c r="BW457" s="152"/>
      <c r="BX457" s="152"/>
      <c r="BY457" s="152"/>
      <c r="BZ457" s="152"/>
      <c r="CA457" s="152"/>
    </row>
    <row r="458" spans="1:79">
      <c r="A458" s="152"/>
      <c r="B458" s="152"/>
      <c r="C458" s="152"/>
      <c r="D458" s="153"/>
      <c r="E458" s="152"/>
      <c r="F458" s="152"/>
      <c r="G458" s="154"/>
      <c r="H458" s="152"/>
      <c r="I458" s="152"/>
      <c r="J458" s="152"/>
      <c r="K458" s="152"/>
      <c r="L458" s="152"/>
      <c r="M458" s="153"/>
      <c r="N458" s="153"/>
      <c r="O458" s="153"/>
      <c r="P458" s="152"/>
      <c r="Q458" s="152"/>
      <c r="AH458" s="152"/>
      <c r="AI458" s="152"/>
      <c r="AJ458" s="152"/>
      <c r="AK458" s="152"/>
      <c r="AL458" s="152"/>
      <c r="AM458" s="152"/>
      <c r="AN458" s="152"/>
      <c r="AO458" s="152"/>
      <c r="AP458" s="152"/>
      <c r="AQ458" s="152"/>
      <c r="AR458" s="152"/>
      <c r="AS458" s="152"/>
      <c r="AT458" s="152"/>
      <c r="AU458" s="152"/>
      <c r="AV458" s="152"/>
      <c r="AW458" s="152"/>
      <c r="AX458" s="152"/>
      <c r="AY458" s="152"/>
      <c r="AZ458" s="152"/>
      <c r="BA458" s="152"/>
      <c r="BB458" s="152"/>
      <c r="BC458" s="152"/>
      <c r="BD458" s="152"/>
      <c r="BE458" s="152"/>
      <c r="BF458" s="152"/>
      <c r="BG458" s="152"/>
      <c r="BH458" s="152"/>
      <c r="BI458" s="152"/>
      <c r="BJ458" s="152"/>
      <c r="BK458" s="152"/>
      <c r="BL458" s="152"/>
      <c r="BM458" s="152"/>
      <c r="BN458" s="152"/>
      <c r="BO458" s="152"/>
      <c r="BP458" s="152"/>
      <c r="BQ458" s="152"/>
      <c r="BR458" s="152"/>
      <c r="BS458" s="152"/>
      <c r="BT458" s="152"/>
      <c r="BU458" s="152"/>
      <c r="BV458" s="152"/>
      <c r="BW458" s="152"/>
      <c r="BX458" s="152"/>
      <c r="BY458" s="152"/>
      <c r="BZ458" s="152"/>
      <c r="CA458" s="152"/>
    </row>
    <row r="459" spans="1:79">
      <c r="A459" s="152"/>
      <c r="B459" s="152"/>
      <c r="C459" s="152"/>
      <c r="D459" s="153"/>
      <c r="E459" s="152"/>
      <c r="F459" s="152"/>
      <c r="G459" s="154"/>
      <c r="H459" s="152"/>
      <c r="I459" s="152"/>
      <c r="J459" s="152"/>
      <c r="K459" s="152"/>
      <c r="L459" s="152"/>
      <c r="M459" s="153"/>
      <c r="N459" s="153"/>
      <c r="O459" s="153"/>
      <c r="P459" s="152"/>
      <c r="Q459" s="152"/>
      <c r="AH459" s="152"/>
      <c r="AI459" s="152"/>
      <c r="AJ459" s="152"/>
      <c r="AK459" s="152"/>
      <c r="AL459" s="152"/>
      <c r="AM459" s="152"/>
      <c r="AN459" s="152"/>
      <c r="AO459" s="152"/>
      <c r="AP459" s="152"/>
      <c r="AQ459" s="152"/>
      <c r="AR459" s="152"/>
      <c r="AS459" s="152"/>
      <c r="AT459" s="152"/>
      <c r="AU459" s="152"/>
      <c r="AV459" s="152"/>
      <c r="AW459" s="152"/>
      <c r="AX459" s="152"/>
      <c r="AY459" s="152"/>
      <c r="AZ459" s="152"/>
      <c r="BA459" s="152"/>
      <c r="BB459" s="152"/>
      <c r="BC459" s="152"/>
      <c r="BD459" s="152"/>
      <c r="BE459" s="152"/>
      <c r="BF459" s="152"/>
      <c r="BG459" s="152"/>
      <c r="BH459" s="152"/>
      <c r="BI459" s="152"/>
      <c r="BJ459" s="152"/>
      <c r="BK459" s="152"/>
      <c r="BL459" s="152"/>
      <c r="BM459" s="152"/>
      <c r="BN459" s="152"/>
      <c r="BO459" s="152"/>
      <c r="BP459" s="152"/>
      <c r="BQ459" s="152"/>
      <c r="BR459" s="152"/>
      <c r="BS459" s="152"/>
      <c r="BT459" s="152"/>
      <c r="BU459" s="152"/>
      <c r="BV459" s="152"/>
      <c r="BW459" s="152"/>
      <c r="BX459" s="152"/>
      <c r="BY459" s="152"/>
      <c r="BZ459" s="152"/>
      <c r="CA459" s="152"/>
    </row>
    <row r="460" spans="1:79">
      <c r="A460" s="152"/>
      <c r="B460" s="152"/>
      <c r="C460" s="152"/>
      <c r="D460" s="153"/>
      <c r="E460" s="152"/>
      <c r="F460" s="152"/>
      <c r="G460" s="154"/>
      <c r="H460" s="152"/>
      <c r="I460" s="152"/>
      <c r="J460" s="152"/>
      <c r="K460" s="152"/>
      <c r="L460" s="152"/>
      <c r="M460" s="153"/>
      <c r="N460" s="153"/>
      <c r="O460" s="153"/>
      <c r="P460" s="152"/>
      <c r="Q460" s="152"/>
      <c r="AH460" s="152"/>
      <c r="AI460" s="152"/>
      <c r="AJ460" s="152"/>
      <c r="AK460" s="152"/>
      <c r="AL460" s="152"/>
      <c r="AM460" s="152"/>
      <c r="AN460" s="152"/>
      <c r="AO460" s="152"/>
      <c r="AP460" s="152"/>
      <c r="AQ460" s="152"/>
      <c r="AR460" s="152"/>
      <c r="AS460" s="152"/>
      <c r="AT460" s="152"/>
      <c r="AU460" s="152"/>
      <c r="AV460" s="152"/>
      <c r="AW460" s="152"/>
      <c r="AX460" s="152"/>
      <c r="AY460" s="152"/>
      <c r="AZ460" s="152"/>
      <c r="BA460" s="152"/>
      <c r="BB460" s="152"/>
      <c r="BC460" s="152"/>
      <c r="BD460" s="152"/>
      <c r="BE460" s="152"/>
      <c r="BF460" s="152"/>
      <c r="BG460" s="152"/>
      <c r="BH460" s="152"/>
      <c r="BI460" s="152"/>
      <c r="BJ460" s="152"/>
      <c r="BK460" s="152"/>
      <c r="BL460" s="152"/>
      <c r="BM460" s="152"/>
      <c r="BN460" s="152"/>
      <c r="BO460" s="152"/>
      <c r="BP460" s="152"/>
      <c r="BQ460" s="152"/>
      <c r="BR460" s="152"/>
      <c r="BS460" s="152"/>
      <c r="BT460" s="152"/>
      <c r="BU460" s="152"/>
      <c r="BV460" s="152"/>
      <c r="BW460" s="152"/>
      <c r="BX460" s="152"/>
      <c r="BY460" s="152"/>
      <c r="BZ460" s="152"/>
      <c r="CA460" s="152"/>
    </row>
    <row r="461" spans="1:79">
      <c r="A461" s="152"/>
      <c r="B461" s="152"/>
      <c r="C461" s="152"/>
      <c r="D461" s="153"/>
      <c r="E461" s="152"/>
      <c r="F461" s="152"/>
      <c r="G461" s="154"/>
      <c r="H461" s="152"/>
      <c r="I461" s="152"/>
      <c r="J461" s="152"/>
      <c r="K461" s="152"/>
      <c r="L461" s="152"/>
      <c r="M461" s="153"/>
      <c r="N461" s="153"/>
      <c r="O461" s="153"/>
      <c r="P461" s="152"/>
      <c r="Q461" s="152"/>
      <c r="AH461" s="152"/>
      <c r="AJ461" s="152"/>
      <c r="AK461" s="152"/>
      <c r="AL461" s="152"/>
      <c r="AM461" s="152"/>
      <c r="AN461" s="152"/>
      <c r="AO461" s="152"/>
      <c r="AP461" s="152"/>
      <c r="AQ461" s="152"/>
      <c r="AR461" s="152"/>
      <c r="AS461" s="152"/>
      <c r="AT461" s="152"/>
      <c r="AU461" s="152"/>
      <c r="AV461" s="152"/>
      <c r="AW461" s="152"/>
      <c r="AX461" s="152"/>
      <c r="AY461" s="152"/>
      <c r="AZ461" s="152"/>
      <c r="BA461" s="152"/>
      <c r="BB461" s="152"/>
      <c r="BC461" s="152"/>
      <c r="BD461" s="152"/>
      <c r="BE461" s="152"/>
      <c r="BF461" s="152"/>
      <c r="BG461" s="152"/>
      <c r="BH461" s="152"/>
      <c r="BI461" s="152"/>
      <c r="BJ461" s="152"/>
      <c r="BK461" s="152"/>
      <c r="BL461" s="152"/>
      <c r="BM461" s="152"/>
      <c r="BN461" s="152"/>
      <c r="BO461" s="152"/>
      <c r="BP461" s="152"/>
      <c r="BQ461" s="152"/>
      <c r="BR461" s="152"/>
      <c r="BS461" s="152"/>
      <c r="BT461" s="152"/>
      <c r="BU461" s="152"/>
      <c r="BV461" s="152"/>
      <c r="BW461" s="152"/>
      <c r="BX461" s="152"/>
      <c r="BY461" s="152"/>
      <c r="BZ461" s="152"/>
      <c r="CA461" s="152"/>
    </row>
    <row r="462" spans="1:79">
      <c r="A462" s="152"/>
      <c r="B462" s="152"/>
      <c r="C462" s="152"/>
      <c r="D462" s="153"/>
      <c r="E462" s="152"/>
      <c r="F462" s="152"/>
      <c r="G462" s="154"/>
      <c r="H462" s="152"/>
      <c r="I462" s="152"/>
      <c r="J462" s="152"/>
      <c r="K462" s="152"/>
      <c r="L462" s="152"/>
      <c r="M462" s="153"/>
      <c r="N462" s="153"/>
      <c r="O462" s="153"/>
      <c r="P462" s="152"/>
      <c r="Q462" s="152"/>
      <c r="AH462" s="152"/>
      <c r="AJ462" s="152"/>
      <c r="AK462" s="152"/>
      <c r="AL462" s="152"/>
      <c r="AM462" s="152"/>
      <c r="AN462" s="152"/>
      <c r="AO462" s="152"/>
      <c r="AP462" s="152"/>
      <c r="AQ462" s="152"/>
      <c r="AR462" s="152"/>
      <c r="AS462" s="152"/>
      <c r="AT462" s="152"/>
      <c r="AU462" s="152"/>
      <c r="AV462" s="152"/>
      <c r="AW462" s="152"/>
      <c r="AX462" s="152"/>
      <c r="AY462" s="152"/>
      <c r="AZ462" s="152"/>
      <c r="BA462" s="152"/>
      <c r="BB462" s="152"/>
      <c r="BC462" s="152"/>
      <c r="BD462" s="152"/>
      <c r="BE462" s="152"/>
      <c r="BF462" s="152"/>
      <c r="BG462" s="152"/>
      <c r="BH462" s="152"/>
      <c r="BI462" s="152"/>
      <c r="BJ462" s="152"/>
      <c r="BK462" s="152"/>
      <c r="BL462" s="152"/>
      <c r="BM462" s="152"/>
      <c r="BN462" s="152"/>
      <c r="BO462" s="152"/>
      <c r="BP462" s="152"/>
      <c r="BQ462" s="152"/>
      <c r="BR462" s="152"/>
      <c r="BS462" s="152"/>
      <c r="BT462" s="152"/>
      <c r="BU462" s="152"/>
      <c r="BV462" s="152"/>
      <c r="BW462" s="152"/>
      <c r="BX462" s="152"/>
      <c r="BY462" s="152"/>
      <c r="BZ462" s="152"/>
      <c r="CA462" s="152"/>
    </row>
    <row r="463" spans="1:79">
      <c r="A463" s="152"/>
      <c r="B463" s="152"/>
      <c r="C463" s="152"/>
      <c r="D463" s="153"/>
      <c r="E463" s="152"/>
      <c r="F463" s="152"/>
      <c r="G463" s="154"/>
      <c r="H463" s="152"/>
      <c r="I463" s="152"/>
      <c r="J463" s="152"/>
      <c r="K463" s="152"/>
      <c r="L463" s="152"/>
      <c r="M463" s="153"/>
      <c r="N463" s="153"/>
      <c r="O463" s="153"/>
      <c r="P463" s="152"/>
      <c r="Q463" s="152"/>
      <c r="AH463" s="152"/>
      <c r="AJ463" s="152"/>
      <c r="AK463" s="152"/>
      <c r="AL463" s="152"/>
      <c r="AM463" s="152"/>
      <c r="AN463" s="152"/>
      <c r="AO463" s="152"/>
      <c r="AP463" s="152"/>
      <c r="AQ463" s="152"/>
      <c r="AR463" s="152"/>
      <c r="AS463" s="152"/>
      <c r="AT463" s="152"/>
      <c r="AU463" s="152"/>
      <c r="AV463" s="152"/>
      <c r="AW463" s="152"/>
      <c r="AX463" s="152"/>
      <c r="AY463" s="152"/>
      <c r="AZ463" s="152"/>
      <c r="BA463" s="152"/>
      <c r="BB463" s="152"/>
      <c r="BC463" s="152"/>
      <c r="BD463" s="152"/>
      <c r="BE463" s="152"/>
      <c r="BF463" s="152"/>
      <c r="BG463" s="152"/>
      <c r="BH463" s="152"/>
      <c r="BI463" s="152"/>
      <c r="BJ463" s="152"/>
      <c r="BK463" s="152"/>
      <c r="BL463" s="152"/>
      <c r="BM463" s="152"/>
      <c r="BN463" s="152"/>
      <c r="BO463" s="152"/>
      <c r="BP463" s="152"/>
      <c r="BQ463" s="152"/>
      <c r="BR463" s="152"/>
      <c r="BS463" s="152"/>
      <c r="BT463" s="152"/>
      <c r="BU463" s="152"/>
      <c r="BV463" s="152"/>
      <c r="BW463" s="152"/>
      <c r="BX463" s="152"/>
      <c r="BY463" s="152"/>
      <c r="BZ463" s="152"/>
      <c r="CA463" s="152"/>
    </row>
    <row r="464" spans="1:79">
      <c r="A464" s="152"/>
      <c r="B464" s="152"/>
      <c r="C464" s="152"/>
      <c r="D464" s="153"/>
      <c r="E464" s="152"/>
      <c r="F464" s="152"/>
      <c r="G464" s="154"/>
      <c r="H464" s="152"/>
      <c r="I464" s="152"/>
      <c r="J464" s="152"/>
      <c r="K464" s="152"/>
      <c r="L464" s="152"/>
      <c r="M464" s="153"/>
      <c r="N464" s="153"/>
      <c r="O464" s="153"/>
      <c r="P464" s="152"/>
      <c r="Q464" s="152"/>
      <c r="AH464" s="152"/>
      <c r="AJ464" s="152"/>
      <c r="AK464" s="152"/>
      <c r="AL464" s="152"/>
      <c r="AM464" s="152"/>
      <c r="AN464" s="152"/>
      <c r="AO464" s="152"/>
      <c r="AP464" s="152"/>
      <c r="AQ464" s="152"/>
      <c r="AR464" s="152"/>
      <c r="AS464" s="152"/>
      <c r="AT464" s="152"/>
      <c r="AU464" s="152"/>
      <c r="AV464" s="152"/>
      <c r="AW464" s="152"/>
      <c r="AX464" s="152"/>
      <c r="AY464" s="152"/>
      <c r="AZ464" s="152"/>
      <c r="BA464" s="152"/>
      <c r="BB464" s="152"/>
      <c r="BC464" s="152"/>
      <c r="BD464" s="152"/>
      <c r="BE464" s="152"/>
      <c r="BF464" s="152"/>
      <c r="BG464" s="152"/>
      <c r="BH464" s="152"/>
      <c r="BI464" s="152"/>
      <c r="BJ464" s="152"/>
      <c r="BK464" s="152"/>
      <c r="BL464" s="152"/>
      <c r="BM464" s="152"/>
      <c r="BN464" s="152"/>
      <c r="BO464" s="152"/>
      <c r="BP464" s="152"/>
      <c r="BQ464" s="152"/>
      <c r="BR464" s="152"/>
      <c r="BS464" s="152"/>
      <c r="BT464" s="152"/>
      <c r="BU464" s="152"/>
      <c r="BV464" s="152"/>
      <c r="BW464" s="152"/>
      <c r="BX464" s="152"/>
      <c r="BY464" s="152"/>
      <c r="BZ464" s="152"/>
      <c r="CA464" s="152"/>
    </row>
    <row r="465" spans="1:79">
      <c r="A465" s="152"/>
      <c r="B465" s="152"/>
      <c r="C465" s="152"/>
      <c r="D465" s="153"/>
      <c r="E465" s="152"/>
      <c r="F465" s="152"/>
      <c r="G465" s="154"/>
      <c r="H465" s="152"/>
      <c r="I465" s="152"/>
      <c r="J465" s="152"/>
      <c r="K465" s="152"/>
      <c r="L465" s="152"/>
      <c r="M465" s="153"/>
      <c r="N465" s="153"/>
      <c r="O465" s="153"/>
      <c r="P465" s="152"/>
      <c r="Q465" s="152"/>
      <c r="AH465" s="152"/>
      <c r="AJ465" s="152"/>
      <c r="AK465" s="152"/>
      <c r="AL465" s="152"/>
      <c r="AM465" s="152"/>
      <c r="AN465" s="152"/>
      <c r="AO465" s="152"/>
      <c r="AP465" s="152"/>
      <c r="AQ465" s="152"/>
      <c r="AR465" s="152"/>
      <c r="AS465" s="152"/>
      <c r="AT465" s="152"/>
      <c r="AU465" s="152"/>
      <c r="AV465" s="152"/>
      <c r="AW465" s="152"/>
      <c r="AX465" s="152"/>
      <c r="AY465" s="152"/>
      <c r="AZ465" s="152"/>
      <c r="BA465" s="152"/>
      <c r="BB465" s="152"/>
      <c r="BC465" s="152"/>
      <c r="BD465" s="152"/>
      <c r="BE465" s="152"/>
      <c r="BF465" s="152"/>
      <c r="BG465" s="152"/>
      <c r="BH465" s="152"/>
      <c r="BI465" s="152"/>
      <c r="BJ465" s="152"/>
      <c r="BK465" s="152"/>
      <c r="BL465" s="152"/>
      <c r="BM465" s="152"/>
      <c r="BN465" s="152"/>
      <c r="BO465" s="152"/>
      <c r="BP465" s="152"/>
      <c r="BQ465" s="152"/>
      <c r="BR465" s="152"/>
      <c r="BS465" s="152"/>
      <c r="BT465" s="152"/>
      <c r="BU465" s="152"/>
      <c r="BV465" s="152"/>
      <c r="BW465" s="152"/>
      <c r="BX465" s="152"/>
      <c r="BY465" s="152"/>
      <c r="BZ465" s="152"/>
      <c r="CA465" s="152"/>
    </row>
    <row r="466" spans="1:79">
      <c r="A466" s="152"/>
      <c r="B466" s="152"/>
      <c r="C466" s="152"/>
      <c r="D466" s="153"/>
      <c r="E466" s="152"/>
      <c r="F466" s="152"/>
      <c r="G466" s="154"/>
      <c r="H466" s="152"/>
      <c r="I466" s="152"/>
      <c r="J466" s="152"/>
      <c r="K466" s="152"/>
      <c r="L466" s="152"/>
      <c r="M466" s="153"/>
      <c r="N466" s="153"/>
      <c r="O466" s="153"/>
      <c r="P466" s="152"/>
      <c r="Q466" s="152"/>
      <c r="AH466" s="152"/>
      <c r="AJ466" s="152"/>
      <c r="AK466" s="152"/>
      <c r="AL466" s="152"/>
      <c r="AM466" s="152"/>
      <c r="AN466" s="152"/>
      <c r="AO466" s="152"/>
      <c r="AP466" s="152"/>
      <c r="AQ466" s="152"/>
      <c r="AR466" s="152"/>
      <c r="AS466" s="152"/>
      <c r="AT466" s="152"/>
      <c r="AU466" s="152"/>
      <c r="AV466" s="152"/>
      <c r="AW466" s="152"/>
      <c r="AX466" s="152"/>
      <c r="AY466" s="152"/>
      <c r="AZ466" s="152"/>
      <c r="BA466" s="152"/>
      <c r="BB466" s="152"/>
      <c r="BC466" s="152"/>
      <c r="BD466" s="152"/>
      <c r="BE466" s="152"/>
      <c r="BF466" s="152"/>
      <c r="BG466" s="152"/>
      <c r="BH466" s="152"/>
      <c r="BI466" s="152"/>
      <c r="BJ466" s="152"/>
      <c r="BK466" s="152"/>
      <c r="BL466" s="152"/>
      <c r="BM466" s="152"/>
      <c r="BN466" s="152"/>
      <c r="BO466" s="152"/>
      <c r="BP466" s="152"/>
      <c r="BQ466" s="152"/>
      <c r="BR466" s="152"/>
      <c r="BS466" s="152"/>
      <c r="BT466" s="152"/>
      <c r="BU466" s="152"/>
      <c r="BV466" s="152"/>
      <c r="BW466" s="152"/>
      <c r="BX466" s="152"/>
      <c r="BY466" s="152"/>
      <c r="BZ466" s="152"/>
      <c r="CA466" s="152"/>
    </row>
    <row r="467" spans="1:79">
      <c r="A467" s="152"/>
      <c r="B467" s="152"/>
      <c r="C467" s="152"/>
      <c r="D467" s="153"/>
      <c r="E467" s="152"/>
      <c r="F467" s="152"/>
      <c r="G467" s="154"/>
      <c r="H467" s="152"/>
      <c r="I467" s="152"/>
      <c r="J467" s="152"/>
      <c r="K467" s="152"/>
      <c r="L467" s="152"/>
      <c r="M467" s="153"/>
      <c r="N467" s="153"/>
      <c r="O467" s="153"/>
      <c r="P467" s="152"/>
      <c r="Q467" s="152"/>
      <c r="AH467" s="152"/>
      <c r="AJ467" s="152"/>
      <c r="AK467" s="152"/>
      <c r="AL467" s="152"/>
      <c r="AM467" s="152"/>
      <c r="AN467" s="152"/>
      <c r="AO467" s="152"/>
      <c r="AP467" s="152"/>
      <c r="AQ467" s="152"/>
      <c r="AR467" s="152"/>
      <c r="AS467" s="152"/>
      <c r="AT467" s="152"/>
      <c r="AU467" s="152"/>
      <c r="AV467" s="152"/>
      <c r="AW467" s="152"/>
      <c r="AX467" s="152"/>
      <c r="AY467" s="152"/>
      <c r="AZ467" s="152"/>
      <c r="BA467" s="152"/>
      <c r="BB467" s="152"/>
      <c r="BC467" s="152"/>
      <c r="BD467" s="152"/>
      <c r="BE467" s="152"/>
      <c r="BF467" s="152"/>
      <c r="BG467" s="152"/>
      <c r="BH467" s="152"/>
      <c r="BI467" s="152"/>
      <c r="BJ467" s="152"/>
      <c r="BK467" s="152"/>
      <c r="BL467" s="152"/>
      <c r="BM467" s="152"/>
      <c r="BN467" s="152"/>
      <c r="BO467" s="152"/>
      <c r="BP467" s="152"/>
      <c r="BQ467" s="152"/>
      <c r="BR467" s="152"/>
      <c r="BS467" s="152"/>
      <c r="BT467" s="152"/>
      <c r="BU467" s="152"/>
      <c r="BV467" s="152"/>
      <c r="BW467" s="152"/>
      <c r="BX467" s="152"/>
      <c r="BY467" s="152"/>
      <c r="BZ467" s="152"/>
      <c r="CA467" s="152"/>
    </row>
    <row r="468" spans="1:79">
      <c r="A468" s="152"/>
      <c r="B468" s="152"/>
      <c r="C468" s="152"/>
      <c r="D468" s="153"/>
      <c r="E468" s="152"/>
      <c r="F468" s="152"/>
      <c r="G468" s="154"/>
      <c r="H468" s="152"/>
      <c r="I468" s="152"/>
      <c r="J468" s="152"/>
      <c r="K468" s="152"/>
      <c r="L468" s="152"/>
      <c r="M468" s="153"/>
      <c r="N468" s="153"/>
      <c r="O468" s="153"/>
      <c r="P468" s="152"/>
      <c r="Q468" s="152"/>
      <c r="AH468" s="152"/>
      <c r="AJ468" s="152"/>
      <c r="AK468" s="152"/>
      <c r="AL468" s="152"/>
      <c r="AM468" s="152"/>
      <c r="AN468" s="152"/>
      <c r="AO468" s="152"/>
      <c r="AP468" s="152"/>
      <c r="AQ468" s="152"/>
      <c r="AR468" s="152"/>
      <c r="AS468" s="152"/>
      <c r="AT468" s="152"/>
      <c r="AU468" s="152"/>
      <c r="AV468" s="152"/>
      <c r="AW468" s="152"/>
      <c r="AX468" s="152"/>
      <c r="AY468" s="152"/>
      <c r="AZ468" s="152"/>
      <c r="BA468" s="152"/>
      <c r="BB468" s="152"/>
      <c r="BC468" s="152"/>
      <c r="BD468" s="152"/>
      <c r="BE468" s="152"/>
      <c r="BF468" s="152"/>
      <c r="BG468" s="152"/>
      <c r="BH468" s="152"/>
      <c r="BI468" s="152"/>
      <c r="BJ468" s="152"/>
      <c r="BK468" s="152"/>
      <c r="BL468" s="152"/>
      <c r="BM468" s="152"/>
      <c r="BN468" s="152"/>
      <c r="BO468" s="152"/>
      <c r="BP468" s="152"/>
      <c r="BQ468" s="152"/>
      <c r="BR468" s="152"/>
      <c r="BS468" s="152"/>
      <c r="BT468" s="152"/>
      <c r="BU468" s="152"/>
      <c r="BV468" s="152"/>
      <c r="BW468" s="152"/>
      <c r="BX468" s="152"/>
      <c r="BY468" s="152"/>
      <c r="BZ468" s="152"/>
      <c r="CA468" s="152"/>
    </row>
    <row r="469" spans="1:79">
      <c r="A469" s="152"/>
      <c r="B469" s="152"/>
      <c r="C469" s="152"/>
      <c r="D469" s="153"/>
      <c r="E469" s="152"/>
      <c r="F469" s="152"/>
      <c r="G469" s="154"/>
      <c r="H469" s="152"/>
      <c r="I469" s="152"/>
      <c r="J469" s="152"/>
      <c r="K469" s="152"/>
      <c r="L469" s="152"/>
      <c r="M469" s="153"/>
      <c r="N469" s="153"/>
      <c r="O469" s="153"/>
      <c r="P469" s="152"/>
      <c r="Q469" s="152"/>
      <c r="AH469" s="152"/>
      <c r="AJ469" s="152"/>
      <c r="AK469" s="152"/>
      <c r="AL469" s="152"/>
      <c r="AM469" s="152"/>
      <c r="AN469" s="152"/>
      <c r="AO469" s="152"/>
      <c r="AP469" s="152"/>
      <c r="AQ469" s="152"/>
      <c r="AR469" s="152"/>
      <c r="AS469" s="152"/>
      <c r="AT469" s="152"/>
      <c r="AU469" s="152"/>
      <c r="AV469" s="152"/>
      <c r="AW469" s="152"/>
      <c r="AX469" s="152"/>
      <c r="AY469" s="152"/>
      <c r="AZ469" s="152"/>
      <c r="BA469" s="152"/>
      <c r="BB469" s="152"/>
      <c r="BC469" s="152"/>
      <c r="BD469" s="152"/>
      <c r="BE469" s="152"/>
      <c r="BF469" s="152"/>
      <c r="BG469" s="152"/>
      <c r="BH469" s="152"/>
      <c r="BI469" s="152"/>
      <c r="BJ469" s="152"/>
      <c r="BK469" s="152"/>
      <c r="BL469" s="152"/>
      <c r="BM469" s="152"/>
      <c r="BN469" s="152"/>
      <c r="BO469" s="152"/>
      <c r="BP469" s="152"/>
      <c r="BQ469" s="152"/>
      <c r="BR469" s="152"/>
      <c r="BS469" s="152"/>
      <c r="BT469" s="152"/>
      <c r="BU469" s="152"/>
      <c r="BV469" s="152"/>
      <c r="BW469" s="152"/>
      <c r="BX469" s="152"/>
      <c r="BY469" s="152"/>
      <c r="BZ469" s="152"/>
      <c r="CA469" s="152"/>
    </row>
    <row r="470" spans="1:79">
      <c r="AH470" s="152"/>
    </row>
    <row r="471" spans="1:79">
      <c r="AH471" s="152"/>
    </row>
    <row r="472" spans="1:79">
      <c r="R472" s="152"/>
      <c r="S472" s="152"/>
      <c r="T472" s="152"/>
      <c r="U472" s="152"/>
      <c r="V472" s="152"/>
      <c r="W472" s="152"/>
      <c r="X472" s="152"/>
      <c r="Y472" s="152"/>
      <c r="Z472" s="152"/>
      <c r="AA472" s="152"/>
      <c r="AB472" s="152"/>
      <c r="AC472" s="152"/>
      <c r="AD472" s="152"/>
      <c r="AE472" s="152"/>
      <c r="AF472" s="152"/>
      <c r="AG472" s="152"/>
      <c r="AH472" s="152"/>
    </row>
    <row r="473" spans="1:79">
      <c r="R473" s="152"/>
      <c r="S473" s="152"/>
      <c r="T473" s="152"/>
      <c r="U473" s="152"/>
      <c r="V473" s="152"/>
      <c r="W473" s="152"/>
      <c r="X473" s="152"/>
      <c r="Y473" s="152"/>
      <c r="Z473" s="152"/>
      <c r="AA473" s="152"/>
      <c r="AB473" s="152"/>
      <c r="AC473" s="152"/>
      <c r="AD473" s="152"/>
      <c r="AE473" s="152"/>
      <c r="AF473" s="152"/>
      <c r="AG473" s="152"/>
      <c r="AH473" s="152"/>
    </row>
    <row r="474" spans="1:79">
      <c r="R474" s="152"/>
      <c r="S474" s="152"/>
      <c r="T474" s="152"/>
      <c r="U474" s="152"/>
      <c r="V474" s="152"/>
      <c r="W474" s="152"/>
      <c r="X474" s="152"/>
      <c r="Y474" s="152"/>
      <c r="Z474" s="152"/>
      <c r="AA474" s="152"/>
      <c r="AB474" s="152"/>
      <c r="AC474" s="152"/>
      <c r="AD474" s="152"/>
      <c r="AE474" s="152"/>
      <c r="AF474" s="152"/>
      <c r="AG474" s="152"/>
      <c r="AH474" s="152"/>
    </row>
    <row r="475" spans="1:79">
      <c r="R475" s="152"/>
      <c r="S475" s="152"/>
      <c r="T475" s="152"/>
      <c r="U475" s="152"/>
      <c r="V475" s="152"/>
      <c r="W475" s="152"/>
      <c r="X475" s="152"/>
      <c r="Y475" s="152"/>
      <c r="Z475" s="152"/>
      <c r="AA475" s="152"/>
      <c r="AB475" s="152"/>
      <c r="AC475" s="152"/>
      <c r="AD475" s="152"/>
      <c r="AE475" s="152"/>
      <c r="AF475" s="152"/>
      <c r="AG475" s="152"/>
      <c r="AH475" s="152"/>
    </row>
    <row r="476" spans="1:79">
      <c r="R476" s="152"/>
      <c r="S476" s="152"/>
      <c r="T476" s="152"/>
      <c r="U476" s="152"/>
      <c r="V476" s="152"/>
      <c r="W476" s="152"/>
      <c r="X476" s="152"/>
      <c r="Y476" s="152"/>
      <c r="Z476" s="152"/>
      <c r="AA476" s="152"/>
      <c r="AB476" s="152"/>
      <c r="AC476" s="152"/>
      <c r="AD476" s="152"/>
      <c r="AE476" s="152"/>
      <c r="AF476" s="152"/>
      <c r="AG476" s="152"/>
      <c r="AH476" s="152"/>
    </row>
  </sheetData>
  <mergeCells count="324">
    <mergeCell ref="BG1:BH2"/>
    <mergeCell ref="D1:E2"/>
    <mergeCell ref="R1:S2"/>
    <mergeCell ref="AJ1:AK2"/>
    <mergeCell ref="I77:K78"/>
    <mergeCell ref="M77:O78"/>
    <mergeCell ref="I88:K89"/>
    <mergeCell ref="E88:G89"/>
    <mergeCell ref="R31:T32"/>
    <mergeCell ref="E11:G12"/>
    <mergeCell ref="I11:K12"/>
    <mergeCell ref="M11:O12"/>
    <mergeCell ref="M22:O23"/>
    <mergeCell ref="I22:K23"/>
    <mergeCell ref="E22:G23"/>
    <mergeCell ref="E33:G34"/>
    <mergeCell ref="R81:T82"/>
    <mergeCell ref="E77:G78"/>
    <mergeCell ref="AE227:AE228"/>
    <mergeCell ref="AF227:AF228"/>
    <mergeCell ref="AG227:AG228"/>
    <mergeCell ref="D204:F205"/>
    <mergeCell ref="D248:F249"/>
    <mergeCell ref="M88:O89"/>
    <mergeCell ref="A1:C2"/>
    <mergeCell ref="A3:C4"/>
    <mergeCell ref="R18:S19"/>
    <mergeCell ref="I33:K34"/>
    <mergeCell ref="M33:O34"/>
    <mergeCell ref="M44:O45"/>
    <mergeCell ref="I44:K45"/>
    <mergeCell ref="E44:G45"/>
    <mergeCell ref="E55:G56"/>
    <mergeCell ref="I55:K56"/>
    <mergeCell ref="M55:O56"/>
    <mergeCell ref="M66:O67"/>
    <mergeCell ref="I66:K67"/>
    <mergeCell ref="E66:G67"/>
    <mergeCell ref="D97:E98"/>
    <mergeCell ref="R138:T139"/>
    <mergeCell ref="R227:S228"/>
    <mergeCell ref="D101:F102"/>
    <mergeCell ref="BG87:BH87"/>
    <mergeCell ref="BJ87:BK87"/>
    <mergeCell ref="D105:F105"/>
    <mergeCell ref="H105:J105"/>
    <mergeCell ref="L105:M105"/>
    <mergeCell ref="AB141:AD141"/>
    <mergeCell ref="AF141:AH141"/>
    <mergeCell ref="R142:T142"/>
    <mergeCell ref="D156:F156"/>
    <mergeCell ref="H156:J156"/>
    <mergeCell ref="L156:M156"/>
    <mergeCell ref="BG97:BH98"/>
    <mergeCell ref="D152:F153"/>
    <mergeCell ref="AB84:AD84"/>
    <mergeCell ref="AF84:AH84"/>
    <mergeCell ref="BG84:BH84"/>
    <mergeCell ref="BJ84:BK84"/>
    <mergeCell ref="R85:T85"/>
    <mergeCell ref="BG85:BH85"/>
    <mergeCell ref="BJ85:BK85"/>
    <mergeCell ref="BG86:BH86"/>
    <mergeCell ref="BJ86:BK86"/>
    <mergeCell ref="BG79:BH79"/>
    <mergeCell ref="BJ79:BK79"/>
    <mergeCell ref="BG80:BH80"/>
    <mergeCell ref="BJ80:BK80"/>
    <mergeCell ref="BG81:BH81"/>
    <mergeCell ref="BJ81:BK81"/>
    <mergeCell ref="BG82:BH82"/>
    <mergeCell ref="BJ82:BK82"/>
    <mergeCell ref="BG83:BH83"/>
    <mergeCell ref="BJ83:BK83"/>
    <mergeCell ref="BG74:BH74"/>
    <mergeCell ref="BJ74:BK74"/>
    <mergeCell ref="BG75:BH75"/>
    <mergeCell ref="BJ75:BK75"/>
    <mergeCell ref="BG76:BH76"/>
    <mergeCell ref="BJ76:BK76"/>
    <mergeCell ref="BG77:BH77"/>
    <mergeCell ref="BJ77:BK77"/>
    <mergeCell ref="BG78:BH78"/>
    <mergeCell ref="BJ78:BK78"/>
    <mergeCell ref="BG69:BH69"/>
    <mergeCell ref="BJ69:BK69"/>
    <mergeCell ref="BG70:BH70"/>
    <mergeCell ref="BJ70:BK70"/>
    <mergeCell ref="BG71:BH71"/>
    <mergeCell ref="BJ71:BK71"/>
    <mergeCell ref="BG72:BH72"/>
    <mergeCell ref="BJ72:BK72"/>
    <mergeCell ref="BG73:BH73"/>
    <mergeCell ref="BJ73:BK73"/>
    <mergeCell ref="BG64:BH64"/>
    <mergeCell ref="BJ64:BK64"/>
    <mergeCell ref="BG65:BH65"/>
    <mergeCell ref="BJ65:BK65"/>
    <mergeCell ref="BG66:BH66"/>
    <mergeCell ref="BJ66:BK66"/>
    <mergeCell ref="BG67:BH67"/>
    <mergeCell ref="BJ67:BK67"/>
    <mergeCell ref="BG68:BH68"/>
    <mergeCell ref="BJ68:BK68"/>
    <mergeCell ref="BG59:BH59"/>
    <mergeCell ref="BJ59:BK59"/>
    <mergeCell ref="BG60:BH60"/>
    <mergeCell ref="BJ60:BK60"/>
    <mergeCell ref="BG61:BH61"/>
    <mergeCell ref="BJ61:BK61"/>
    <mergeCell ref="BG62:BH62"/>
    <mergeCell ref="BJ62:BK62"/>
    <mergeCell ref="BG63:BH63"/>
    <mergeCell ref="BJ63:BK63"/>
    <mergeCell ref="BO49:BP49"/>
    <mergeCell ref="BR49:BS49"/>
    <mergeCell ref="BG55:BH55"/>
    <mergeCell ref="BJ55:BK55"/>
    <mergeCell ref="BG56:BH56"/>
    <mergeCell ref="BJ56:BK56"/>
    <mergeCell ref="BG57:BH57"/>
    <mergeCell ref="BJ57:BK57"/>
    <mergeCell ref="BG58:BH58"/>
    <mergeCell ref="BJ58:BK58"/>
    <mergeCell ref="BG46:BH46"/>
    <mergeCell ref="BJ46:BK46"/>
    <mergeCell ref="BO46:BP46"/>
    <mergeCell ref="BR46:BS46"/>
    <mergeCell ref="BG47:BH47"/>
    <mergeCell ref="BJ47:BK47"/>
    <mergeCell ref="BO47:BP47"/>
    <mergeCell ref="BR47:BS47"/>
    <mergeCell ref="BG48:BH48"/>
    <mergeCell ref="BJ48:BK48"/>
    <mergeCell ref="BO48:BP48"/>
    <mergeCell ref="BR48:BS48"/>
    <mergeCell ref="BG43:BH43"/>
    <mergeCell ref="BJ43:BK43"/>
    <mergeCell ref="BO43:BP43"/>
    <mergeCell ref="BR43:BS43"/>
    <mergeCell ref="BG44:BH44"/>
    <mergeCell ref="BJ44:BK44"/>
    <mergeCell ref="BO44:BP44"/>
    <mergeCell ref="BR44:BS44"/>
    <mergeCell ref="BG45:BH45"/>
    <mergeCell ref="BJ45:BK45"/>
    <mergeCell ref="BO45:BP45"/>
    <mergeCell ref="BR45:BS45"/>
    <mergeCell ref="BG40:BH40"/>
    <mergeCell ref="BJ40:BK40"/>
    <mergeCell ref="BO40:BP40"/>
    <mergeCell ref="BR40:BS40"/>
    <mergeCell ref="BG41:BH41"/>
    <mergeCell ref="BJ41:BK41"/>
    <mergeCell ref="BO41:BP41"/>
    <mergeCell ref="BR41:BS41"/>
    <mergeCell ref="BG42:BH42"/>
    <mergeCell ref="BJ42:BK42"/>
    <mergeCell ref="BO42:BP42"/>
    <mergeCell ref="BR42:BS42"/>
    <mergeCell ref="BG37:BH37"/>
    <mergeCell ref="BJ37:BK37"/>
    <mergeCell ref="BO37:BP37"/>
    <mergeCell ref="BR37:BS37"/>
    <mergeCell ref="BG38:BH38"/>
    <mergeCell ref="BJ38:BK38"/>
    <mergeCell ref="BO38:BP38"/>
    <mergeCell ref="BR38:BS38"/>
    <mergeCell ref="BG39:BH39"/>
    <mergeCell ref="BJ39:BK39"/>
    <mergeCell ref="BO39:BP39"/>
    <mergeCell ref="BR39:BS39"/>
    <mergeCell ref="R35:T35"/>
    <mergeCell ref="BG35:BH35"/>
    <mergeCell ref="BJ35:BK35"/>
    <mergeCell ref="BO35:BP35"/>
    <mergeCell ref="BR35:BS35"/>
    <mergeCell ref="BG36:BH36"/>
    <mergeCell ref="BJ36:BK36"/>
    <mergeCell ref="BO36:BP36"/>
    <mergeCell ref="BR36:BS36"/>
    <mergeCell ref="BG32:BH32"/>
    <mergeCell ref="BJ32:BK32"/>
    <mergeCell ref="BO32:BP32"/>
    <mergeCell ref="BR32:BS32"/>
    <mergeCell ref="BG33:BH33"/>
    <mergeCell ref="BJ33:BK33"/>
    <mergeCell ref="BO33:BP33"/>
    <mergeCell ref="BR33:BS33"/>
    <mergeCell ref="AB34:AD34"/>
    <mergeCell ref="AF34:AH34"/>
    <mergeCell ref="BG34:BH34"/>
    <mergeCell ref="BJ34:BK34"/>
    <mergeCell ref="BO34:BP34"/>
    <mergeCell ref="BR34:BS34"/>
    <mergeCell ref="BG29:BH29"/>
    <mergeCell ref="BJ29:BK29"/>
    <mergeCell ref="BO29:BP29"/>
    <mergeCell ref="BR29:BS29"/>
    <mergeCell ref="BG30:BH30"/>
    <mergeCell ref="BJ30:BK30"/>
    <mergeCell ref="BO30:BP30"/>
    <mergeCell ref="BR30:BS30"/>
    <mergeCell ref="BG31:BH31"/>
    <mergeCell ref="BJ31:BK31"/>
    <mergeCell ref="BO31:BP31"/>
    <mergeCell ref="BR31:BS31"/>
    <mergeCell ref="BG26:BH26"/>
    <mergeCell ref="BJ26:BK26"/>
    <mergeCell ref="BO26:BP26"/>
    <mergeCell ref="BR26:BS26"/>
    <mergeCell ref="BG27:BH27"/>
    <mergeCell ref="BJ27:BK27"/>
    <mergeCell ref="BO27:BP27"/>
    <mergeCell ref="BR27:BS27"/>
    <mergeCell ref="BG28:BH28"/>
    <mergeCell ref="BJ28:BK28"/>
    <mergeCell ref="BO28:BP28"/>
    <mergeCell ref="BR28:BS28"/>
    <mergeCell ref="BG23:BH23"/>
    <mergeCell ref="BJ23:BK23"/>
    <mergeCell ref="BO23:BP23"/>
    <mergeCell ref="BR23:BS23"/>
    <mergeCell ref="BG24:BH24"/>
    <mergeCell ref="BJ24:BK24"/>
    <mergeCell ref="BO24:BP24"/>
    <mergeCell ref="BR24:BS24"/>
    <mergeCell ref="BG25:BH25"/>
    <mergeCell ref="BJ25:BK25"/>
    <mergeCell ref="BO25:BP25"/>
    <mergeCell ref="BR25:BS25"/>
    <mergeCell ref="BG20:BH20"/>
    <mergeCell ref="BJ20:BK20"/>
    <mergeCell ref="BO20:BP20"/>
    <mergeCell ref="BR20:BS20"/>
    <mergeCell ref="BG21:BH21"/>
    <mergeCell ref="BJ21:BK21"/>
    <mergeCell ref="BO21:BP21"/>
    <mergeCell ref="BR21:BS21"/>
    <mergeCell ref="BG22:BH22"/>
    <mergeCell ref="BJ22:BK22"/>
    <mergeCell ref="BO22:BP22"/>
    <mergeCell ref="BR22:BS22"/>
    <mergeCell ref="BG17:BH17"/>
    <mergeCell ref="BJ17:BK17"/>
    <mergeCell ref="BO17:BP17"/>
    <mergeCell ref="BR17:BS17"/>
    <mergeCell ref="BG18:BH18"/>
    <mergeCell ref="BJ18:BK18"/>
    <mergeCell ref="BO18:BP18"/>
    <mergeCell ref="BR18:BS18"/>
    <mergeCell ref="BG19:BH19"/>
    <mergeCell ref="BJ19:BK19"/>
    <mergeCell ref="BO19:BP19"/>
    <mergeCell ref="BR19:BS19"/>
    <mergeCell ref="BG14:BH14"/>
    <mergeCell ref="BJ14:BK14"/>
    <mergeCell ref="BO14:BP14"/>
    <mergeCell ref="BR14:BS14"/>
    <mergeCell ref="BG15:BH15"/>
    <mergeCell ref="BJ15:BK15"/>
    <mergeCell ref="BO15:BP15"/>
    <mergeCell ref="BR15:BS15"/>
    <mergeCell ref="BG16:BH16"/>
    <mergeCell ref="BJ16:BK16"/>
    <mergeCell ref="BO16:BP16"/>
    <mergeCell ref="BR16:BS16"/>
    <mergeCell ref="V12:W12"/>
    <mergeCell ref="X12:Y12"/>
    <mergeCell ref="Z12:AA12"/>
    <mergeCell ref="BG12:BH12"/>
    <mergeCell ref="BJ12:BK12"/>
    <mergeCell ref="BO12:BP12"/>
    <mergeCell ref="BR12:BS12"/>
    <mergeCell ref="V13:W13"/>
    <mergeCell ref="X13:Y13"/>
    <mergeCell ref="Z13:AA13"/>
    <mergeCell ref="BG13:BH13"/>
    <mergeCell ref="BJ13:BK13"/>
    <mergeCell ref="BO13:BP13"/>
    <mergeCell ref="BR13:BS13"/>
    <mergeCell ref="V10:W10"/>
    <mergeCell ref="X10:Y10"/>
    <mergeCell ref="Z10:AA10"/>
    <mergeCell ref="BG10:BH10"/>
    <mergeCell ref="BJ10:BK10"/>
    <mergeCell ref="BO10:BP10"/>
    <mergeCell ref="BR10:BS10"/>
    <mergeCell ref="V11:W11"/>
    <mergeCell ref="X11:Y11"/>
    <mergeCell ref="Z11:AA11"/>
    <mergeCell ref="BG11:BH11"/>
    <mergeCell ref="BJ11:BK11"/>
    <mergeCell ref="BO11:BP11"/>
    <mergeCell ref="BR11:BS11"/>
    <mergeCell ref="V8:W8"/>
    <mergeCell ref="X8:Y8"/>
    <mergeCell ref="Z8:AA8"/>
    <mergeCell ref="BG8:BH8"/>
    <mergeCell ref="BJ8:BK8"/>
    <mergeCell ref="BO8:BP8"/>
    <mergeCell ref="BR8:BS8"/>
    <mergeCell ref="V9:W9"/>
    <mergeCell ref="X9:Y9"/>
    <mergeCell ref="Z9:AA9"/>
    <mergeCell ref="BG9:BH9"/>
    <mergeCell ref="BJ9:BK9"/>
    <mergeCell ref="BO9:BP9"/>
    <mergeCell ref="BR9:BS9"/>
    <mergeCell ref="S5:T5"/>
    <mergeCell ref="V6:W6"/>
    <mergeCell ref="X6:Y6"/>
    <mergeCell ref="Z6:AA6"/>
    <mergeCell ref="BG6:BH6"/>
    <mergeCell ref="BJ6:BK6"/>
    <mergeCell ref="BO6:BP6"/>
    <mergeCell ref="BR6:BS6"/>
    <mergeCell ref="V7:W7"/>
    <mergeCell ref="X7:Y7"/>
    <mergeCell ref="Z7:AA7"/>
    <mergeCell ref="BG7:BH7"/>
    <mergeCell ref="BJ7:BK7"/>
    <mergeCell ref="BO7:BP7"/>
    <mergeCell ref="BR7:BS7"/>
  </mergeCells>
  <conditionalFormatting sqref="A1:CA184 BP185:CA194 A185:BO197 BP195:BP197 A198:BP204">
    <cfRule type="expression" dxfId="2" priority="3">
      <formula>颜色主题="魔法"</formula>
    </cfRule>
  </conditionalFormatting>
  <conditionalFormatting sqref="A205:CA452">
    <cfRule type="expression" dxfId="1" priority="1">
      <formula>颜色主题="魔法"</formula>
    </cfRule>
  </conditionalFormatting>
  <conditionalFormatting sqref="BQ195:CA204">
    <cfRule type="expression" dxfId="0" priority="2">
      <formula>颜色主题="魔法"</formula>
    </cfRule>
  </conditionalFormatting>
  <dataValidations count="36">
    <dataValidation allowBlank="1" showInputMessage="1" showErrorMessage="1" promptTitle="=========================" prompt="此项目决定了兵种的攻击目标和偏好。_x000a_攻击任何目标，选择最近的攻击！_x000a__x000a_" sqref="BI103 BR103 BI118 BI175 BI200" xr:uid="{00000000-0002-0000-0B00-000000000000}"/>
    <dataValidation allowBlank="1" showInputMessage="1" showErrorMessage="1" promptTitle="======================" prompt="在此期间无法作为目标" sqref="BI107 BR107" xr:uid="{00000000-0002-0000-0B00-000001000000}"/>
    <dataValidation allowBlank="1" showInputMessage="1" showErrorMessage="1" promptTitle="=========================" prompt="带有溅射半径的兵种都可以产生溅射伤害，从而可以击中多个单位，但有可能会因为高速移动而被闪避。_x000a_" sqref="BI122" xr:uid="{00000000-0002-0000-0B00-000002000000}"/>
    <dataValidation allowBlank="1" showInputMessage="1" showErrorMessage="1" promptTitle="=======================" prompt="占用空间指的是兵种占用兵营的容量。_x000a_" sqref="BI110 BR110 BI125 BI139 BI152 BI167 BI181 BI193 BI207 BI221 BI311" xr:uid="{00000000-0002-0000-0B00-000004000000}"/>
    <dataValidation allowBlank="1" showInputMessage="1" showErrorMessage="1" promptTitle="=================" prompt="射程指的是单位可以攻击到目标的最远距离" sqref="BI104 BR104 BI119 BI133 BI146 BI161 BI176 BI187 BI201 BI215 BI305" xr:uid="{00000000-0002-0000-0B00-000005000000}"/>
    <dataValidation allowBlank="1" showInputMessage="1" showErrorMessage="1" promptTitle="=========================" prompt="攻速决定了单位开火所需要的时间，_x000a_每次伤害=攻速*每秒伤害。_x000a_" sqref="BI105 BR105 BI120 BI134 BI162 BI177 BI188 BI202 BI216 BI306" xr:uid="{00000000-0002-0000-0B00-000006000000}"/>
    <dataValidation allowBlank="1" showInputMessage="1" showErrorMessage="1" promptTitle="======================" prompt="在达到所需要的效果前的一段时间，通常是准备时间。" sqref="BI259 BI267 BI276" xr:uid="{00000000-0002-0000-0B00-000007000000}"/>
    <dataValidation allowBlank="1" showInputMessage="1" showErrorMessage="1" promptTitle="========================" prompt="移速的单位是：秒/格_x000a_与游戏显示的数值n的转换方法是：n/8_x000a__x000a_" sqref="BI106 BR106 BI121 BI135 BI148 BI178 BI189 BI203 BI217 BI307" xr:uid="{00000000-0002-0000-0B00-000008000000}"/>
    <dataValidation allowBlank="1" showInputMessage="1" showErrorMessage="1" promptTitle="===========天使===========" prompt="至于圣水饮品价格大幅下降的原因，可以归咎于天使。_x000a_只要喝完把杯子给天使，就可以很快得到满杯的圣水。至于原理？最好还是别知道了！_x000a_" sqref="BI303" xr:uid="{00000000-0002-0000-0B00-000009000000}"/>
    <dataValidation allowBlank="1" showInputMessage="1" showErrorMessage="1" promptTitle="======================" prompt="占用空间指的是法术占用法术工厂总容量的多少。" sqref="BI235 BI246 BI287 BI299" xr:uid="{00000000-0002-0000-0B00-00000A000000}"/>
    <dataValidation allowBlank="1" showInputMessage="1" showErrorMessage="1" promptTitle="======================" prompt="对城墙具有极高的伤害_x000a_" sqref="BI136" xr:uid="{00000000-0002-0000-0B00-00000B000000}"/>
    <dataValidation allowBlank="1" showInputMessage="1" showErrorMessage="1" promptTitle="==========================" prompt="单体攻击：一次攻击只击中一个目标，并且永远不会击空。_x000a_" sqref="BI108 BR108 BI137 BI149 BI190 BI218" xr:uid="{00000000-0002-0000-0B00-00000C000000}"/>
    <dataValidation allowBlank="1" showInputMessage="1" showErrorMessage="1" promptTitle="=====================" prompt="训练时间：单个训练营训练指定单位所需要的时间。_x000a_15本更新训练营合并，训练时间37s_x000a__x000a_" sqref="BI111" xr:uid="{00000000-0002-0000-0B00-00000D000000}"/>
    <dataValidation allowBlank="1" showInputMessage="1" showErrorMessage="1" promptTitle="=====================" prompt="训练时间：单个训练营训练指定单位所需要的时间。_x000a__x000a_" sqref="BR111 BI126 BI140 BI153 BI168 BI182" xr:uid="{00000000-0002-0000-0B00-00000E000000}"/>
    <dataValidation allowBlank="1" showInputMessage="1" showErrorMessage="1" promptTitle="========================" prompt="权重分为两个值，跟随权重和仇恨权重_x000a_“跟随权重”反应了兵种在大守护者眼中的重要性，锁定目标时对目标施加自身的跟随权重_x000a_“仇恨权重”反应了兵种在天鹰火炮范围内的威胁，该值越高则代表越容易被天鹰锁定_x000a_" sqref="BI112 BI127 BI141 BI154 BI169 BI183 BI195 BI209 BI223" xr:uid="{00000000-0002-0000-0B00-00000F000000}"/>
    <dataValidation allowBlank="1" showInputMessage="1" showErrorMessage="1" promptTitle="======================" prompt="此项目决定了兵种的攻击目标和偏好。_x000a_优先攻击最近偏好目标，否则选择最近的攻击！" sqref="BI132 BI160 BI186 BI214" xr:uid="{00000000-0002-0000-0B00-000010000000}"/>
    <dataValidation allowBlank="1" showInputMessage="1" showErrorMessage="1" promptTitle="========================" prompt="移速的单位是：秒/格_x000a_与游戏显示的数值n的转换方法是：n/8_x000a_2021返场，移动速度由16→13_x000a__x000a_" sqref="BI163" xr:uid="{00000000-0002-0000-0B00-000011000000}"/>
    <dataValidation allowBlank="1" showInputMessage="1" showErrorMessage="1" promptTitle="=====================" prompt="法术两次增益之间所需要的时间，往往比较短，就好像持续下去的。" sqref="BI295" xr:uid="{00000000-0002-0000-0B00-000012000000}"/>
    <dataValidation allowBlank="1" showInputMessage="1" showErrorMessage="1" promptTitle="=====================" prompt="代表法术可以释放增益效果的次数" sqref="BI282 BI294" xr:uid="{00000000-0002-0000-0B00-000013000000}"/>
    <dataValidation allowBlank="1" showInputMessage="1" showErrorMessage="1" promptTitle="=========================" prompt="带有溅射半径的兵种都可以产生溅射伤害，从而可以击中多个单位，但有可能会因为高速移动而被闪避。_x000a_2021年取消该技能_x000a_" sqref="BI164" xr:uid="{00000000-0002-0000-0B00-000014000000}"/>
    <dataValidation allowBlank="1" showInputMessage="1" showErrorMessage="1" promptTitle="=========================" prompt="单体攻击：一次攻击只击中一个目标，并且永远不会击空。_x000a_" sqref="BI179" xr:uid="{00000000-0002-0000-0B00-000015000000}"/>
    <dataValidation allowBlank="1" showInputMessage="1" showErrorMessage="1" promptTitle="=====================" prompt="代表了陷阱可以作用的指定单位" sqref="BI255 BI263 BI272" xr:uid="{00000000-0002-0000-0B00-000016000000}"/>
    <dataValidation allowBlank="1" showInputMessage="1" showErrorMessage="1" promptTitle="=====================" prompt="训练时间：单个训练营训练指定单位所需要的时间。_x000a_2022年训练营合并，训练时间30秒_x000a_" sqref="BI194 BI208 BI222" xr:uid="{00000000-0002-0000-0B00-000017000000}"/>
    <dataValidation allowBlank="1" showInputMessage="1" showErrorMessage="1" promptTitle="======================" sqref="BI230" xr:uid="{00000000-0002-0000-0B00-000018000000}"/>
    <dataValidation allowBlank="1" showInputMessage="1" showErrorMessage="1" promptTitle="======================" prompt="法术所覆盖的半径，作用效果取决于法术类型。" sqref="BI231 BI242 BI281 BI293" xr:uid="{00000000-0002-0000-0B00-000019000000}"/>
    <dataValidation allowBlank="1" showInputMessage="1" showErrorMessage="1" promptTitle="=========================" prompt="放置时间指的是从你释放法术到法术落在地上的时间" sqref="BI232 BI243" xr:uid="{00000000-0002-0000-0B00-00001A000000}"/>
    <dataValidation allowBlank="1" showInputMessage="1" showErrorMessage="1" promptTitle="=========================" prompt="放置时长指的是从你释放法术到法术落在地上的时间" sqref="BI284 BI296" xr:uid="{00000000-0002-0000-0B00-00001B000000}"/>
    <dataValidation allowBlank="1" showInputMessage="1" showErrorMessage="1" promptTitle="======================" prompt="生效延迟指的是从法术落地之后到起作用的时间。" sqref="BI233 BI244 BI285 BI297" xr:uid="{00000000-0002-0000-0B00-00001C000000}"/>
    <dataValidation allowBlank="1" showInputMessage="1" showErrorMessage="1" promptTitle="======================" prompt="类似于冰冻但区别于此" sqref="BI234" xr:uid="{00000000-0002-0000-0B00-00001D000000}"/>
    <dataValidation allowBlank="1" showInputMessage="1" showErrorMessage="1" promptTitle="======================" prompt="配置一瓶法术所需要的时间。_x000a__x000a_不过告诉你一个小秘密：_x000a_如果你的法术工厂在升级，却安排了圣水法术的配置，那么暗黑工厂也可以配置圣水法术！_x000a_" sqref="BI236 BI247 BI288 BI300" xr:uid="{00000000-0002-0000-0B00-00001E000000}"/>
    <dataValidation allowBlank="1" showInputMessage="1" showErrorMessage="1" promptTitle="======================" prompt="“占地面积”指的是这个建筑的占用面积和可以受到伤害的区域（非陷阱）。_x000a_进攻时无法在可见建筑的“占地面积”以及外面一圈的范围内下兵。_x000a_" sqref="BI258 BI266 BI275" xr:uid="{00000000-0002-0000-0B00-00001F000000}"/>
    <dataValidation allowBlank="1" showInputMessage="1" showErrorMessage="1" promptTitle="======================" prompt="炸弹伤害的溅射范围" sqref="BI257 BI265 BI274" xr:uid="{00000000-0002-0000-0B00-000020000000}"/>
    <dataValidation allowBlank="1" showInputMessage="1" showErrorMessage="1" promptTitle="===========雷电法术===========" prompt="雷电法术装满了电击质，这是来自天堂的稀有不稳定物质，一旦挥发就会引起感应雷击。_x000a_那么法师究竟是怎么得到这些危险的材料呢？_x000a_" sqref="BI291" xr:uid="{00000000-0002-0000-0B00-000021000000}"/>
    <dataValidation allowBlank="1" showInputMessage="1" showErrorMessage="1" promptTitle="======================" prompt="雷电的溅射半径，巨大的覆盖范围保证法术的中心点受到全额伤害。" sqref="BI292" xr:uid="{00000000-0002-0000-0B00-000022000000}"/>
    <dataValidation allowBlank="1" showInputMessage="1" showErrorMessage="1" promptTitle="====================" prompt="飞行速度：12格/秒_x000a_可否追踪：不能_x000a_弹道轨迹：直线_x000a_参考时间：0.42秒_x000a_" sqref="BK303" xr:uid="{00000000-0002-0000-0B00-000023000000}"/>
    <dataValidation allowBlank="1" showInputMessage="1" showErrorMessage="1" promptTitle="=================" prompt="治疗波可以覆盖的范围" sqref="BI308" xr:uid="{00000000-0002-0000-0B00-000024000000}"/>
  </dataValidations>
  <hyperlinks>
    <hyperlink ref="A6" location="'5.4纪念碑谷'!D1:O90" tooltip="所有的魔法物品" display="1.魔法物品" xr:uid="{00000000-0004-0000-0B00-000000000000}"/>
    <hyperlink ref="A7" location="'5.4纪念碑谷'!D97:P316" tooltip="月度挑战出现的所有任务" display="2.月度挑战" xr:uid="{00000000-0004-0000-0B00-000001000000}"/>
    <hyperlink ref="A9" location="'5.4纪念碑谷'!R18:AH207" tooltip="部落竞赛出现的所有任务" display="4.竞赛任务" xr:uid="{00000000-0004-0000-0B00-000002000000}"/>
    <hyperlink ref="A8" location="'5.4纪念碑谷'!R1:AH201" tooltip="部落竞赛的历史" display="3.部落竞赛" xr:uid="{00000000-0004-0000-0B00-000003000000}"/>
    <hyperlink ref="A10" location="'5.4纪念碑谷'!AJ1:BE344" tooltip="游戏建议啦，或者别的什么" display="5.游戏建议" xr:uid="{00000000-0004-0000-0B00-000004000000}"/>
    <hyperlink ref="D1:E2" location="纪念碑谷" tooltip="返回索引" display="魔法物品" xr:uid="{00000000-0004-0000-0B00-000005000000}"/>
    <hyperlink ref="D97:E98" location="'5.4纪念碑谷'!A1:C13" tooltip="返回索引" display="月度挑战" xr:uid="{00000000-0004-0000-0B00-000006000000}"/>
    <hyperlink ref="R1:S2" location="'5.4纪念碑谷'!A1:C13" tooltip="返回索引" display="部落竞赛" xr:uid="{00000000-0004-0000-0B00-000007000000}"/>
    <hyperlink ref="R18:S19" location="'5.4纪念碑谷'!A1:C13" tooltip="返回索引" display="竞赛任务" xr:uid="{00000000-0004-0000-0B00-000008000000}"/>
    <hyperlink ref="AJ1:AK2" location="'5.4纪念碑谷'!A1:C13" tooltip="返回索引" display="游戏建议" xr:uid="{00000000-0004-0000-0B00-000009000000}"/>
    <hyperlink ref="A11" location="'5.4纪念碑谷'!BG1:BV89" tooltip="障碍物和装饰物的集合！" display="6.障碍&amp;装饰" xr:uid="{00000000-0004-0000-0B00-00000A000000}"/>
    <hyperlink ref="BG1:BH2" location="'5.4纪念碑谷'!A1:C13" tooltip="返回索引" display="障碍&amp;装饰" xr:uid="{00000000-0004-0000-0B00-00000B000000}"/>
    <hyperlink ref="BG97:BH98" location="'5.4纪念碑谷'!A1:C13" tooltip="返回索引" display="被遗忘的海岸" xr:uid="{00000000-0004-0000-0B00-00000C000000}"/>
    <hyperlink ref="A12" location="'5.4纪念碑谷'!BG97:BW281" tooltip="记录历史存在的兵种" display="7.被遗忘的海岸" xr:uid="{00000000-0004-0000-0B00-00000D000000}"/>
    <hyperlink ref="A13" location="'5.4纪念碑谷'!R227:AG391" tooltip="记录现在coc里存有的成就" display="8.成就挑战" xr:uid="{00000000-0004-0000-0B00-00000E000000}"/>
    <hyperlink ref="BG101" location="'5.4纪念碑谷'!BI102:BP111" display="01,皇家幽灵" xr:uid="{00000000-0004-0000-0B00-00000F000000}"/>
    <hyperlink ref="BG102" location="'5.4纪念碑谷'!BI117:BP128" display="02,派对法师" xr:uid="{00000000-0004-0000-0B00-000010000000}"/>
    <hyperlink ref="BG103" location="'5.4纪念碑谷'!BI131:BO140" display="03,艾尔普里莫" xr:uid="{00000000-0004-0000-0B00-000011000000}"/>
    <hyperlink ref="BI102" location="'5.4纪念碑谷'!BG100:BG115" display="皇家幽灵" xr:uid="{00000000-0004-0000-0B00-000012000000}"/>
    <hyperlink ref="BI117" location="'5.4纪念碑谷'!BG100:BG115" display="派对法师" xr:uid="{00000000-0004-0000-0B00-000013000000}"/>
    <hyperlink ref="BI131" location="'5.4纪念碑谷'!BG100:BG115" display="艾尔普里莫" xr:uid="{00000000-0004-0000-0B00-000014000000}"/>
    <hyperlink ref="BI144" location="'5.4纪念碑谷'!BG100:BG115" display="野蛮人攻城锤" xr:uid="{00000000-0004-0000-0B00-000015000000}"/>
    <hyperlink ref="BI159" location="'5.4纪念碑谷'!BG100:BG115" display="寒冰法师" xr:uid="{00000000-0004-0000-0B00-000016000000}"/>
    <hyperlink ref="BI174" location="'5.4纪念碑谷'!BG100:BG115" display="南瓜野蛮人" xr:uid="{00000000-0004-0000-0B00-000017000000}"/>
    <hyperlink ref="BI213" location="'5.4纪念碑谷'!BG100:BG115" display="蛮羊骑士" xr:uid="{00000000-0004-0000-0B00-000018000000}"/>
    <hyperlink ref="BI229" location="'5.4纪念碑谷'!BG100:BG115" display="生日派对！" xr:uid="{00000000-0004-0000-0B00-000019000000}"/>
    <hyperlink ref="BI240" location="'5.4纪念碑谷'!BG100:BG115" display="圣诞奇袭" xr:uid="{00000000-0004-0000-0B00-00001A000000}"/>
    <hyperlink ref="BI254" location="'5.4纪念碑谷'!BG100:BG115" display="南瓜炸弹" xr:uid="{00000000-0004-0000-0B00-00001B000000}"/>
    <hyperlink ref="BI262" location="'5.4纪念碑谷'!BG100:BG115" display="冷冻炸弹" xr:uid="{00000000-0004-0000-0B00-00001C000000}"/>
    <hyperlink ref="BI271" location="'5.4纪念碑谷'!BG100:BG115" display="玲珑炸弹" xr:uid="{00000000-0004-0000-0B00-00001D000000}"/>
    <hyperlink ref="BI280" location="'5.4纪念碑谷'!BG100:BG115" display="冰冻法术" xr:uid="{00000000-0004-0000-0B00-00001E000000}"/>
    <hyperlink ref="BI291" location="'5.4纪念碑谷'!BG100:BG115" display="雷电法术" xr:uid="{00000000-0004-0000-0B00-00001F000000}"/>
    <hyperlink ref="BI303" location="'5.4纪念碑谷'!BG100:BG115" display="建筑工人" xr:uid="{00000000-0004-0000-0B00-000020000000}"/>
    <hyperlink ref="BG104" location="'5.4纪念碑谷'!BI144:BQ155" display="04,攻城锤" xr:uid="{00000000-0004-0000-0B00-000021000000}"/>
    <hyperlink ref="BG105" location="'5.4纪念碑谷'!BI158:BN170" display="05,寒冰法师" xr:uid="{00000000-0004-0000-0B00-000022000000}"/>
    <hyperlink ref="BG106" location="'5.4纪念碑谷'!BI174:BO183" display="06,南瓜野蛮人" xr:uid="{00000000-0004-0000-0B00-000023000000}"/>
    <hyperlink ref="BG107" location="'5.4纪念碑谷'!BI185:BO197" display="07,巨型骷髅" xr:uid="{00000000-0004-0000-0B00-000024000000}"/>
    <hyperlink ref="BG108" location="'5.4纪念碑谷'!BI229:BN238" display="08,生日派对" xr:uid="{00000000-0004-0000-0B00-000025000000}"/>
    <hyperlink ref="BG109" location="'5.4纪念碑谷'!BI240:BN252" display="09,圣诞奇袭" xr:uid="{00000000-0004-0000-0B00-000026000000}"/>
    <hyperlink ref="BG110" location="'5.4纪念碑谷'!BI254:BN259" display="10,南瓜炸弹" xr:uid="{00000000-0004-0000-0B00-000027000000}"/>
    <hyperlink ref="BG111" location="'5.4纪念碑谷'!BI262:BN267" display="11,冷冻炸弹" xr:uid="{00000000-0004-0000-0B00-000028000000}"/>
    <hyperlink ref="BG112" location="'5.4纪念碑谷'!BI271:BN276" display="12,玲珑陷阱" xr:uid="{00000000-0004-0000-0B00-000029000000}"/>
    <hyperlink ref="BG113" location="'5.4纪念碑谷'!BI280:BO288" display="13.旧版冰冻" xr:uid="{00000000-0004-0000-0B00-00002A000000}"/>
    <hyperlink ref="BG114" location="'5.4纪念碑谷'!BI291:BP300" display="14.旧版雷电" xr:uid="{00000000-0004-0000-0B00-00002B000000}"/>
    <hyperlink ref="BG115" location="'5.4纪念碑谷'!BI303:BN311" display="15.建筑工人" xr:uid="{00000000-0004-0000-0B00-00002C000000}"/>
    <hyperlink ref="BI199" location="'5.4纪念碑谷'!BG100:BG115" display="骷髅飞桶" xr:uid="{00000000-0004-0000-0B00-00002D000000}"/>
    <hyperlink ref="R227:S228" location="'5.4纪念碑谷'!A1:C13" tooltip="返回索引" display="成就挑战" xr:uid="{00000000-0004-0000-0B00-00002E000000}"/>
    <hyperlink ref="BG116" location="'5.4纪念碑谷'!BI199:BN209" display="16.骷髅飞桶" xr:uid="{00000000-0004-0000-0B00-00002F000000}"/>
    <hyperlink ref="BI185" location="'5.4纪念碑谷'!BG100:BG115" display="巨型骷髅" xr:uid="{00000000-0004-0000-0B00-000030000000}"/>
    <hyperlink ref="BG117" location="'5.4纪念碑谷'!BI203:BO223" display="17.蛮羊骑士" xr:uid="{00000000-0004-0000-0B00-000031000000}"/>
  </hyperlinks>
  <pageMargins left="0.75" right="0.75" top="1" bottom="1" header="0.5" footer="0.5"/>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3000000}">
          <x14:formula1>
            <xm:f>INDIRECT(小羊的家备份!$AT$9)</xm:f>
          </x14:formula1>
          <xm:sqref>S5:T5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DM968"/>
  <sheetViews>
    <sheetView zoomScale="85" zoomScaleNormal="85" workbookViewId="0">
      <selection activeCell="AO122" sqref="AO122"/>
    </sheetView>
  </sheetViews>
  <sheetFormatPr defaultColWidth="9" defaultRowHeight="14.15"/>
  <cols>
    <col min="1" max="1" width="15.640625" customWidth="1"/>
    <col min="4" max="4" width="17" customWidth="1"/>
    <col min="5" max="5" width="15.7109375" customWidth="1"/>
    <col min="6" max="6" width="12.2109375" customWidth="1"/>
    <col min="26" max="26" width="9.35546875"/>
    <col min="27" max="39" width="9" customWidth="1"/>
    <col min="40" max="40" width="9.35546875"/>
    <col min="41" max="41" width="8.35546875" customWidth="1"/>
    <col min="43" max="43" width="15.7109375" customWidth="1"/>
    <col min="64" max="64" width="13.7109375"/>
    <col min="66" max="66" width="9.35546875"/>
    <col min="84" max="84" width="12.640625"/>
    <col min="87" max="87" width="10.35546875"/>
    <col min="88" max="88" width="13.7109375"/>
    <col min="90" max="90" width="12.640625"/>
    <col min="92" max="92" width="9.35546875"/>
    <col min="95" max="95" width="20.5" customWidth="1"/>
    <col min="96" max="96" width="74.2109375" customWidth="1"/>
  </cols>
  <sheetData>
    <row r="1" spans="1:117">
      <c r="A1" t="s">
        <v>4666</v>
      </c>
      <c r="B1" t="str">
        <f ca="1">MID(CELL("filename",A1),FIND("]",CELL("filename",A1))+1,99)&amp;"!"</f>
        <v>小羊的家备份!</v>
      </c>
      <c r="D1" t="s">
        <v>4667</v>
      </c>
      <c r="T1" t="str">
        <f ca="1">B1&amp;"U6:U"&amp;COUNTA(D:D)</f>
        <v>小羊的家备份!U6:U282</v>
      </c>
      <c r="Y1" t="s">
        <v>4668</v>
      </c>
      <c r="AB1" t="s">
        <v>4669</v>
      </c>
      <c r="AQ1" t="s">
        <v>4670</v>
      </c>
    </row>
    <row r="2" spans="1:117">
      <c r="D2" t="s">
        <v>4671</v>
      </c>
      <c r="T2" t="str">
        <f ca="1">B1&amp;"D6:D"&amp;COUNTA(D:D)</f>
        <v>小羊的家备份!D6:D282</v>
      </c>
      <c r="Y2" t="s">
        <v>4672</v>
      </c>
      <c r="AQ2">
        <f t="array" aca="1" ref="AQ2:AU8" ca="1">INDIRECT(VLOOKUP('5.4纪念碑谷'!S5,INDIRECT("AQ11:AU"&amp;AR9),5,0))</f>
        <v>3000</v>
      </c>
      <c r="AR2" t="str">
        <f ca="1"/>
        <v>30%金币</v>
      </c>
      <c r="AS2" t="str">
        <f ca="1"/>
        <v>训练药水*1</v>
      </c>
      <c r="AT2" t="str">
        <f ca="1"/>
        <v>20宝石</v>
      </c>
      <c r="AU2">
        <f ca="1"/>
        <v>10</v>
      </c>
      <c r="AX2" s="28">
        <v>3000</v>
      </c>
      <c r="AY2" s="28" t="s">
        <v>4673</v>
      </c>
      <c r="AZ2" s="28" t="s">
        <v>4674</v>
      </c>
      <c r="BA2" s="28" t="s">
        <v>4675</v>
      </c>
      <c r="BB2" s="28">
        <v>20</v>
      </c>
      <c r="BF2" s="29" t="s">
        <v>2911</v>
      </c>
      <c r="BG2" s="29"/>
      <c r="BH2" s="29"/>
      <c r="BI2" s="29"/>
      <c r="BJ2" s="29"/>
      <c r="BK2" s="29"/>
      <c r="BL2" s="29"/>
      <c r="BM2" s="29"/>
      <c r="BN2" s="29"/>
      <c r="BQ2" s="37" t="s">
        <v>4676</v>
      </c>
      <c r="BR2" s="37" t="s">
        <v>4677</v>
      </c>
      <c r="BS2" s="37" t="s">
        <v>4678</v>
      </c>
      <c r="BT2" s="37"/>
      <c r="BU2" s="37"/>
      <c r="BV2" s="37"/>
      <c r="BW2" s="37"/>
      <c r="BX2" s="37"/>
      <c r="BY2" s="37" t="s">
        <v>4679</v>
      </c>
      <c r="BZ2" t="s">
        <v>4680</v>
      </c>
      <c r="CQ2" t="s">
        <v>4681</v>
      </c>
      <c r="CR2" t="s">
        <v>4682</v>
      </c>
    </row>
    <row r="3" spans="1:117">
      <c r="A3" t="s">
        <v>4683</v>
      </c>
      <c r="B3" t="s">
        <v>4684</v>
      </c>
      <c r="D3" t="s">
        <v>4685</v>
      </c>
      <c r="E3" s="1" t="s">
        <v>4686</v>
      </c>
      <c r="F3" s="1">
        <v>1</v>
      </c>
      <c r="G3" s="1">
        <v>2</v>
      </c>
      <c r="H3" s="1">
        <v>3</v>
      </c>
      <c r="I3" s="1">
        <v>4</v>
      </c>
      <c r="J3" s="1">
        <v>5</v>
      </c>
      <c r="K3" s="1">
        <v>6</v>
      </c>
      <c r="L3" s="1">
        <v>7</v>
      </c>
      <c r="M3" s="1">
        <v>8</v>
      </c>
      <c r="N3" s="1">
        <v>9</v>
      </c>
      <c r="O3" s="1">
        <v>10</v>
      </c>
      <c r="P3" s="1">
        <v>11</v>
      </c>
      <c r="Q3" s="1">
        <v>12</v>
      </c>
      <c r="T3" t="str">
        <f ca="1">B1&amp;"E6:E"&amp;COUNTA(D:D)</f>
        <v>小羊的家备份!E6:E282</v>
      </c>
      <c r="AQ3">
        <f ca="1"/>
        <v>7500</v>
      </c>
      <c r="AR3" t="str">
        <f ca="1"/>
        <v>30%黑油</v>
      </c>
      <c r="AS3" t="str">
        <f ca="1"/>
        <v>英雄药水*1</v>
      </c>
      <c r="AT3" t="str">
        <f ca="1"/>
        <v>钟楼药水*1</v>
      </c>
      <c r="AU3">
        <f ca="1"/>
        <v>20</v>
      </c>
      <c r="AX3" s="28">
        <v>7500</v>
      </c>
      <c r="AY3" s="28" t="s">
        <v>4687</v>
      </c>
      <c r="AZ3" s="28" t="s">
        <v>4688</v>
      </c>
      <c r="BA3" s="28" t="s">
        <v>4689</v>
      </c>
      <c r="BB3" s="28">
        <v>40</v>
      </c>
      <c r="BF3" s="29"/>
      <c r="BG3" s="29" t="s">
        <v>4690</v>
      </c>
      <c r="BH3" s="29">
        <v>0</v>
      </c>
      <c r="BI3" s="29">
        <v>100</v>
      </c>
      <c r="BJ3" s="29">
        <v>1000</v>
      </c>
      <c r="BK3" s="29">
        <v>10000</v>
      </c>
      <c r="BL3" s="29">
        <v>100000</v>
      </c>
      <c r="BM3" s="29">
        <v>1000000</v>
      </c>
      <c r="BN3" s="29">
        <v>10000000</v>
      </c>
      <c r="BQ3" s="37"/>
      <c r="BR3" s="37" t="s">
        <v>4691</v>
      </c>
      <c r="BS3" s="37">
        <f>'5.3小工具'!S7</f>
        <v>0</v>
      </c>
      <c r="BT3" s="37">
        <v>1</v>
      </c>
      <c r="BU3" s="37" t="b">
        <f>IF($BS$3="无",FALSE(),IF(LEFT('5.3小工具'!R8,4)=$BS$3,TRUE(),IF(AND($BS$3="免费",RIGHT('5.3小工具'!R8,2)=" 0"),TRUE(),FALSE())))</f>
        <v>0</v>
      </c>
      <c r="BV3" s="37" t="b">
        <f>IF($BS$3="无",FALSE(),IF(LEFT('5.3小工具'!T8,4)=$BS$3,TRUE(),IF(AND($BS$3="免费",RIGHT('5.3小工具'!T8,2)=" 0"),TRUE(),FALSE())))</f>
        <v>0</v>
      </c>
      <c r="BW3" s="37" t="b">
        <f>IF($BS$3="无",FALSE(),IF(LEFT('5.3小工具'!V8,4)=$BS$3,TRUE(),IF(AND($BS$3="免费",RIGHT('5.3小工具'!V8,2)=" 0"),TRUE(),FALSE())))</f>
        <v>0</v>
      </c>
      <c r="BX3" s="37"/>
      <c r="BY3" s="37" t="b">
        <f t="shared" ref="BY3:BY41" si="0">OR(BW3,BV3,BU3)</f>
        <v>0</v>
      </c>
      <c r="BZ3" t="b">
        <f>AND(OR(LEFT('5.3小工具'!R8,4)='5.3小工具'!$Y$42,'5.3小工具'!$Y$42=""),OR(LEFT('5.3小工具'!T8,4)='5.3小工具'!$AA$42,'5.3小工具'!$AA$42=""),OR(LEFT('5.3小工具'!V8,4)='5.3小工具'!$AC$42,'5.3小工具'!$AC$42=""))</f>
        <v>1</v>
      </c>
      <c r="CC3" t="s">
        <v>4692</v>
      </c>
      <c r="CD3" s="38" t="s">
        <v>4693</v>
      </c>
      <c r="CE3" s="38" t="s">
        <v>2935</v>
      </c>
      <c r="CF3" s="38" t="s">
        <v>4694</v>
      </c>
      <c r="CG3" s="38" t="s">
        <v>4695</v>
      </c>
      <c r="CH3" s="38" t="s">
        <v>4696</v>
      </c>
      <c r="CI3" t="s">
        <v>4697</v>
      </c>
      <c r="CJ3" t="s">
        <v>4698</v>
      </c>
      <c r="CK3" t="s">
        <v>4693</v>
      </c>
      <c r="CL3" t="s">
        <v>2936</v>
      </c>
      <c r="CM3" t="s">
        <v>2514</v>
      </c>
      <c r="CN3" t="s">
        <v>4699</v>
      </c>
      <c r="CP3" s="39" t="s">
        <v>4700</v>
      </c>
      <c r="CQ3" s="39" t="s">
        <v>4701</v>
      </c>
      <c r="CR3" s="39" t="s">
        <v>4702</v>
      </c>
      <c r="CS3" s="39" t="s">
        <v>4703</v>
      </c>
      <c r="CT3" s="39" t="s">
        <v>879</v>
      </c>
      <c r="CU3" s="39" t="s">
        <v>4704</v>
      </c>
      <c r="CV3" s="39" t="s">
        <v>4705</v>
      </c>
      <c r="CW3" s="39" t="s">
        <v>4706</v>
      </c>
      <c r="CX3" s="39" t="s">
        <v>4707</v>
      </c>
      <c r="CY3" s="39" t="s">
        <v>4708</v>
      </c>
      <c r="DB3" s="10" t="s">
        <v>4709</v>
      </c>
      <c r="DC3" s="11">
        <f>'1.序幕'!I67</f>
        <v>10</v>
      </c>
      <c r="DD3" s="11"/>
      <c r="DE3" s="11"/>
      <c r="DF3" s="11"/>
      <c r="DG3" s="11"/>
      <c r="DH3" s="11"/>
      <c r="DI3" s="11"/>
      <c r="DJ3" s="11"/>
      <c r="DK3" s="11"/>
      <c r="DL3" s="11"/>
      <c r="DM3" s="11"/>
    </row>
    <row r="4" spans="1:117" ht="14.6">
      <c r="A4" t="s">
        <v>2911</v>
      </c>
      <c r="B4" t="s">
        <v>4710</v>
      </c>
      <c r="D4" t="s">
        <v>4685</v>
      </c>
      <c r="E4" s="2" t="s">
        <v>4711</v>
      </c>
      <c r="F4" s="3" t="str">
        <f>MID('1.序幕'!$B$7,F3,1)</f>
        <v>地</v>
      </c>
      <c r="G4" s="3" t="str">
        <f>MID('1.序幕'!$B$7,G3,1)</f>
        <v>狱</v>
      </c>
      <c r="H4" s="3" t="str">
        <f>MID('1.序幕'!$B$7,H3,1)</f>
        <v>飞</v>
      </c>
      <c r="I4" s="3" t="str">
        <f>MID('1.序幕'!$B$7,I3,1)</f>
        <v>龙</v>
      </c>
      <c r="J4" s="3" t="str">
        <f>MID('1.序幕'!$B$7,J3,1)</f>
        <v/>
      </c>
      <c r="K4" s="3" t="str">
        <f>MID('1.序幕'!$B$7,K3,1)</f>
        <v/>
      </c>
      <c r="L4" s="3" t="str">
        <f>MID('1.序幕'!$B$7,L3,1)</f>
        <v/>
      </c>
      <c r="M4" s="3" t="str">
        <f>MID('1.序幕'!$B$7,M3,1)</f>
        <v/>
      </c>
      <c r="N4" s="3" t="str">
        <f>MID('1.序幕'!$B$7,N3,1)</f>
        <v/>
      </c>
      <c r="O4" s="3" t="str">
        <f>MID('1.序幕'!$B$7,O3,1)</f>
        <v/>
      </c>
      <c r="P4" s="3" t="str">
        <f>MID('1.序幕'!$B$7,P3,1)</f>
        <v/>
      </c>
      <c r="Q4" s="3" t="str">
        <f>MID('1.序幕'!$B$7,Q3,1)</f>
        <v/>
      </c>
      <c r="T4" t="str">
        <f>"S6:S"&amp;COUNTA(D:D)</f>
        <v>S6:S282</v>
      </c>
      <c r="AQ4">
        <f ca="1"/>
        <v>12000</v>
      </c>
      <c r="AR4" t="str">
        <f ca="1"/>
        <v>移位铲子*1</v>
      </c>
      <c r="AS4" t="str">
        <f ca="1"/>
        <v>研究药水*1</v>
      </c>
      <c r="AT4" t="str">
        <f ca="1"/>
        <v>50宝石</v>
      </c>
      <c r="AU4">
        <f ca="1"/>
        <v>40</v>
      </c>
      <c r="AX4" s="28">
        <v>12000</v>
      </c>
      <c r="AY4" s="28" t="s">
        <v>4712</v>
      </c>
      <c r="AZ4" s="28" t="s">
        <v>4713</v>
      </c>
      <c r="BA4" s="28" t="s">
        <v>4714</v>
      </c>
      <c r="BB4" s="28">
        <v>60</v>
      </c>
      <c r="BF4" s="29"/>
      <c r="BG4" s="29" t="s">
        <v>2915</v>
      </c>
      <c r="BH4" s="29">
        <v>0</v>
      </c>
      <c r="BI4" s="29">
        <v>1</v>
      </c>
      <c r="BJ4" s="29">
        <v>5</v>
      </c>
      <c r="BK4" s="29">
        <v>25</v>
      </c>
      <c r="BL4" s="29">
        <v>125</v>
      </c>
      <c r="BM4" s="29">
        <v>600</v>
      </c>
      <c r="BN4" s="29">
        <v>3000</v>
      </c>
      <c r="BQ4" s="37"/>
      <c r="BR4" s="37" t="s">
        <v>2950</v>
      </c>
      <c r="BS4" s="37"/>
      <c r="BT4" s="37">
        <v>2</v>
      </c>
      <c r="BU4" s="37" t="b">
        <f>IF($BS$3="无",FALSE(),IF(LEFT('5.3小工具'!R9,4)=$BS$3,TRUE(),IF(AND($BS$3="免费",RIGHT('5.3小工具'!R9,2)=" 0"),TRUE(),FALSE())))</f>
        <v>0</v>
      </c>
      <c r="BV4" s="37" t="b">
        <f>IF($BS$3="无",FALSE(),IF(LEFT('5.3小工具'!T9,4)=$BS$3,TRUE(),IF(AND($BS$3="免费",RIGHT('5.3小工具'!T9,2)=" 0"),TRUE(),FALSE())))</f>
        <v>0</v>
      </c>
      <c r="BW4" s="37" t="b">
        <f>IF($BS$3="无",FALSE(),IF(LEFT('5.3小工具'!V9,4)=$BS$3,TRUE(),IF(AND($BS$3="免费",RIGHT('5.3小工具'!V9,2)=" 0"),TRUE(),FALSE())))</f>
        <v>0</v>
      </c>
      <c r="BX4" s="37"/>
      <c r="BY4" s="37" t="b">
        <f t="shared" si="0"/>
        <v>0</v>
      </c>
      <c r="BZ4" t="b">
        <f>AND(OR(LEFT('5.3小工具'!R9,4)='5.3小工具'!$Y$42,'5.3小工具'!$Y$42=""),OR(LEFT('5.3小工具'!T9,4)='5.3小工具'!$AA$42,'5.3小工具'!$AA$42=""),OR(LEFT('5.3小工具'!V9,4)='5.3小工具'!$AC$42,'5.3小工具'!$AC$42=""))</f>
        <v>1</v>
      </c>
      <c r="CC4">
        <f>IF('5.3小工具'!I80=0,'5.3小工具'!I79,'5.3小工具'!I80)</f>
        <v>2250</v>
      </c>
      <c r="CD4" s="38">
        <v>0</v>
      </c>
      <c r="CE4" s="38">
        <v>0</v>
      </c>
      <c r="CF4" s="38">
        <f t="shared" ref="CF4:CF14" si="1">MAX(CEILING($CC$4*(1-CE4*$CC$6)/$CC$8,1),0)+CD4+ROUND(MOD($CC$4*(1-CE4*$CC$6),$CC$8)/$CC$4,5)</f>
        <v>5.0044399999999998</v>
      </c>
      <c r="CG4" s="38">
        <f t="shared" ref="CG4:CG67" si="2">RANK(CF4,$CF$4:$CF$305,1)</f>
        <v>2</v>
      </c>
      <c r="CH4" s="38">
        <v>1</v>
      </c>
      <c r="CI4">
        <f t="shared" ref="CI4:CI13" si="3">INDEX($CF$4:$CF$305,MATCH(CH4,$CG$4:$CG$305,0))</f>
        <v>4.2122200000000003</v>
      </c>
      <c r="CJ4">
        <f>INT(CI4)-MATCH(CI4,$CF$4:$CF$305,0)+1</f>
        <v>3</v>
      </c>
      <c r="CK4">
        <f>MATCH(CI4,CF4:CF305,0)-1</f>
        <v>1</v>
      </c>
      <c r="CL4">
        <f t="shared" ref="CL4:CL13" si="4">IFERROR(VLOOKUP(ROUND(CK4,0),$CD$4:$CE$305,2,0)*$CC$6*$CC$4+ROUND(CJ4,0)*$CC$8-$CC$4,"")</f>
        <v>82.5</v>
      </c>
      <c r="CM4" t="s">
        <v>2</v>
      </c>
      <c r="CN4">
        <v>2250</v>
      </c>
      <c r="CP4" s="40">
        <v>352</v>
      </c>
      <c r="CQ4" s="41" t="s">
        <v>3171</v>
      </c>
      <c r="CR4" s="41" t="s">
        <v>4715</v>
      </c>
      <c r="CS4" s="41">
        <v>50</v>
      </c>
      <c r="CT4" s="41">
        <v>24</v>
      </c>
      <c r="CU4" s="41">
        <v>150</v>
      </c>
      <c r="CV4" s="41">
        <v>5</v>
      </c>
      <c r="CW4" s="40"/>
      <c r="CX4" s="41" t="s">
        <v>4716</v>
      </c>
      <c r="CY4" s="40" t="s">
        <v>4717</v>
      </c>
      <c r="DB4" s="12" t="s">
        <v>4718</v>
      </c>
      <c r="DC4" t="s">
        <v>243</v>
      </c>
      <c r="DD4">
        <v>1</v>
      </c>
      <c r="DE4">
        <v>2</v>
      </c>
      <c r="DF4">
        <v>3</v>
      </c>
      <c r="DG4">
        <v>4</v>
      </c>
      <c r="DH4">
        <v>5</v>
      </c>
      <c r="DI4">
        <v>6</v>
      </c>
      <c r="DJ4">
        <v>7</v>
      </c>
      <c r="DK4">
        <v>8</v>
      </c>
      <c r="DL4">
        <v>9</v>
      </c>
      <c r="DM4">
        <v>10</v>
      </c>
    </row>
    <row r="5" spans="1:117" ht="14.6">
      <c r="A5" t="s">
        <v>4719</v>
      </c>
      <c r="B5" t="s">
        <v>4710</v>
      </c>
      <c r="D5" s="4" t="s">
        <v>3555</v>
      </c>
      <c r="E5" s="4" t="s">
        <v>4720</v>
      </c>
      <c r="F5" s="4" t="s">
        <v>1975</v>
      </c>
      <c r="G5" s="4" t="s">
        <v>4721</v>
      </c>
      <c r="H5" s="4" t="s">
        <v>4722</v>
      </c>
      <c r="I5" s="8" t="s">
        <v>4723</v>
      </c>
      <c r="J5" s="8" t="s">
        <v>4724</v>
      </c>
      <c r="K5" s="8" t="s">
        <v>4725</v>
      </c>
      <c r="L5" s="8" t="s">
        <v>4726</v>
      </c>
      <c r="M5" s="8" t="s">
        <v>4727</v>
      </c>
      <c r="N5" s="8" t="s">
        <v>4728</v>
      </c>
      <c r="O5" s="8" t="s">
        <v>4729</v>
      </c>
      <c r="P5" s="8" t="s">
        <v>4730</v>
      </c>
      <c r="Q5" s="8" t="s">
        <v>4731</v>
      </c>
      <c r="R5" s="8" t="s">
        <v>4732</v>
      </c>
      <c r="S5" s="9" t="s">
        <v>4733</v>
      </c>
      <c r="T5" s="9" t="s">
        <v>4734</v>
      </c>
      <c r="U5" s="9" t="s">
        <v>4735</v>
      </c>
      <c r="Y5" s="10" t="s">
        <v>4736</v>
      </c>
      <c r="Z5" s="11">
        <f>'1.序幕'!I3</f>
        <v>15</v>
      </c>
      <c r="AA5" s="11"/>
      <c r="AB5" s="11"/>
      <c r="AC5" s="11"/>
      <c r="AD5" s="11"/>
      <c r="AE5" s="11"/>
      <c r="AF5" s="11"/>
      <c r="AG5" s="11"/>
      <c r="AH5" s="11"/>
      <c r="AI5" s="11"/>
      <c r="AJ5" s="11"/>
      <c r="AK5" s="11"/>
      <c r="AL5" s="11"/>
      <c r="AM5" s="11"/>
      <c r="AQ5">
        <f ca="1"/>
        <v>18000</v>
      </c>
      <c r="AR5" t="str">
        <f ca="1"/>
        <v>壁垒之戒*6</v>
      </c>
      <c r="AS5" t="str">
        <f ca="1"/>
        <v>70%金币</v>
      </c>
      <c r="AT5" t="str">
        <f ca="1"/>
        <v>70%黑油</v>
      </c>
      <c r="AU5">
        <f ca="1"/>
        <v>60</v>
      </c>
      <c r="AX5" s="28">
        <v>18000</v>
      </c>
      <c r="AY5" s="28" t="s">
        <v>4737</v>
      </c>
      <c r="AZ5" s="28" t="s">
        <v>4738</v>
      </c>
      <c r="BA5" s="28" t="s">
        <v>4739</v>
      </c>
      <c r="BB5" s="28">
        <v>80</v>
      </c>
      <c r="BF5" s="29"/>
      <c r="BG5" s="29" t="s">
        <v>4740</v>
      </c>
      <c r="BH5" s="29">
        <v>0</v>
      </c>
      <c r="BI5" s="29">
        <v>1</v>
      </c>
      <c r="BJ5" s="29">
        <v>5</v>
      </c>
      <c r="BK5" s="29">
        <v>25</v>
      </c>
      <c r="BL5" s="29">
        <v>125</v>
      </c>
      <c r="BM5" s="29">
        <v>600</v>
      </c>
      <c r="BN5" s="29">
        <v>3000</v>
      </c>
      <c r="BQ5" s="37"/>
      <c r="BR5" s="37" t="s">
        <v>2952</v>
      </c>
      <c r="BS5" s="37"/>
      <c r="BT5" s="37">
        <v>3</v>
      </c>
      <c r="BU5" s="37" t="b">
        <f>IF($BS$3="无",FALSE(),IF(LEFT('5.3小工具'!R10,4)=$BS$3,TRUE(),IF(AND($BS$3="免费",RIGHT('5.3小工具'!R10,2)=" 0"),TRUE(),FALSE())))</f>
        <v>0</v>
      </c>
      <c r="BV5" s="37" t="b">
        <f>IF($BS$3="无",FALSE(),IF(LEFT('5.3小工具'!T10,4)=$BS$3,TRUE(),IF(AND($BS$3="免费",RIGHT('5.3小工具'!T10,2)=" 0"),TRUE(),FALSE())))</f>
        <v>0</v>
      </c>
      <c r="BW5" s="37" t="b">
        <f>IF($BS$3="无",FALSE(),IF(LEFT('5.3小工具'!V10,4)=$BS$3,TRUE(),IF(AND($BS$3="免费",RIGHT('5.3小工具'!V10,2)=" 0"),TRUE(),FALSE())))</f>
        <v>0</v>
      </c>
      <c r="BX5" s="37"/>
      <c r="BY5" s="37" t="b">
        <f t="shared" si="0"/>
        <v>0</v>
      </c>
      <c r="BZ5" t="b">
        <f>AND(OR(LEFT('5.3小工具'!R10,4)='5.3小工具'!$Y$42,'5.3小工具'!$Y$42=""),OR(LEFT('5.3小工具'!T10,4)='5.3小工具'!$AA$42,'5.3小工具'!$AA$42=""),OR(LEFT('5.3小工具'!V10,4)='5.3小工具'!$AC$42,'5.3小工具'!$AC$42=""))</f>
        <v>1</v>
      </c>
      <c r="CD5" s="38">
        <v>1</v>
      </c>
      <c r="CE5" s="38">
        <v>1</v>
      </c>
      <c r="CF5" s="38">
        <f t="shared" si="1"/>
        <v>4.2122200000000003</v>
      </c>
      <c r="CG5" s="38">
        <f t="shared" si="2"/>
        <v>1</v>
      </c>
      <c r="CH5" s="38">
        <v>2</v>
      </c>
      <c r="CI5">
        <f t="shared" si="3"/>
        <v>5.0044399999999998</v>
      </c>
      <c r="CJ5" t="str">
        <f t="shared" ref="CJ5:CJ13" si="5">IF(INT(CI5)&gt;INT($CC$11),"",INT(CI5)-MATCH(CI5,$CF$4:$CF$305,0)+1)</f>
        <v/>
      </c>
      <c r="CK5" t="str">
        <f t="shared" ref="CK5:CK13" si="6">IF(INT(CI5)&gt;INT($CC$11),"",MATCH(CI5,$CF$4:$CF$305,0)-1)</f>
        <v/>
      </c>
      <c r="CL5" t="str">
        <f t="shared" si="4"/>
        <v/>
      </c>
      <c r="CM5" t="s">
        <v>9</v>
      </c>
      <c r="CN5">
        <v>1800</v>
      </c>
      <c r="CP5" s="40">
        <v>353</v>
      </c>
      <c r="CQ5" s="41" t="s">
        <v>3179</v>
      </c>
      <c r="CR5" s="41" t="s">
        <v>4741</v>
      </c>
      <c r="CS5" s="41">
        <v>150</v>
      </c>
      <c r="CT5" s="41">
        <v>24</v>
      </c>
      <c r="CU5" s="41">
        <v>150</v>
      </c>
      <c r="CV5" s="41">
        <v>5</v>
      </c>
      <c r="CW5" s="40"/>
      <c r="CX5" s="41" t="s">
        <v>4716</v>
      </c>
      <c r="CY5" s="40" t="s">
        <v>4717</v>
      </c>
    </row>
    <row r="6" spans="1:117" ht="14.6">
      <c r="A6" t="s">
        <v>4668</v>
      </c>
      <c r="B6" t="s">
        <v>4742</v>
      </c>
      <c r="D6" s="5" t="s">
        <v>4743</v>
      </c>
      <c r="E6" s="5" t="s">
        <v>4744</v>
      </c>
      <c r="F6" s="5"/>
      <c r="G6" s="5"/>
      <c r="H6" s="5">
        <v>1.1000000000000001</v>
      </c>
      <c r="I6" s="2"/>
      <c r="J6" s="2"/>
      <c r="K6" s="2"/>
      <c r="L6" s="2"/>
      <c r="M6" s="2"/>
      <c r="N6" s="2"/>
      <c r="O6" s="2"/>
      <c r="P6" s="2"/>
      <c r="Q6" s="2"/>
      <c r="R6" s="2"/>
      <c r="S6" s="2">
        <f t="array" ref="S6">SUM(IFERROR(IF(MATCH(I6:R6,$F$4:$Q$4,0)&gt;0,1,0),0))</f>
        <v>0</v>
      </c>
      <c r="T6" s="2">
        <f t="shared" ref="T6:T37" ca="1" si="7">RANK(S6,INDIRECT($T$4))</f>
        <v>37</v>
      </c>
      <c r="U6" s="7">
        <f ca="1">T6+COUNTIF(T$5:$T5,T6)</f>
        <v>37</v>
      </c>
      <c r="Y6" s="12" t="s">
        <v>4718</v>
      </c>
      <c r="Z6" t="s">
        <v>243</v>
      </c>
      <c r="AA6">
        <v>1</v>
      </c>
      <c r="AB6">
        <v>2</v>
      </c>
      <c r="AC6">
        <v>3</v>
      </c>
      <c r="AD6">
        <v>4</v>
      </c>
      <c r="AE6">
        <v>5</v>
      </c>
      <c r="AF6">
        <v>6</v>
      </c>
      <c r="AG6">
        <v>7</v>
      </c>
      <c r="AH6">
        <v>8</v>
      </c>
      <c r="AI6">
        <v>9</v>
      </c>
      <c r="AJ6">
        <v>10</v>
      </c>
      <c r="AK6">
        <v>11</v>
      </c>
      <c r="AL6">
        <v>12</v>
      </c>
      <c r="AM6" s="15">
        <v>13</v>
      </c>
      <c r="AN6">
        <v>14</v>
      </c>
      <c r="AO6">
        <v>15</v>
      </c>
      <c r="AQ6">
        <f ca="1"/>
        <v>30000</v>
      </c>
      <c r="AR6" t="str">
        <f ca="1"/>
        <v>夜水符石*1</v>
      </c>
      <c r="AS6" t="str">
        <f ca="1"/>
        <v>90%圣水</v>
      </c>
      <c r="AT6" t="str">
        <f ca="1"/>
        <v>力量药水*2</v>
      </c>
      <c r="AU6">
        <f ca="1"/>
        <v>80</v>
      </c>
      <c r="AX6" s="28">
        <v>30000</v>
      </c>
      <c r="AY6" s="28" t="s">
        <v>4745</v>
      </c>
      <c r="AZ6" s="28" t="s">
        <v>4746</v>
      </c>
      <c r="BA6" s="28" t="s">
        <v>4747</v>
      </c>
      <c r="BB6" s="28">
        <v>100</v>
      </c>
      <c r="BF6" s="29"/>
      <c r="BG6" s="29" t="s">
        <v>4748</v>
      </c>
      <c r="BH6" s="29">
        <v>0</v>
      </c>
      <c r="BI6" s="29">
        <v>1</v>
      </c>
      <c r="BJ6" s="29">
        <v>10</v>
      </c>
      <c r="BK6" s="29">
        <v>50</v>
      </c>
      <c r="BL6" s="29">
        <v>250</v>
      </c>
      <c r="BM6" s="29">
        <v>1200</v>
      </c>
      <c r="BN6" s="29">
        <v>6000</v>
      </c>
      <c r="BQ6" s="37"/>
      <c r="BR6" s="37" t="s">
        <v>2954</v>
      </c>
      <c r="BS6" s="37"/>
      <c r="BT6" s="37">
        <v>4</v>
      </c>
      <c r="BU6" s="37" t="b">
        <f>IF($BS$3="无",FALSE(),IF(LEFT('5.3小工具'!R11,4)=$BS$3,TRUE(),IF(AND($BS$3="免费",RIGHT('5.3小工具'!R11,2)=" 0"),TRUE(),FALSE())))</f>
        <v>0</v>
      </c>
      <c r="BV6" s="37" t="b">
        <f>IF($BS$3="无",FALSE(),IF(LEFT('5.3小工具'!T11,4)=$BS$3,TRUE(),IF(AND($BS$3="免费",RIGHT('5.3小工具'!T11,2)=" 0"),TRUE(),FALSE())))</f>
        <v>0</v>
      </c>
      <c r="BW6" s="37" t="b">
        <f>IF($BS$3="无",FALSE(),IF(LEFT('5.3小工具'!V11,4)=$BS$3,TRUE(),IF(AND($BS$3="免费",RIGHT('5.3小工具'!V11,2)=" 0"),TRUE(),FALSE())))</f>
        <v>0</v>
      </c>
      <c r="BX6" s="37"/>
      <c r="BY6" s="37" t="b">
        <f t="shared" si="0"/>
        <v>0</v>
      </c>
      <c r="BZ6" t="b">
        <f>AND(OR(LEFT('5.3小工具'!R11,4)='5.3小工具'!$Y$42,'5.3小工具'!$Y$42=""),OR(LEFT('5.3小工具'!T11,4)='5.3小工具'!$AA$42,'5.3小工具'!$AA$42=""),OR(LEFT('5.3小工具'!V11,4)='5.3小工具'!$AC$42,'5.3小工具'!$AC$42=""))</f>
        <v>1</v>
      </c>
      <c r="CC6">
        <f>'5.3小工具'!I77</f>
        <v>0.28999999999999998</v>
      </c>
      <c r="CD6" s="38">
        <v>2</v>
      </c>
      <c r="CE6" s="38">
        <f t="shared" ref="CE6:CE69" si="8">CE5+1/(2*CD6-1)</f>
        <v>1.3333333333333333</v>
      </c>
      <c r="CF6" s="38">
        <f t="shared" si="1"/>
        <v>5.1155600000000003</v>
      </c>
      <c r="CG6" s="38">
        <f t="shared" si="2"/>
        <v>3</v>
      </c>
      <c r="CH6" s="38">
        <v>3</v>
      </c>
      <c r="CI6">
        <f t="shared" si="3"/>
        <v>5.1155600000000003</v>
      </c>
      <c r="CJ6" t="str">
        <f t="shared" si="5"/>
        <v/>
      </c>
      <c r="CK6" t="str">
        <f t="shared" si="6"/>
        <v/>
      </c>
      <c r="CL6" t="str">
        <f t="shared" si="4"/>
        <v/>
      </c>
      <c r="CM6" t="s">
        <v>20</v>
      </c>
      <c r="CN6">
        <v>2150</v>
      </c>
      <c r="CP6" s="40">
        <v>354</v>
      </c>
      <c r="CQ6" s="41" t="s">
        <v>3188</v>
      </c>
      <c r="CR6" s="41" t="s">
        <v>4749</v>
      </c>
      <c r="CS6" s="41">
        <v>150</v>
      </c>
      <c r="CT6" s="41">
        <v>24</v>
      </c>
      <c r="CU6" s="41">
        <v>150</v>
      </c>
      <c r="CV6" s="41">
        <v>5</v>
      </c>
      <c r="CW6" s="40"/>
      <c r="CX6" s="41" t="s">
        <v>4716</v>
      </c>
      <c r="CY6" s="40" t="s">
        <v>4717</v>
      </c>
      <c r="DB6" t="s">
        <v>170</v>
      </c>
      <c r="DC6" s="7">
        <f ca="1">OFFSET(DD6,0,$DC$3-1)</f>
        <v>5</v>
      </c>
      <c r="DE6">
        <v>1</v>
      </c>
      <c r="DF6">
        <v>2</v>
      </c>
      <c r="DG6">
        <v>2</v>
      </c>
      <c r="DH6">
        <v>3</v>
      </c>
      <c r="DI6">
        <v>3</v>
      </c>
      <c r="DJ6">
        <v>4</v>
      </c>
      <c r="DK6">
        <v>4</v>
      </c>
      <c r="DL6">
        <v>5</v>
      </c>
      <c r="DM6">
        <v>5</v>
      </c>
    </row>
    <row r="7" spans="1:117" ht="14.6">
      <c r="A7" t="s">
        <v>4670</v>
      </c>
      <c r="B7" t="s">
        <v>4742</v>
      </c>
      <c r="D7" s="6" t="s">
        <v>4743</v>
      </c>
      <c r="E7" s="6" t="s">
        <v>4744</v>
      </c>
      <c r="F7" s="6"/>
      <c r="G7" s="6"/>
      <c r="H7" s="6">
        <v>1.1000000000000001</v>
      </c>
      <c r="I7" s="7"/>
      <c r="J7" s="7"/>
      <c r="K7" s="7"/>
      <c r="L7" s="7"/>
      <c r="M7" s="7"/>
      <c r="N7" s="7"/>
      <c r="O7" s="7"/>
      <c r="P7" s="7"/>
      <c r="Q7" s="7"/>
      <c r="R7" s="7"/>
      <c r="S7" s="7">
        <f t="array" ref="S7">SUM(IFERROR(IF(MATCH(I7:R7,$F$4:$Q$4,0)&gt;0,1,0),0))</f>
        <v>0</v>
      </c>
      <c r="T7" s="7">
        <f t="shared" ca="1" si="7"/>
        <v>37</v>
      </c>
      <c r="U7" s="7">
        <f ca="1">T7+COUNTIF(T$5:$T6,T7)</f>
        <v>38</v>
      </c>
      <c r="AQ7">
        <f ca="1"/>
        <v>50000</v>
      </c>
      <c r="AR7" t="str">
        <f ca="1"/>
        <v>英雄之书*1</v>
      </c>
      <c r="AS7" t="str">
        <f ca="1"/>
        <v>圣水符石*1</v>
      </c>
      <c r="AT7" t="str">
        <f ca="1"/>
        <v>100宝石</v>
      </c>
      <c r="AU7">
        <f ca="1"/>
        <v>100</v>
      </c>
      <c r="AX7" s="28">
        <v>50000</v>
      </c>
      <c r="AY7" s="28" t="s">
        <v>4750</v>
      </c>
      <c r="AZ7" s="28" t="s">
        <v>4751</v>
      </c>
      <c r="BA7" s="28" t="s">
        <v>4752</v>
      </c>
      <c r="BB7" s="28">
        <v>120</v>
      </c>
      <c r="BF7" s="29"/>
      <c r="BG7" s="29"/>
      <c r="BH7" s="29"/>
      <c r="BI7" s="29"/>
      <c r="BJ7" s="29"/>
      <c r="BK7" s="29"/>
      <c r="BL7" s="29"/>
      <c r="BM7" s="29"/>
      <c r="BN7" s="29"/>
      <c r="BQ7" s="37"/>
      <c r="BR7" s="37" t="s">
        <v>3039</v>
      </c>
      <c r="BS7" s="37"/>
      <c r="BT7" s="37">
        <v>5</v>
      </c>
      <c r="BU7" s="37" t="b">
        <f>IF($BS$3="无",FALSE(),IF(LEFT('5.3小工具'!R12,4)=$BS$3,TRUE(),IF(AND($BS$3="免费",RIGHT('5.3小工具'!R12,2)=" 0"),TRUE(),FALSE())))</f>
        <v>0</v>
      </c>
      <c r="BV7" s="37" t="b">
        <f>IF($BS$3="无",FALSE(),IF(LEFT('5.3小工具'!T12,4)=$BS$3,TRUE(),IF(AND($BS$3="免费",RIGHT('5.3小工具'!T12,2)=" 0"),TRUE(),FALSE())))</f>
        <v>0</v>
      </c>
      <c r="BW7" s="37" t="b">
        <f>IF($BS$3="无",FALSE(),IF(LEFT('5.3小工具'!V12,4)=$BS$3,TRUE(),IF(AND($BS$3="免费",RIGHT('5.3小工具'!V12,2)=" 0"),TRUE(),FALSE())))</f>
        <v>0</v>
      </c>
      <c r="BX7" s="37"/>
      <c r="BY7" s="37" t="b">
        <f t="shared" si="0"/>
        <v>0</v>
      </c>
      <c r="BZ7" t="b">
        <f>AND(OR(LEFT('5.3小工具'!R12,4)='5.3小工具'!$Y$42,'5.3小工具'!$Y$42=""),OR(LEFT('5.3小工具'!T12,4)='5.3小工具'!$AA$42,'5.3小工具'!$AA$42=""),OR(LEFT('5.3小工具'!V12,4)='5.3小工具'!$AC$42,'5.3小工具'!$AC$42=""))</f>
        <v>1</v>
      </c>
      <c r="CD7" s="38">
        <v>3</v>
      </c>
      <c r="CE7" s="38">
        <f t="shared" si="8"/>
        <v>1.5333333333333332</v>
      </c>
      <c r="CF7" s="38">
        <f t="shared" si="1"/>
        <v>6.0575599999999996</v>
      </c>
      <c r="CG7" s="38">
        <f t="shared" si="2"/>
        <v>4</v>
      </c>
      <c r="CH7" s="38">
        <v>4</v>
      </c>
      <c r="CI7">
        <f t="shared" si="3"/>
        <v>6.0575599999999996</v>
      </c>
      <c r="CJ7" t="str">
        <f t="shared" si="5"/>
        <v/>
      </c>
      <c r="CK7" t="str">
        <f t="shared" si="6"/>
        <v/>
      </c>
      <c r="CL7" t="str">
        <f t="shared" si="4"/>
        <v/>
      </c>
      <c r="CM7" t="s">
        <v>26</v>
      </c>
      <c r="CN7">
        <v>1750</v>
      </c>
      <c r="CP7" s="40">
        <v>355</v>
      </c>
      <c r="CQ7" s="41" t="s">
        <v>3193</v>
      </c>
      <c r="CR7" s="41" t="s">
        <v>4753</v>
      </c>
      <c r="CS7" s="41">
        <v>100</v>
      </c>
      <c r="CT7" s="41">
        <v>3</v>
      </c>
      <c r="CU7" s="41">
        <v>250</v>
      </c>
      <c r="CV7" s="41">
        <v>5</v>
      </c>
      <c r="CW7" s="40"/>
      <c r="CX7" s="41" t="s">
        <v>4716</v>
      </c>
      <c r="CY7" s="40" t="s">
        <v>3096</v>
      </c>
      <c r="DB7" t="s">
        <v>171</v>
      </c>
      <c r="DC7" s="7">
        <f t="shared" ref="DC7:DC40" ca="1" si="9">OFFSET(DD7,0,$DC$3-1)</f>
        <v>5</v>
      </c>
      <c r="DF7">
        <v>1</v>
      </c>
      <c r="DG7">
        <v>2</v>
      </c>
      <c r="DH7">
        <v>2</v>
      </c>
      <c r="DI7">
        <v>3</v>
      </c>
      <c r="DJ7">
        <v>3</v>
      </c>
      <c r="DK7">
        <v>4</v>
      </c>
      <c r="DL7">
        <v>4</v>
      </c>
      <c r="DM7">
        <v>5</v>
      </c>
    </row>
    <row r="8" spans="1:117" ht="14.6">
      <c r="A8" t="s">
        <v>4671</v>
      </c>
      <c r="B8" t="s">
        <v>4742</v>
      </c>
      <c r="D8" s="6" t="s">
        <v>4743</v>
      </c>
      <c r="E8" s="6" t="s">
        <v>4744</v>
      </c>
      <c r="F8" s="6"/>
      <c r="G8" s="6"/>
      <c r="H8" s="6">
        <v>1.1000000000000001</v>
      </c>
      <c r="I8" s="7"/>
      <c r="J8" s="7"/>
      <c r="K8" s="7"/>
      <c r="L8" s="7"/>
      <c r="M8" s="7"/>
      <c r="N8" s="7"/>
      <c r="O8" s="7"/>
      <c r="P8" s="7"/>
      <c r="Q8" s="7"/>
      <c r="R8" s="7"/>
      <c r="S8" s="7">
        <f t="array" ref="S8">SUM(IFERROR(IF(MATCH(I8:R8,$F$4:$Q$4,0)&gt;0,1,0),0))</f>
        <v>0</v>
      </c>
      <c r="T8" s="7">
        <f t="shared" ca="1" si="7"/>
        <v>37</v>
      </c>
      <c r="U8" s="7">
        <f ca="1">T8+COUNTIF(T$5:$T7,T8)</f>
        <v>39</v>
      </c>
      <c r="Y8" s="12" t="s">
        <v>2</v>
      </c>
      <c r="Z8" s="7" t="str">
        <f t="shared" ref="Z8:Z19" ca="1" si="10">OFFSET(AA8,0,$Z$5-1)</f>
        <v>21_007</v>
      </c>
      <c r="AA8" s="13" t="s">
        <v>4754</v>
      </c>
      <c r="AB8" s="13" t="s">
        <v>4755</v>
      </c>
      <c r="AC8" s="13" t="s">
        <v>4756</v>
      </c>
      <c r="AD8" s="13" t="s">
        <v>4757</v>
      </c>
      <c r="AE8" s="13" t="s">
        <v>4758</v>
      </c>
      <c r="AF8" s="13" t="s">
        <v>4759</v>
      </c>
      <c r="AG8" s="13" t="s">
        <v>4760</v>
      </c>
      <c r="AH8" s="13" t="s">
        <v>4761</v>
      </c>
      <c r="AI8" s="13" t="s">
        <v>4762</v>
      </c>
      <c r="AJ8" s="13" t="s">
        <v>4763</v>
      </c>
      <c r="AK8" s="13" t="s">
        <v>4764</v>
      </c>
      <c r="AL8" s="13" t="s">
        <v>4765</v>
      </c>
      <c r="AM8" s="16" t="s">
        <v>4766</v>
      </c>
      <c r="AN8" s="16" t="s">
        <v>4767</v>
      </c>
      <c r="AO8" s="17" t="s">
        <v>4768</v>
      </c>
      <c r="AQ8">
        <f ca="1"/>
        <v>75000</v>
      </c>
      <c r="AR8" t="str">
        <f ca="1"/>
        <v>万能之书*1</v>
      </c>
      <c r="AS8" t="str">
        <f ca="1"/>
        <v>工人药水*2</v>
      </c>
      <c r="AT8" t="str">
        <f ca="1"/>
        <v>超级药水*2</v>
      </c>
      <c r="AU8">
        <f ca="1"/>
        <v>120</v>
      </c>
      <c r="AX8" s="28">
        <v>3000</v>
      </c>
      <c r="AY8" s="28" t="s">
        <v>4769</v>
      </c>
      <c r="AZ8" s="28" t="s">
        <v>4770</v>
      </c>
      <c r="BA8" s="28" t="s">
        <v>4771</v>
      </c>
      <c r="BB8" s="28">
        <v>20</v>
      </c>
      <c r="BF8" s="29"/>
      <c r="BG8" s="29" t="s">
        <v>4772</v>
      </c>
      <c r="BH8" s="29">
        <f>IF(LEFT('5.3小工具'!D57,1)="2",'5.3小工具'!D58*100,'5.3小工具'!D58)</f>
        <v>10001</v>
      </c>
      <c r="BI8" s="29" t="s">
        <v>4773</v>
      </c>
      <c r="BJ8" s="29">
        <f>IF(MATCH(BH8,BH3:BN3,1)&gt;=6,6,MATCH(BH8,BH3:BN3,1))</f>
        <v>4</v>
      </c>
      <c r="BK8" s="29" t="s">
        <v>4774</v>
      </c>
      <c r="BL8" s="29" t="str">
        <f>LEFT('5.3小工具'!D57,1)</f>
        <v>1</v>
      </c>
      <c r="BM8" s="29"/>
      <c r="BN8" s="29"/>
      <c r="BQ8" s="37"/>
      <c r="BR8" s="37" t="s">
        <v>3041</v>
      </c>
      <c r="BS8" s="37"/>
      <c r="BT8" s="37">
        <v>6</v>
      </c>
      <c r="BU8" s="37" t="b">
        <f>IF($BS$3="无",FALSE(),IF(LEFT('5.3小工具'!R13,4)=$BS$3,TRUE(),IF(AND($BS$3="免费",RIGHT('5.3小工具'!R13,2)=" 0"),TRUE(),FALSE())))</f>
        <v>0</v>
      </c>
      <c r="BV8" s="37" t="b">
        <f>IF($BS$3="无",FALSE(),IF(LEFT('5.3小工具'!T13,4)=$BS$3,TRUE(),IF(AND($BS$3="免费",RIGHT('5.3小工具'!T13,2)=" 0"),TRUE(),FALSE())))</f>
        <v>0</v>
      </c>
      <c r="BW8" s="37" t="b">
        <f>IF($BS$3="无",FALSE(),IF(LEFT('5.3小工具'!V13,4)=$BS$3,TRUE(),IF(AND($BS$3="免费",RIGHT('5.3小工具'!V13,2)=" 0"),TRUE(),FALSE())))</f>
        <v>0</v>
      </c>
      <c r="BX8" s="37"/>
      <c r="BY8" s="37" t="b">
        <f t="shared" si="0"/>
        <v>0</v>
      </c>
      <c r="BZ8" t="b">
        <f>AND(OR(LEFT('5.3小工具'!R13,4)='5.3小工具'!$Y$42,'5.3小工具'!$Y$42=""),OR(LEFT('5.3小工具'!T13,4)='5.3小工具'!$AA$42,'5.3小工具'!$AA$42=""),OR(LEFT('5.3小工具'!V13,4)='5.3小工具'!$AC$42,'5.3小工具'!$AC$42=""))</f>
        <v>1</v>
      </c>
      <c r="CC8">
        <f>'5.3小工具'!I76</f>
        <v>560</v>
      </c>
      <c r="CD8" s="38">
        <v>4</v>
      </c>
      <c r="CE8" s="38">
        <f t="shared" si="8"/>
        <v>1.676190476190476</v>
      </c>
      <c r="CF8" s="38">
        <f t="shared" si="1"/>
        <v>7.0161300000000004</v>
      </c>
      <c r="CG8" s="38">
        <f t="shared" si="2"/>
        <v>5</v>
      </c>
      <c r="CH8" s="38">
        <v>5</v>
      </c>
      <c r="CI8">
        <f t="shared" si="3"/>
        <v>7.0161300000000004</v>
      </c>
      <c r="CJ8" t="str">
        <f t="shared" si="5"/>
        <v/>
      </c>
      <c r="CK8" t="str">
        <f t="shared" si="6"/>
        <v/>
      </c>
      <c r="CL8" t="str">
        <f t="shared" si="4"/>
        <v/>
      </c>
      <c r="CM8" t="s">
        <v>32</v>
      </c>
      <c r="CN8">
        <v>3000</v>
      </c>
      <c r="CP8" s="40">
        <v>356</v>
      </c>
      <c r="CQ8" s="41" t="s">
        <v>3193</v>
      </c>
      <c r="CR8" s="41" t="s">
        <v>4775</v>
      </c>
      <c r="CS8" s="41">
        <v>200</v>
      </c>
      <c r="CT8" s="41">
        <v>8</v>
      </c>
      <c r="CU8" s="41">
        <v>125</v>
      </c>
      <c r="CV8" s="41">
        <v>10</v>
      </c>
      <c r="CW8" s="40"/>
      <c r="CX8" s="41" t="s">
        <v>4716</v>
      </c>
      <c r="CY8" s="40" t="s">
        <v>4717</v>
      </c>
      <c r="DB8" t="s">
        <v>4776</v>
      </c>
      <c r="DC8" s="7">
        <f t="shared" ca="1" si="9"/>
        <v>5</v>
      </c>
      <c r="DG8">
        <v>1</v>
      </c>
      <c r="DH8">
        <v>2</v>
      </c>
      <c r="DI8">
        <v>2</v>
      </c>
      <c r="DJ8">
        <v>3</v>
      </c>
      <c r="DK8">
        <v>4</v>
      </c>
      <c r="DL8">
        <v>4</v>
      </c>
      <c r="DM8">
        <v>5</v>
      </c>
    </row>
    <row r="9" spans="1:117" ht="14.6">
      <c r="A9" t="s">
        <v>4777</v>
      </c>
      <c r="B9" t="s">
        <v>4742</v>
      </c>
      <c r="D9" s="6" t="str">
        <f t="shared" ref="D9:D72" si="11">MID(H9,4,233)&amp;"-&gt;"&amp;MID(F9,4,233)</f>
        <v>家乡主力军-&gt;莱希</v>
      </c>
      <c r="E9" s="6" t="str">
        <f>"#'"&amp;H9&amp;"'!"&amp;G9</f>
        <v>#'2.1家乡主力军'!F149:M160</v>
      </c>
      <c r="F9" s="7" t="s">
        <v>638</v>
      </c>
      <c r="G9" s="7" t="s">
        <v>4778</v>
      </c>
      <c r="H9" s="6" t="s">
        <v>4779</v>
      </c>
      <c r="I9" s="7" t="s">
        <v>4780</v>
      </c>
      <c r="J9" s="7" t="s">
        <v>4781</v>
      </c>
      <c r="K9" s="7" t="s">
        <v>4782</v>
      </c>
      <c r="L9" s="7" t="s">
        <v>4782</v>
      </c>
      <c r="M9" s="7" t="s">
        <v>4782</v>
      </c>
      <c r="N9" s="7" t="s">
        <v>4782</v>
      </c>
      <c r="O9" s="7" t="s">
        <v>4782</v>
      </c>
      <c r="P9" s="7" t="s">
        <v>4782</v>
      </c>
      <c r="Q9" s="7" t="s">
        <v>4782</v>
      </c>
      <c r="R9" s="7" t="s">
        <v>4782</v>
      </c>
      <c r="S9" s="7">
        <f t="array" ref="S9">SUM(IFERROR(IF(MATCH(I9:R9,$F$4:$Q$4,0)&gt;0,1,0),0))</f>
        <v>0</v>
      </c>
      <c r="T9" s="7">
        <f t="shared" ca="1" si="7"/>
        <v>37</v>
      </c>
      <c r="U9" s="7">
        <f ca="1">T9+COUNTIF(T$5:$T8,T9)</f>
        <v>40</v>
      </c>
      <c r="Y9" s="12" t="s">
        <v>9</v>
      </c>
      <c r="Z9" s="7" t="str">
        <f t="shared" ca="1" si="10"/>
        <v>21_008</v>
      </c>
      <c r="AA9" s="13" t="s">
        <v>4783</v>
      </c>
      <c r="AB9" s="13" t="s">
        <v>4784</v>
      </c>
      <c r="AC9" s="13" t="s">
        <v>4785</v>
      </c>
      <c r="AD9" s="13" t="s">
        <v>4756</v>
      </c>
      <c r="AE9" s="13" t="s">
        <v>4758</v>
      </c>
      <c r="AF9" s="13" t="s">
        <v>4759</v>
      </c>
      <c r="AG9" s="13" t="s">
        <v>4786</v>
      </c>
      <c r="AH9" s="13" t="s">
        <v>4761</v>
      </c>
      <c r="AI9" s="13" t="s">
        <v>4787</v>
      </c>
      <c r="AJ9" s="13" t="s">
        <v>4788</v>
      </c>
      <c r="AK9" s="13" t="s">
        <v>4789</v>
      </c>
      <c r="AL9" s="13" t="s">
        <v>4790</v>
      </c>
      <c r="AM9" s="16" t="s">
        <v>4791</v>
      </c>
      <c r="AN9" s="16" t="s">
        <v>4792</v>
      </c>
      <c r="AO9" s="17" t="s">
        <v>4793</v>
      </c>
      <c r="AQ9" t="s">
        <v>4685</v>
      </c>
      <c r="AR9">
        <f>COUNTA(AQ$10:AQ10000)+9</f>
        <v>90</v>
      </c>
      <c r="AS9" t="str">
        <f ca="1">B1&amp;"AQ11:AU"&amp;AR9</f>
        <v>小羊的家备份!AQ11:AU90</v>
      </c>
      <c r="AT9" t="str">
        <f ca="1">B1&amp;"AQ11:AQ"&amp;AR9</f>
        <v>小羊的家备份!AQ11:AQ90</v>
      </c>
      <c r="AX9" s="28">
        <v>7500</v>
      </c>
      <c r="AY9" s="28" t="s">
        <v>4794</v>
      </c>
      <c r="AZ9" s="28" t="s">
        <v>4673</v>
      </c>
      <c r="BA9" s="28" t="s">
        <v>4795</v>
      </c>
      <c r="BB9" s="28">
        <v>40</v>
      </c>
      <c r="BF9" s="29"/>
      <c r="BG9" s="29" t="s">
        <v>4796</v>
      </c>
      <c r="BH9" s="29">
        <f ca="1">(OFFSET(BG3,BL8,BH11+1)-OFFSET(BG3,BL8,BH11))/(BI3-BH3)</f>
        <v>0.01</v>
      </c>
      <c r="BI9" s="29">
        <f ca="1">(OFFSET(BG3,BL8,BI11+1)-OFFSET(BG3,BL8,BI11))/(BJ3-BI3)</f>
        <v>4.4444444444444444E-3</v>
      </c>
      <c r="BJ9" s="29">
        <f ca="1">(OFFSET(BG3,BL8,BJ11+1)-OFFSET(BG3,BL8,BJ11))/(BK3-BJ3)</f>
        <v>2.2222222222222222E-3</v>
      </c>
      <c r="BK9" s="29">
        <f ca="1">(OFFSET(BG3,BL8,BK11+1)-OFFSET(BG3,BL8,BK11))/(BL3-BK3)</f>
        <v>1.1111111111111111E-3</v>
      </c>
      <c r="BL9" s="29">
        <f ca="1">(OFFSET(BG3,BL8,BL11+1)-OFFSET(BG3,BL8,BL11))/(BM3-BL3)</f>
        <v>5.2777777777777773E-4</v>
      </c>
      <c r="BM9" s="29">
        <f ca="1">(OFFSET(BG3,BL8,BM11+1)-OFFSET(BG3,BL8,BM11))/(BN3-BM3)</f>
        <v>2.6666666666666668E-4</v>
      </c>
      <c r="BN9" s="29"/>
      <c r="BQ9" s="37"/>
      <c r="BR9" s="37" t="s">
        <v>3042</v>
      </c>
      <c r="BS9" s="37"/>
      <c r="BT9" s="37">
        <v>7</v>
      </c>
      <c r="BU9" s="37" t="b">
        <f>IF($BS$3="无",FALSE(),IF(LEFT('5.3小工具'!R14,4)=$BS$3,TRUE(),IF(AND($BS$3="免费",RIGHT('5.3小工具'!R14,2)=" 0"),TRUE(),FALSE())))</f>
        <v>0</v>
      </c>
      <c r="BV9" s="37" t="b">
        <f>IF($BS$3="无",FALSE(),IF(LEFT('5.3小工具'!T14,4)=$BS$3,TRUE(),IF(AND($BS$3="免费",RIGHT('5.3小工具'!T14,2)=" 0"),TRUE(),FALSE())))</f>
        <v>0</v>
      </c>
      <c r="BW9" s="37" t="b">
        <f>IF($BS$3="无",FALSE(),IF(LEFT('5.3小工具'!V14,4)=$BS$3,TRUE(),IF(AND($BS$3="免费",RIGHT('5.3小工具'!V14,2)=" 0"),TRUE(),FALSE())))</f>
        <v>0</v>
      </c>
      <c r="BX9" s="37"/>
      <c r="BY9" s="37" t="b">
        <f t="shared" si="0"/>
        <v>0</v>
      </c>
      <c r="BZ9" t="b">
        <f>AND(OR(LEFT('5.3小工具'!R14,4)='5.3小工具'!$Y$42,'5.3小工具'!$Y$42=""),OR(LEFT('5.3小工具'!T14,4)='5.3小工具'!$AA$42,'5.3小工具'!$AA$42=""),OR(LEFT('5.3小工具'!V14,4)='5.3小工具'!$AC$42,'5.3小工具'!$AC$42=""))</f>
        <v>1</v>
      </c>
      <c r="CD9" s="38">
        <v>5</v>
      </c>
      <c r="CE9" s="38">
        <f t="shared" si="8"/>
        <v>1.7873015873015872</v>
      </c>
      <c r="CF9" s="38">
        <f t="shared" si="1"/>
        <v>7.2327899999999996</v>
      </c>
      <c r="CG9" s="38">
        <f t="shared" si="2"/>
        <v>6</v>
      </c>
      <c r="CH9" s="38">
        <v>6</v>
      </c>
      <c r="CI9">
        <f t="shared" si="3"/>
        <v>7.2327899999999996</v>
      </c>
      <c r="CJ9" t="str">
        <f t="shared" si="5"/>
        <v/>
      </c>
      <c r="CK9" t="str">
        <f t="shared" si="6"/>
        <v/>
      </c>
      <c r="CL9" t="str">
        <f t="shared" si="4"/>
        <v/>
      </c>
      <c r="CM9" t="s">
        <v>38</v>
      </c>
      <c r="CN9">
        <v>1050</v>
      </c>
      <c r="CP9" s="40">
        <v>357</v>
      </c>
      <c r="CQ9" s="41" t="s">
        <v>3193</v>
      </c>
      <c r="CR9" s="41" t="s">
        <v>4797</v>
      </c>
      <c r="CS9" s="41">
        <v>400</v>
      </c>
      <c r="CT9" s="41">
        <v>24</v>
      </c>
      <c r="CU9" s="41">
        <v>60</v>
      </c>
      <c r="CV9" s="41">
        <v>15</v>
      </c>
      <c r="CW9" s="40"/>
      <c r="CX9" s="41" t="s">
        <v>4716</v>
      </c>
      <c r="CY9" s="40" t="s">
        <v>3104</v>
      </c>
      <c r="DB9" t="s">
        <v>173</v>
      </c>
      <c r="DC9" s="7">
        <f t="shared" ca="1" si="9"/>
        <v>5</v>
      </c>
      <c r="DH9">
        <v>1</v>
      </c>
      <c r="DI9">
        <v>2</v>
      </c>
      <c r="DJ9">
        <v>3</v>
      </c>
      <c r="DK9">
        <v>3</v>
      </c>
      <c r="DL9">
        <v>4</v>
      </c>
      <c r="DM9">
        <v>5</v>
      </c>
    </row>
    <row r="10" spans="1:117" ht="14.6">
      <c r="A10" t="s">
        <v>4798</v>
      </c>
      <c r="B10" t="s">
        <v>4799</v>
      </c>
      <c r="D10" s="6" t="str">
        <f t="shared" si="11"/>
        <v>家乡主力军-&gt;亡灵</v>
      </c>
      <c r="E10" s="6" t="str">
        <f t="shared" ref="E10:E73" si="12">"#'"&amp;H10&amp;"'!"&amp;G10</f>
        <v>#'2.1家乡主力军'!F85:L97</v>
      </c>
      <c r="F10" s="6" t="s">
        <v>512</v>
      </c>
      <c r="G10" s="6" t="s">
        <v>4800</v>
      </c>
      <c r="H10" s="6" t="s">
        <v>4779</v>
      </c>
      <c r="I10" s="7" t="s">
        <v>4801</v>
      </c>
      <c r="J10" s="7" t="s">
        <v>4802</v>
      </c>
      <c r="K10" s="7" t="s">
        <v>4803</v>
      </c>
      <c r="L10" s="7" t="s">
        <v>4804</v>
      </c>
      <c r="M10" s="7" t="s">
        <v>4805</v>
      </c>
      <c r="N10" s="7" t="s">
        <v>4782</v>
      </c>
      <c r="O10" s="7" t="s">
        <v>4782</v>
      </c>
      <c r="P10" s="7" t="s">
        <v>4782</v>
      </c>
      <c r="Q10" s="7" t="s">
        <v>4782</v>
      </c>
      <c r="R10" s="7" t="s">
        <v>4782</v>
      </c>
      <c r="S10" s="7">
        <f t="array" ref="S10">SUM(IFERROR(IF(MATCH(I10:R10,$F$4:$Q$4,0)&gt;0,1,0),0))</f>
        <v>0</v>
      </c>
      <c r="T10" s="7">
        <f t="shared" ca="1" si="7"/>
        <v>37</v>
      </c>
      <c r="U10" s="7">
        <f ca="1">T10+COUNTIF(T$5:$T9,T10)</f>
        <v>41</v>
      </c>
      <c r="Y10" s="12" t="s">
        <v>14</v>
      </c>
      <c r="Z10" s="7" t="str">
        <f t="shared" ca="1" si="10"/>
        <v>16_200</v>
      </c>
      <c r="AA10" s="14" t="s">
        <v>4783</v>
      </c>
      <c r="AB10" s="13" t="s">
        <v>4806</v>
      </c>
      <c r="AC10" s="13" t="s">
        <v>4807</v>
      </c>
      <c r="AD10" s="13" t="s">
        <v>4808</v>
      </c>
      <c r="AE10" s="13" t="s">
        <v>4809</v>
      </c>
      <c r="AF10" s="13" t="s">
        <v>4810</v>
      </c>
      <c r="AG10" s="13" t="s">
        <v>4811</v>
      </c>
      <c r="AH10" s="13" t="s">
        <v>4812</v>
      </c>
      <c r="AI10" s="13" t="s">
        <v>4813</v>
      </c>
      <c r="AJ10" s="13" t="s">
        <v>4814</v>
      </c>
      <c r="AK10" s="13" t="s">
        <v>4815</v>
      </c>
      <c r="AL10" s="13" t="s">
        <v>4816</v>
      </c>
      <c r="AM10" s="15" t="s">
        <v>4817</v>
      </c>
      <c r="AN10" s="15" t="s">
        <v>4818</v>
      </c>
      <c r="AO10" s="18" t="s">
        <v>4819</v>
      </c>
      <c r="AQ10" s="19" t="s">
        <v>4670</v>
      </c>
      <c r="AR10" s="19" t="s">
        <v>4820</v>
      </c>
      <c r="AS10" s="19" t="s">
        <v>4821</v>
      </c>
      <c r="AT10" s="19" t="s">
        <v>2034</v>
      </c>
      <c r="AU10" s="19" t="s">
        <v>4822</v>
      </c>
      <c r="AX10" s="28">
        <v>12000</v>
      </c>
      <c r="AY10" s="28" t="s">
        <v>4688</v>
      </c>
      <c r="AZ10" s="28" t="s">
        <v>4823</v>
      </c>
      <c r="BA10" s="28" t="s">
        <v>4824</v>
      </c>
      <c r="BB10" s="28">
        <v>60</v>
      </c>
      <c r="BF10" s="29"/>
      <c r="BG10" s="29" t="s">
        <v>4825</v>
      </c>
      <c r="BH10" s="29">
        <f ca="1">OFFSET(BG3,BL8,BH11)-BH9*BH3</f>
        <v>0</v>
      </c>
      <c r="BI10" s="29">
        <f ca="1">OFFSET(BG3,BL8,BI11)-BI9*BI3</f>
        <v>0.55555555555555558</v>
      </c>
      <c r="BJ10" s="29">
        <f ca="1">OFFSET(BG3,BL8,BJ11)-BJ9*BJ3</f>
        <v>2.7777777777777777</v>
      </c>
      <c r="BK10" s="29">
        <f ca="1">OFFSET(BG3,BL8,BK11)-BK9*BK3</f>
        <v>13.888888888888889</v>
      </c>
      <c r="BL10" s="29">
        <f ca="1">OFFSET(BG3,BL8,BL11)-BL9*BL3</f>
        <v>72.222222222222229</v>
      </c>
      <c r="BM10" s="29">
        <f ca="1">OFFSET(BG3,BL8,BM11)-BM9*BM3</f>
        <v>333.33333333333331</v>
      </c>
      <c r="BN10" s="29"/>
      <c r="BQ10" s="37"/>
      <c r="BR10" s="37" t="s">
        <v>3431</v>
      </c>
      <c r="BS10" s="37"/>
      <c r="BT10" s="37">
        <v>8</v>
      </c>
      <c r="BU10" s="37" t="b">
        <f>IF($BS$3="无",FALSE(),IF(LEFT('5.3小工具'!R15,4)=$BS$3,TRUE(),IF(AND($BS$3="免费",RIGHT('5.3小工具'!R15,2)=" 0"),TRUE(),FALSE())))</f>
        <v>0</v>
      </c>
      <c r="BV10" s="37" t="b">
        <f>IF($BS$3="无",FALSE(),IF(LEFT('5.3小工具'!T15,4)=$BS$3,TRUE(),IF(AND($BS$3="免费",RIGHT('5.3小工具'!T15,2)=" 0"),TRUE(),FALSE())))</f>
        <v>0</v>
      </c>
      <c r="BW10" s="37" t="b">
        <f>IF($BS$3="无",FALSE(),IF(LEFT('5.3小工具'!V15,4)=$BS$3,TRUE(),IF(AND($BS$3="免费",RIGHT('5.3小工具'!V15,2)=" 0"),TRUE(),FALSE())))</f>
        <v>0</v>
      </c>
      <c r="BX10" s="37"/>
      <c r="BY10" s="37" t="b">
        <f t="shared" si="0"/>
        <v>0</v>
      </c>
      <c r="BZ10" t="b">
        <f>AND(OR(LEFT('5.3小工具'!R15,4)='5.3小工具'!$Y$42,'5.3小工具'!$Y$42=""),OR(LEFT('5.3小工具'!T15,4)='5.3小工具'!$AA$42,'5.3小工具'!$AA$42=""),OR(LEFT('5.3小工具'!V15,4)='5.3小工具'!$AC$42,'5.3小工具'!$AC$42=""))</f>
        <v>1</v>
      </c>
      <c r="CC10" t="s">
        <v>4826</v>
      </c>
      <c r="CD10" s="38">
        <v>6</v>
      </c>
      <c r="CE10" s="38">
        <f t="shared" si="8"/>
        <v>1.878210678210678</v>
      </c>
      <c r="CF10" s="38">
        <f t="shared" si="1"/>
        <v>8.2064299999999992</v>
      </c>
      <c r="CG10" s="38">
        <f t="shared" si="2"/>
        <v>7</v>
      </c>
      <c r="CH10" s="38">
        <v>7</v>
      </c>
      <c r="CI10">
        <f t="shared" si="3"/>
        <v>8.2064299999999992</v>
      </c>
      <c r="CJ10" t="str">
        <f t="shared" si="5"/>
        <v/>
      </c>
      <c r="CK10" t="str">
        <f t="shared" si="6"/>
        <v/>
      </c>
      <c r="CL10" t="str">
        <f t="shared" si="4"/>
        <v/>
      </c>
      <c r="CM10" t="s">
        <v>43</v>
      </c>
      <c r="CN10">
        <v>1350</v>
      </c>
      <c r="CP10" s="40">
        <v>358</v>
      </c>
      <c r="CQ10" s="41" t="s">
        <v>3201</v>
      </c>
      <c r="CR10" s="41" t="s">
        <v>4827</v>
      </c>
      <c r="CS10" s="41">
        <v>100</v>
      </c>
      <c r="CT10" s="41">
        <v>3</v>
      </c>
      <c r="CU10" s="41">
        <v>160</v>
      </c>
      <c r="CV10" s="41">
        <v>5</v>
      </c>
      <c r="CW10" s="40"/>
      <c r="CX10" s="41" t="s">
        <v>4716</v>
      </c>
      <c r="CY10" s="40" t="s">
        <v>3096</v>
      </c>
      <c r="DB10" t="s">
        <v>174</v>
      </c>
      <c r="DC10" s="7">
        <f t="shared" ca="1" si="9"/>
        <v>5</v>
      </c>
      <c r="DI10">
        <v>1</v>
      </c>
      <c r="DJ10">
        <v>2</v>
      </c>
      <c r="DK10">
        <v>3</v>
      </c>
      <c r="DL10">
        <v>4</v>
      </c>
      <c r="DM10">
        <v>5</v>
      </c>
    </row>
    <row r="11" spans="1:117" ht="14.6">
      <c r="D11" s="6" t="str">
        <f t="shared" si="11"/>
        <v>家乡主力军-&gt;野蛮人</v>
      </c>
      <c r="E11" s="6" t="str">
        <f t="shared" si="12"/>
        <v>#'2.1家乡主力军'!F5:L16</v>
      </c>
      <c r="F11" s="6" t="s">
        <v>232</v>
      </c>
      <c r="G11" s="6" t="s">
        <v>4828</v>
      </c>
      <c r="H11" s="6" t="s">
        <v>4779</v>
      </c>
      <c r="I11" s="7" t="s">
        <v>4801</v>
      </c>
      <c r="J11" s="7" t="s">
        <v>4829</v>
      </c>
      <c r="K11" s="7" t="s">
        <v>4830</v>
      </c>
      <c r="L11" s="7" t="s">
        <v>4831</v>
      </c>
      <c r="M11" s="7" t="s">
        <v>4832</v>
      </c>
      <c r="N11" s="7" t="s">
        <v>4833</v>
      </c>
      <c r="O11" s="7" t="s">
        <v>4782</v>
      </c>
      <c r="P11" s="7" t="s">
        <v>4782</v>
      </c>
      <c r="Q11" s="7" t="s">
        <v>4782</v>
      </c>
      <c r="R11" s="7" t="s">
        <v>4782</v>
      </c>
      <c r="S11" s="7">
        <f t="array" ref="S11">SUM(IFERROR(IF(MATCH(I11:R11,$F$4:$Q$4,0)&gt;0,1,0),0))</f>
        <v>0</v>
      </c>
      <c r="T11" s="7">
        <f t="shared" ca="1" si="7"/>
        <v>37</v>
      </c>
      <c r="U11" s="7">
        <f ca="1">T11+COUNTIF(T$5:$T10,T11)</f>
        <v>42</v>
      </c>
      <c r="Y11" s="12" t="s">
        <v>20</v>
      </c>
      <c r="Z11" s="7" t="str">
        <f t="shared" ca="1" si="10"/>
        <v>15_004</v>
      </c>
      <c r="AA11" s="13" t="s">
        <v>4783</v>
      </c>
      <c r="AB11" s="13" t="s">
        <v>4783</v>
      </c>
      <c r="AC11" s="13" t="s">
        <v>4834</v>
      </c>
      <c r="AD11" s="13" t="s">
        <v>4784</v>
      </c>
      <c r="AE11" s="13" t="s">
        <v>4785</v>
      </c>
      <c r="AF11" s="13" t="s">
        <v>4756</v>
      </c>
      <c r="AG11" s="13" t="s">
        <v>4835</v>
      </c>
      <c r="AH11" s="13" t="s">
        <v>4836</v>
      </c>
      <c r="AI11" s="13" t="s">
        <v>4837</v>
      </c>
      <c r="AJ11" s="13" t="s">
        <v>4786</v>
      </c>
      <c r="AK11" s="13" t="s">
        <v>4838</v>
      </c>
      <c r="AL11" s="13" t="s">
        <v>4839</v>
      </c>
      <c r="AM11" s="16" t="s">
        <v>4840</v>
      </c>
      <c r="AN11" s="16" t="s">
        <v>4841</v>
      </c>
      <c r="AO11" s="17" t="s">
        <v>4842</v>
      </c>
      <c r="AQ11" s="20">
        <v>44917</v>
      </c>
      <c r="AR11">
        <v>6</v>
      </c>
      <c r="AS11" t="s">
        <v>4691</v>
      </c>
      <c r="AT11">
        <v>5000</v>
      </c>
      <c r="AU11" t="s">
        <v>4843</v>
      </c>
      <c r="AX11" s="28">
        <v>18000</v>
      </c>
      <c r="AY11" s="28" t="s">
        <v>4844</v>
      </c>
      <c r="AZ11" s="28" t="s">
        <v>4845</v>
      </c>
      <c r="BA11" s="28" t="s">
        <v>4747</v>
      </c>
      <c r="BB11" s="28">
        <v>80</v>
      </c>
      <c r="BF11" s="29"/>
      <c r="BG11" s="29" t="s">
        <v>4846</v>
      </c>
      <c r="BH11" s="29">
        <v>1</v>
      </c>
      <c r="BI11" s="29">
        <v>2</v>
      </c>
      <c r="BJ11" s="29">
        <v>3</v>
      </c>
      <c r="BK11" s="29">
        <v>4</v>
      </c>
      <c r="BL11" s="29">
        <v>5</v>
      </c>
      <c r="BM11" s="29">
        <v>6</v>
      </c>
      <c r="BN11" s="29"/>
      <c r="BQ11" s="37"/>
      <c r="BR11" s="37" t="s">
        <v>3120</v>
      </c>
      <c r="BS11" s="37"/>
      <c r="BT11" s="37">
        <v>9</v>
      </c>
      <c r="BU11" s="37" t="b">
        <f>IF($BS$3="无",FALSE(),IF(LEFT('5.3小工具'!R16,4)=$BS$3,TRUE(),IF(AND($BS$3="免费",RIGHT('5.3小工具'!R16,2)=" 0"),TRUE(),FALSE())))</f>
        <v>0</v>
      </c>
      <c r="BV11" s="37" t="b">
        <f>IF($BS$3="无",FALSE(),IF(LEFT('5.3小工具'!T16,4)=$BS$3,TRUE(),IF(AND($BS$3="免费",RIGHT('5.3小工具'!T16,2)=" 0"),TRUE(),FALSE())))</f>
        <v>0</v>
      </c>
      <c r="BW11" s="37" t="b">
        <f>IF($BS$3="无",FALSE(),IF(LEFT('5.3小工具'!V16,4)=$BS$3,TRUE(),IF(AND($BS$3="免费",RIGHT('5.3小工具'!V16,2)=" 0"),TRUE(),FALSE())))</f>
        <v>0</v>
      </c>
      <c r="BX11" s="37"/>
      <c r="BY11" s="37" t="b">
        <f t="shared" si="0"/>
        <v>0</v>
      </c>
      <c r="BZ11" t="b">
        <f>AND(OR(LEFT('5.3小工具'!R16,4)='5.3小工具'!$Y$42,'5.3小工具'!$Y$42=""),OR(LEFT('5.3小工具'!T16,4)='5.3小工具'!$AA$42,'5.3小工具'!$AA$42=""),OR(LEFT('5.3小工具'!V16,4)='5.3小工具'!$AC$42,'5.3小工具'!$AC$42=""))</f>
        <v>1</v>
      </c>
      <c r="CC11">
        <f>MIN(CF4:CF305)</f>
        <v>4.2122200000000003</v>
      </c>
      <c r="CD11" s="38">
        <v>7</v>
      </c>
      <c r="CE11" s="38">
        <f t="shared" si="8"/>
        <v>1.9551337551337549</v>
      </c>
      <c r="CF11" s="38">
        <f t="shared" si="1"/>
        <v>9.1841200000000001</v>
      </c>
      <c r="CG11" s="38">
        <f t="shared" si="2"/>
        <v>8</v>
      </c>
      <c r="CH11" s="38">
        <v>8</v>
      </c>
      <c r="CI11">
        <f t="shared" si="3"/>
        <v>9.1841200000000001</v>
      </c>
      <c r="CJ11" t="str">
        <f t="shared" si="5"/>
        <v/>
      </c>
      <c r="CK11" t="str">
        <f t="shared" si="6"/>
        <v/>
      </c>
      <c r="CL11" t="str">
        <f t="shared" si="4"/>
        <v/>
      </c>
      <c r="CM11" t="s">
        <v>49</v>
      </c>
      <c r="CN11">
        <v>2500</v>
      </c>
      <c r="CP11" s="40">
        <v>359</v>
      </c>
      <c r="CQ11" s="41" t="s">
        <v>3201</v>
      </c>
      <c r="CR11" s="41" t="s">
        <v>4847</v>
      </c>
      <c r="CS11" s="41">
        <v>200</v>
      </c>
      <c r="CT11" s="41">
        <v>8</v>
      </c>
      <c r="CU11" s="41">
        <v>80</v>
      </c>
      <c r="CV11" s="41">
        <v>10</v>
      </c>
      <c r="CW11" s="40"/>
      <c r="CX11" s="41" t="s">
        <v>4716</v>
      </c>
      <c r="CY11" s="40" t="s">
        <v>4717</v>
      </c>
      <c r="DB11" t="s">
        <v>175</v>
      </c>
      <c r="DC11" s="7">
        <f t="shared" ca="1" si="9"/>
        <v>5</v>
      </c>
      <c r="DJ11">
        <v>2</v>
      </c>
      <c r="DK11">
        <v>3</v>
      </c>
      <c r="DL11">
        <v>4</v>
      </c>
      <c r="DM11">
        <v>5</v>
      </c>
    </row>
    <row r="12" spans="1:117" ht="14.6">
      <c r="D12" s="6" t="str">
        <f t="shared" si="11"/>
        <v>家乡主力军-&gt;野蛮人之王</v>
      </c>
      <c r="E12" s="6" t="str">
        <f t="shared" si="12"/>
        <v>#'2.1家乡主力军'!AO5:BB91</v>
      </c>
      <c r="F12" s="6" t="s">
        <v>237</v>
      </c>
      <c r="G12" s="6" t="s">
        <v>4848</v>
      </c>
      <c r="H12" s="6" t="s">
        <v>4779</v>
      </c>
      <c r="I12" s="7" t="s">
        <v>4801</v>
      </c>
      <c r="J12" s="7" t="s">
        <v>4829</v>
      </c>
      <c r="K12" s="7" t="s">
        <v>4830</v>
      </c>
      <c r="L12" s="7" t="s">
        <v>4831</v>
      </c>
      <c r="M12" s="7" t="s">
        <v>4849</v>
      </c>
      <c r="N12" s="7" t="s">
        <v>4850</v>
      </c>
      <c r="O12" s="7" t="s">
        <v>4851</v>
      </c>
      <c r="P12" s="7" t="s">
        <v>4782</v>
      </c>
      <c r="Q12" s="7" t="s">
        <v>4782</v>
      </c>
      <c r="R12" s="7" t="s">
        <v>4782</v>
      </c>
      <c r="S12" s="7">
        <f t="array" ref="S12">SUM(IFERROR(IF(MATCH(I12:R12,$F$4:$Q$4,0)&gt;0,1,0),0))</f>
        <v>0</v>
      </c>
      <c r="T12" s="7">
        <f t="shared" ca="1" si="7"/>
        <v>37</v>
      </c>
      <c r="U12" s="7">
        <f ca="1">T12+COUNTIF(T$5:$T11,T12)</f>
        <v>43</v>
      </c>
      <c r="Y12" s="12" t="s">
        <v>26</v>
      </c>
      <c r="Z12" s="7" t="str">
        <f t="shared" ca="1" si="10"/>
        <v>13_004</v>
      </c>
      <c r="AA12" s="13" t="s">
        <v>4783</v>
      </c>
      <c r="AB12" s="13" t="s">
        <v>4783</v>
      </c>
      <c r="AC12" s="13" t="s">
        <v>4783</v>
      </c>
      <c r="AD12" s="13" t="s">
        <v>4784</v>
      </c>
      <c r="AE12" s="13" t="s">
        <v>4785</v>
      </c>
      <c r="AF12" s="13" t="s">
        <v>4756</v>
      </c>
      <c r="AG12" s="13" t="s">
        <v>4835</v>
      </c>
      <c r="AH12" s="13" t="s">
        <v>4758</v>
      </c>
      <c r="AI12" s="13" t="s">
        <v>4837</v>
      </c>
      <c r="AJ12" s="13" t="s">
        <v>4786</v>
      </c>
      <c r="AK12" s="13" t="s">
        <v>4852</v>
      </c>
      <c r="AL12" s="13" t="s">
        <v>4838</v>
      </c>
      <c r="AM12" s="15" t="s">
        <v>4853</v>
      </c>
      <c r="AN12" s="15" t="s">
        <v>4839</v>
      </c>
      <c r="AO12" s="21" t="s">
        <v>4840</v>
      </c>
      <c r="AQ12" s="20">
        <v>44887</v>
      </c>
      <c r="AR12">
        <v>6</v>
      </c>
      <c r="AS12" t="s">
        <v>4691</v>
      </c>
      <c r="AT12">
        <v>4000</v>
      </c>
      <c r="AU12" t="s">
        <v>4854</v>
      </c>
      <c r="AX12" s="28">
        <v>30000</v>
      </c>
      <c r="AY12" s="28" t="s">
        <v>4745</v>
      </c>
      <c r="AZ12" s="28" t="s">
        <v>4737</v>
      </c>
      <c r="BA12" s="28" t="s">
        <v>4855</v>
      </c>
      <c r="BB12" s="28">
        <v>100</v>
      </c>
      <c r="BF12" s="29"/>
      <c r="BG12" s="29" t="s">
        <v>4856</v>
      </c>
      <c r="BH12" s="29">
        <f ca="1">INT(BH8*OFFSET(BG9,0,BJ8)+OFFSET(BG10,0,BJ8)+0.99)</f>
        <v>25</v>
      </c>
      <c r="BI12" s="29"/>
      <c r="BJ12" s="29"/>
      <c r="BK12" s="29"/>
      <c r="BL12" s="29"/>
      <c r="BM12" s="29"/>
      <c r="BN12" s="29"/>
      <c r="BQ12" s="37"/>
      <c r="BR12" s="37" t="s">
        <v>3185</v>
      </c>
      <c r="BS12" s="37"/>
      <c r="BT12" s="37">
        <v>10</v>
      </c>
      <c r="BU12" s="37" t="b">
        <f>IF($BS$3="无",FALSE(),IF(LEFT('5.3小工具'!R17,4)=$BS$3,TRUE(),IF(AND($BS$3="免费",RIGHT('5.3小工具'!R17,2)=" 0"),TRUE(),FALSE())))</f>
        <v>0</v>
      </c>
      <c r="BV12" s="37" t="b">
        <f>IF($BS$3="无",FALSE(),IF(LEFT('5.3小工具'!T17,4)=$BS$3,TRUE(),IF(AND($BS$3="免费",RIGHT('5.3小工具'!T17,2)=" 0"),TRUE(),FALSE())))</f>
        <v>0</v>
      </c>
      <c r="BW12" s="37" t="b">
        <f>IF($BS$3="无",FALSE(),IF(LEFT('5.3小工具'!V17,4)=$BS$3,TRUE(),IF(AND($BS$3="免费",RIGHT('5.3小工具'!V17,2)=" 0"),TRUE(),FALSE())))</f>
        <v>0</v>
      </c>
      <c r="BX12" s="37"/>
      <c r="BY12" s="37" t="b">
        <f t="shared" si="0"/>
        <v>0</v>
      </c>
      <c r="BZ12" t="b">
        <f>AND(OR(LEFT('5.3小工具'!R17,4)='5.3小工具'!$Y$42,'5.3小工具'!$Y$42=""),OR(LEFT('5.3小工具'!T17,4)='5.3小工具'!$AA$42,'5.3小工具'!$AA$42=""),OR(LEFT('5.3小工具'!V17,4)='5.3小工具'!$AC$42,'5.3小工具'!$AC$42=""))</f>
        <v>1</v>
      </c>
      <c r="CD12" s="38">
        <v>8</v>
      </c>
      <c r="CE12" s="38">
        <f t="shared" si="8"/>
        <v>2.0218004218004215</v>
      </c>
      <c r="CF12" s="38">
        <f t="shared" si="1"/>
        <v>10.16479</v>
      </c>
      <c r="CG12" s="38">
        <f t="shared" si="2"/>
        <v>9</v>
      </c>
      <c r="CH12" s="38">
        <v>9</v>
      </c>
      <c r="CI12">
        <f t="shared" si="3"/>
        <v>10.16479</v>
      </c>
      <c r="CJ12" t="str">
        <f t="shared" si="5"/>
        <v/>
      </c>
      <c r="CK12" t="str">
        <f t="shared" si="6"/>
        <v/>
      </c>
      <c r="CL12" t="str">
        <f t="shared" si="4"/>
        <v/>
      </c>
      <c r="CM12" t="s">
        <v>54</v>
      </c>
      <c r="CN12">
        <v>4700</v>
      </c>
      <c r="CP12" s="40">
        <v>360</v>
      </c>
      <c r="CQ12" s="41" t="s">
        <v>3201</v>
      </c>
      <c r="CR12" s="41" t="s">
        <v>4857</v>
      </c>
      <c r="CS12" s="41">
        <v>400</v>
      </c>
      <c r="CT12" s="41">
        <v>24</v>
      </c>
      <c r="CU12" s="41">
        <v>40</v>
      </c>
      <c r="CV12" s="41">
        <v>15</v>
      </c>
      <c r="CW12" s="40"/>
      <c r="CX12" s="41" t="s">
        <v>4716</v>
      </c>
      <c r="CY12" s="40" t="s">
        <v>3104</v>
      </c>
      <c r="DB12" t="s">
        <v>176</v>
      </c>
      <c r="DC12" s="7">
        <f t="shared" ca="1" si="9"/>
        <v>4</v>
      </c>
      <c r="DK12">
        <v>2</v>
      </c>
      <c r="DL12">
        <v>3</v>
      </c>
      <c r="DM12">
        <v>4</v>
      </c>
    </row>
    <row r="13" spans="1:117" ht="14.6">
      <c r="D13" s="6" t="str">
        <f t="shared" si="11"/>
        <v>家乡主力军-&gt;大牦</v>
      </c>
      <c r="E13" s="6" t="str">
        <f t="shared" si="12"/>
        <v>#'2.1家乡主力军'!O149:W161</v>
      </c>
      <c r="F13" s="7" t="s">
        <v>643</v>
      </c>
      <c r="G13" s="7" t="s">
        <v>4858</v>
      </c>
      <c r="H13" s="6" t="s">
        <v>4779</v>
      </c>
      <c r="I13" s="7" t="s">
        <v>4859</v>
      </c>
      <c r="J13" s="7" t="s">
        <v>4860</v>
      </c>
      <c r="K13" s="7" t="s">
        <v>4782</v>
      </c>
      <c r="L13" s="7" t="s">
        <v>4782</v>
      </c>
      <c r="M13" s="7" t="s">
        <v>4782</v>
      </c>
      <c r="N13" s="7" t="s">
        <v>4782</v>
      </c>
      <c r="O13" s="7" t="s">
        <v>4782</v>
      </c>
      <c r="P13" s="7" t="s">
        <v>4782</v>
      </c>
      <c r="Q13" s="7" t="s">
        <v>4782</v>
      </c>
      <c r="R13" s="7" t="s">
        <v>4782</v>
      </c>
      <c r="S13" s="7">
        <f t="array" ref="S13">SUM(IFERROR(IF(MATCH(I13:R13,$F$4:$Q$4,0)&gt;0,1,0),0))</f>
        <v>0</v>
      </c>
      <c r="T13" s="7">
        <f t="shared" ca="1" si="7"/>
        <v>37</v>
      </c>
      <c r="U13" s="7">
        <f ca="1">T13+COUNTIF(T$5:$T12,T13)</f>
        <v>44</v>
      </c>
      <c r="Y13" s="12" t="s">
        <v>32</v>
      </c>
      <c r="Z13" s="7" t="str">
        <f t="shared" ca="1" si="10"/>
        <v>15_005</v>
      </c>
      <c r="AA13" s="13" t="s">
        <v>4783</v>
      </c>
      <c r="AB13" s="13" t="s">
        <v>4783</v>
      </c>
      <c r="AC13" s="13" t="s">
        <v>4783</v>
      </c>
      <c r="AD13" s="13" t="s">
        <v>4783</v>
      </c>
      <c r="AE13" s="13" t="s">
        <v>4784</v>
      </c>
      <c r="AF13" s="13" t="s">
        <v>4755</v>
      </c>
      <c r="AG13" s="13" t="s">
        <v>4756</v>
      </c>
      <c r="AH13" s="13" t="s">
        <v>4758</v>
      </c>
      <c r="AI13" s="13" t="s">
        <v>4837</v>
      </c>
      <c r="AJ13" s="13" t="s">
        <v>4852</v>
      </c>
      <c r="AK13" s="13" t="s">
        <v>4761</v>
      </c>
      <c r="AL13" s="13" t="s">
        <v>4762</v>
      </c>
      <c r="AM13" s="16" t="s">
        <v>4861</v>
      </c>
      <c r="AN13" s="16" t="s">
        <v>4862</v>
      </c>
      <c r="AO13" s="17" t="s">
        <v>4863</v>
      </c>
      <c r="AQ13" s="20">
        <v>44856</v>
      </c>
      <c r="AR13">
        <v>6</v>
      </c>
      <c r="AS13" t="s">
        <v>4691</v>
      </c>
      <c r="AT13">
        <v>4000</v>
      </c>
      <c r="AU13" t="s">
        <v>4864</v>
      </c>
      <c r="AX13" s="28">
        <v>50000</v>
      </c>
      <c r="AY13" s="28" t="s">
        <v>4865</v>
      </c>
      <c r="AZ13" s="28" t="s">
        <v>4866</v>
      </c>
      <c r="BA13" s="28" t="s">
        <v>4752</v>
      </c>
      <c r="BB13" s="28">
        <v>120</v>
      </c>
      <c r="BF13" s="29"/>
      <c r="BG13" s="29"/>
      <c r="BH13" s="29"/>
      <c r="BI13" s="29"/>
      <c r="BJ13" s="29"/>
      <c r="BK13" s="29"/>
      <c r="BL13" s="29"/>
      <c r="BM13" s="29"/>
      <c r="BN13" s="29"/>
      <c r="BQ13" s="37"/>
      <c r="BR13" s="37" t="s">
        <v>3184</v>
      </c>
      <c r="BS13" s="37"/>
      <c r="BT13" s="37">
        <v>11</v>
      </c>
      <c r="BU13" s="37" t="b">
        <f>IF($BS$3="无",FALSE(),IF(LEFT('5.3小工具'!R18,4)=$BS$3,TRUE(),IF(AND($BS$3="免费",RIGHT('5.3小工具'!R18,2)=" 0"),TRUE(),FALSE())))</f>
        <v>0</v>
      </c>
      <c r="BV13" s="37" t="b">
        <f>IF($BS$3="无",FALSE(),IF(LEFT('5.3小工具'!T18,4)=$BS$3,TRUE(),IF(AND($BS$3="免费",RIGHT('5.3小工具'!T18,2)=" 0"),TRUE(),FALSE())))</f>
        <v>0</v>
      </c>
      <c r="BW13" s="37" t="b">
        <f>IF($BS$3="无",FALSE(),IF(LEFT('5.3小工具'!V18,4)=$BS$3,TRUE(),IF(AND($BS$3="免费",RIGHT('5.3小工具'!V18,2)=" 0"),TRUE(),FALSE())))</f>
        <v>0</v>
      </c>
      <c r="BX13" s="37"/>
      <c r="BY13" s="37" t="b">
        <f t="shared" si="0"/>
        <v>0</v>
      </c>
      <c r="BZ13" t="b">
        <f>AND(OR(LEFT('5.3小工具'!R18,4)='5.3小工具'!$Y$42,'5.3小工具'!$Y$42=""),OR(LEFT('5.3小工具'!T18,4)='5.3小工具'!$AA$42,'5.3小工具'!$AA$42=""),OR(LEFT('5.3小工具'!V18,4)='5.3小工具'!$AC$42,'5.3小工具'!$AC$42=""))</f>
        <v>1</v>
      </c>
      <c r="CD13" s="38">
        <v>9</v>
      </c>
      <c r="CE13" s="38">
        <f t="shared" si="8"/>
        <v>2.080623951212186</v>
      </c>
      <c r="CF13" s="38">
        <f t="shared" si="1"/>
        <v>11.147729999999999</v>
      </c>
      <c r="CG13" s="38">
        <f t="shared" si="2"/>
        <v>10</v>
      </c>
      <c r="CH13" s="38">
        <v>10</v>
      </c>
      <c r="CI13">
        <f t="shared" si="3"/>
        <v>11.147729999999999</v>
      </c>
      <c r="CJ13" t="str">
        <f t="shared" si="5"/>
        <v/>
      </c>
      <c r="CK13" t="str">
        <f t="shared" si="6"/>
        <v/>
      </c>
      <c r="CL13" t="str">
        <f t="shared" si="4"/>
        <v/>
      </c>
      <c r="CM13" t="s">
        <v>59</v>
      </c>
      <c r="CN13">
        <v>4000</v>
      </c>
      <c r="CP13" s="40">
        <v>361</v>
      </c>
      <c r="CQ13" s="41" t="s">
        <v>3208</v>
      </c>
      <c r="CR13" s="41" t="s">
        <v>4867</v>
      </c>
      <c r="CS13" s="41">
        <v>100</v>
      </c>
      <c r="CT13" s="41">
        <v>3</v>
      </c>
      <c r="CU13" s="41">
        <v>250</v>
      </c>
      <c r="CV13" s="41">
        <v>5</v>
      </c>
      <c r="CW13" s="40"/>
      <c r="CX13" s="41" t="s">
        <v>4716</v>
      </c>
      <c r="CY13" s="40" t="s">
        <v>3096</v>
      </c>
      <c r="DC13" s="7"/>
    </row>
    <row r="14" spans="1:117" ht="14.6">
      <c r="D14" s="6" t="str">
        <f t="shared" si="11"/>
        <v>家乡主力军-&gt;弓箭女皇</v>
      </c>
      <c r="E14" s="6" t="str">
        <f t="shared" si="12"/>
        <v>#'2.1家乡主力军'!BD5:BQ91</v>
      </c>
      <c r="F14" s="6" t="s">
        <v>251</v>
      </c>
      <c r="G14" s="6" t="s">
        <v>4868</v>
      </c>
      <c r="H14" s="6" t="s">
        <v>4779</v>
      </c>
      <c r="I14" s="7" t="s">
        <v>4801</v>
      </c>
      <c r="J14" s="7" t="s">
        <v>4869</v>
      </c>
      <c r="K14" s="7" t="s">
        <v>4870</v>
      </c>
      <c r="L14" s="7" t="s">
        <v>4871</v>
      </c>
      <c r="M14" s="7" t="s">
        <v>4872</v>
      </c>
      <c r="N14" s="7" t="s">
        <v>4850</v>
      </c>
      <c r="O14" s="7" t="s">
        <v>4782</v>
      </c>
      <c r="P14" s="7" t="s">
        <v>4782</v>
      </c>
      <c r="Q14" s="7" t="s">
        <v>4782</v>
      </c>
      <c r="R14" s="7" t="s">
        <v>4782</v>
      </c>
      <c r="S14" s="7">
        <f t="array" ref="S14">SUM(IFERROR(IF(MATCH(I14:R14,$F$4:$Q$4,0)&gt;0,1,0),0))</f>
        <v>0</v>
      </c>
      <c r="T14" s="7">
        <f t="shared" ca="1" si="7"/>
        <v>37</v>
      </c>
      <c r="U14" s="7">
        <f ca="1">T14+COUNTIF(T$5:$T13,T14)</f>
        <v>45</v>
      </c>
      <c r="Y14" s="12" t="s">
        <v>38</v>
      </c>
      <c r="Z14" s="7" t="str">
        <f t="shared" ca="1" si="10"/>
        <v>07_002</v>
      </c>
      <c r="AA14" s="13" t="s">
        <v>4783</v>
      </c>
      <c r="AB14" s="13" t="s">
        <v>4783</v>
      </c>
      <c r="AC14" s="13" t="s">
        <v>4783</v>
      </c>
      <c r="AD14" s="13" t="s">
        <v>4783</v>
      </c>
      <c r="AE14" s="13" t="s">
        <v>4783</v>
      </c>
      <c r="AF14" s="13" t="s">
        <v>4784</v>
      </c>
      <c r="AG14" s="13" t="s">
        <v>4785</v>
      </c>
      <c r="AH14" s="13" t="s">
        <v>4873</v>
      </c>
      <c r="AI14" s="13" t="s">
        <v>4757</v>
      </c>
      <c r="AJ14" s="13" t="s">
        <v>4874</v>
      </c>
      <c r="AK14" s="13" t="s">
        <v>4875</v>
      </c>
      <c r="AL14" s="13" t="s">
        <v>4875</v>
      </c>
      <c r="AM14" s="15" t="s">
        <v>4875</v>
      </c>
      <c r="AN14" s="15" t="s">
        <v>4875</v>
      </c>
      <c r="AO14" s="21" t="s">
        <v>4875</v>
      </c>
      <c r="AQ14" s="20">
        <v>44826</v>
      </c>
      <c r="AR14">
        <v>6</v>
      </c>
      <c r="AS14" t="s">
        <v>4691</v>
      </c>
      <c r="AT14">
        <v>4000</v>
      </c>
      <c r="AU14" t="s">
        <v>4876</v>
      </c>
      <c r="AX14" s="28">
        <v>3000</v>
      </c>
      <c r="AY14" s="28" t="s">
        <v>4794</v>
      </c>
      <c r="AZ14" s="28" t="s">
        <v>4877</v>
      </c>
      <c r="BA14" s="28" t="s">
        <v>4878</v>
      </c>
      <c r="BB14" s="28">
        <v>20</v>
      </c>
      <c r="BF14" s="29"/>
      <c r="BG14" s="29"/>
      <c r="BH14" s="29"/>
      <c r="BI14" s="29"/>
      <c r="BJ14" s="29"/>
      <c r="BK14" s="29"/>
      <c r="BL14" s="29"/>
      <c r="BM14" s="29"/>
      <c r="BN14" s="29"/>
      <c r="BQ14" s="37"/>
      <c r="BR14" s="37" t="s">
        <v>3122</v>
      </c>
      <c r="BS14" s="37"/>
      <c r="BT14" s="37">
        <v>12</v>
      </c>
      <c r="BU14" s="37" t="b">
        <f>IF($BS$3="无",FALSE(),IF(LEFT('5.3小工具'!R19,4)=$BS$3,TRUE(),IF(AND($BS$3="免费",RIGHT('5.3小工具'!R19,2)=" 0"),TRUE(),FALSE())))</f>
        <v>0</v>
      </c>
      <c r="BV14" s="37" t="b">
        <f>IF($BS$3="无",FALSE(),IF(LEFT('5.3小工具'!T19,4)=$BS$3,TRUE(),IF(AND($BS$3="免费",RIGHT('5.3小工具'!T19,2)=" 0"),TRUE(),FALSE())))</f>
        <v>0</v>
      </c>
      <c r="BW14" s="37" t="b">
        <f>IF($BS$3="无",FALSE(),IF(LEFT('5.3小工具'!V19,4)=$BS$3,TRUE(),IF(AND($BS$3="免费",RIGHT('5.3小工具'!V19,2)=" 0"),TRUE(),FALSE())))</f>
        <v>0</v>
      </c>
      <c r="BX14" s="37"/>
      <c r="BY14" s="37" t="b">
        <f t="shared" si="0"/>
        <v>0</v>
      </c>
      <c r="BZ14" t="b">
        <f>AND(OR(LEFT('5.3小工具'!R19,4)='5.3小工具'!$Y$42,'5.3小工具'!$Y$42=""),OR(LEFT('5.3小工具'!T19,4)='5.3小工具'!$AA$42,'5.3小工具'!$AA$42=""),OR(LEFT('5.3小工具'!V19,4)='5.3小工具'!$AC$42,'5.3小工具'!$AC$42=""))</f>
        <v>1</v>
      </c>
      <c r="CD14" s="38">
        <v>10</v>
      </c>
      <c r="CE14" s="38">
        <f t="shared" si="8"/>
        <v>2.1332555301595546</v>
      </c>
      <c r="CF14" s="38">
        <f t="shared" si="1"/>
        <v>12.13247</v>
      </c>
      <c r="CG14" s="38">
        <f t="shared" si="2"/>
        <v>11</v>
      </c>
      <c r="CH14" s="38"/>
      <c r="CM14" t="s">
        <v>63</v>
      </c>
      <c r="CN14">
        <v>5600</v>
      </c>
      <c r="CP14" s="40">
        <v>362</v>
      </c>
      <c r="CQ14" s="41" t="s">
        <v>3208</v>
      </c>
      <c r="CR14" s="41" t="s">
        <v>4879</v>
      </c>
      <c r="CS14" s="41">
        <v>200</v>
      </c>
      <c r="CT14" s="41">
        <v>8</v>
      </c>
      <c r="CU14" s="41">
        <v>125</v>
      </c>
      <c r="CV14" s="41">
        <v>10</v>
      </c>
      <c r="CW14" s="40"/>
      <c r="CX14" s="41" t="s">
        <v>4716</v>
      </c>
      <c r="CY14" s="40" t="s">
        <v>4717</v>
      </c>
      <c r="DB14" s="12" t="s">
        <v>14</v>
      </c>
      <c r="DC14" s="7" t="str">
        <f t="shared" ca="1" si="9"/>
        <v>05_280</v>
      </c>
      <c r="DD14" s="13" t="s">
        <v>4880</v>
      </c>
      <c r="DE14" s="13" t="s">
        <v>4881</v>
      </c>
      <c r="DF14" s="13" t="s">
        <v>4882</v>
      </c>
      <c r="DG14" s="13" t="s">
        <v>4883</v>
      </c>
      <c r="DH14" s="13" t="s">
        <v>4884</v>
      </c>
      <c r="DI14" s="13" t="s">
        <v>4885</v>
      </c>
      <c r="DJ14" s="13" t="s">
        <v>4886</v>
      </c>
      <c r="DK14" s="13" t="s">
        <v>4887</v>
      </c>
      <c r="DL14" s="13" t="s">
        <v>4888</v>
      </c>
      <c r="DM14" s="13" t="s">
        <v>4888</v>
      </c>
    </row>
    <row r="15" spans="1:117" ht="14.6">
      <c r="D15" s="6" t="str">
        <f t="shared" si="11"/>
        <v>家乡主力军-&gt;弓箭手</v>
      </c>
      <c r="E15" s="6" t="str">
        <f t="shared" si="12"/>
        <v>#'2.1家乡主力军'!P4:V16</v>
      </c>
      <c r="F15" s="6" t="s">
        <v>241</v>
      </c>
      <c r="G15" s="6" t="s">
        <v>4889</v>
      </c>
      <c r="H15" s="6" t="s">
        <v>4779</v>
      </c>
      <c r="I15" s="7" t="s">
        <v>4801</v>
      </c>
      <c r="J15" s="7" t="s">
        <v>4869</v>
      </c>
      <c r="K15" s="7" t="s">
        <v>4870</v>
      </c>
      <c r="L15" s="7" t="s">
        <v>4890</v>
      </c>
      <c r="M15" s="7" t="s">
        <v>4782</v>
      </c>
      <c r="N15" s="7" t="s">
        <v>4782</v>
      </c>
      <c r="O15" s="7" t="s">
        <v>4782</v>
      </c>
      <c r="P15" s="7" t="s">
        <v>4782</v>
      </c>
      <c r="Q15" s="7" t="s">
        <v>4782</v>
      </c>
      <c r="R15" s="7" t="s">
        <v>4782</v>
      </c>
      <c r="S15" s="7">
        <f t="array" ref="S15">SUM(IFERROR(IF(MATCH(I15:R15,$F$4:$Q$4,0)&gt;0,1,0),0))</f>
        <v>0</v>
      </c>
      <c r="T15" s="7">
        <f t="shared" ca="1" si="7"/>
        <v>37</v>
      </c>
      <c r="U15" s="7">
        <f ca="1">T15+COUNTIF(T$5:$T14,T15)</f>
        <v>46</v>
      </c>
      <c r="Y15" s="12" t="s">
        <v>43</v>
      </c>
      <c r="Z15" s="7" t="str">
        <f t="shared" ca="1" si="10"/>
        <v>13_005</v>
      </c>
      <c r="AA15" s="13" t="s">
        <v>4783</v>
      </c>
      <c r="AB15" s="13" t="s">
        <v>4783</v>
      </c>
      <c r="AC15" s="13" t="s">
        <v>4783</v>
      </c>
      <c r="AD15" s="13" t="s">
        <v>4783</v>
      </c>
      <c r="AE15" s="13" t="s">
        <v>4783</v>
      </c>
      <c r="AF15" s="13" t="s">
        <v>4783</v>
      </c>
      <c r="AG15" s="13" t="s">
        <v>4755</v>
      </c>
      <c r="AH15" s="13" t="s">
        <v>4758</v>
      </c>
      <c r="AI15" s="13" t="s">
        <v>4837</v>
      </c>
      <c r="AJ15" s="13" t="s">
        <v>4786</v>
      </c>
      <c r="AK15" s="13" t="s">
        <v>4852</v>
      </c>
      <c r="AL15" s="13" t="s">
        <v>4761</v>
      </c>
      <c r="AM15" s="16" t="s">
        <v>4891</v>
      </c>
      <c r="AN15" s="16" t="s">
        <v>4861</v>
      </c>
      <c r="AO15" s="22" t="s">
        <v>4861</v>
      </c>
      <c r="AQ15" s="20">
        <v>44795</v>
      </c>
      <c r="AR15">
        <v>6</v>
      </c>
      <c r="AS15" t="s">
        <v>4691</v>
      </c>
      <c r="AT15">
        <v>5000</v>
      </c>
      <c r="AU15" t="s">
        <v>4892</v>
      </c>
      <c r="AX15" s="28">
        <v>7500</v>
      </c>
      <c r="AY15" s="28" t="s">
        <v>4893</v>
      </c>
      <c r="AZ15" s="28" t="s">
        <v>4713</v>
      </c>
      <c r="BA15" s="28" t="s">
        <v>4771</v>
      </c>
      <c r="BB15" s="28">
        <v>40</v>
      </c>
      <c r="BF15" s="29"/>
      <c r="BG15" s="29"/>
      <c r="BH15" s="29"/>
      <c r="BI15" s="29"/>
      <c r="BJ15" s="29"/>
      <c r="BK15" s="29"/>
      <c r="BL15" s="29"/>
      <c r="BM15" s="29"/>
      <c r="BN15" s="29"/>
      <c r="BQ15" s="37"/>
      <c r="BR15" s="37" t="s">
        <v>3186</v>
      </c>
      <c r="BS15" s="37"/>
      <c r="BT15" s="37">
        <v>13</v>
      </c>
      <c r="BU15" s="37" t="b">
        <f>IF($BS$3="无",FALSE(),IF(LEFT('5.3小工具'!R20,4)=$BS$3,TRUE(),IF(AND($BS$3="免费",RIGHT('5.3小工具'!R20,2)=" 0"),TRUE(),FALSE())))</f>
        <v>0</v>
      </c>
      <c r="BV15" s="37" t="b">
        <f>IF($BS$3="无",FALSE(),IF(LEFT('5.3小工具'!T20,4)=$BS$3,TRUE(),IF(AND($BS$3="免费",RIGHT('5.3小工具'!T20,2)=" 0"),TRUE(),FALSE())))</f>
        <v>0</v>
      </c>
      <c r="BW15" s="37" t="b">
        <f>IF($BS$3="无",FALSE(),IF(LEFT('5.3小工具'!V20,4)=$BS$3,TRUE(),IF(AND($BS$3="免费",RIGHT('5.3小工具'!V20,2)=" 0"),TRUE(),FALSE())))</f>
        <v>0</v>
      </c>
      <c r="BX15" s="37"/>
      <c r="BY15" s="37" t="b">
        <f t="shared" si="0"/>
        <v>0</v>
      </c>
      <c r="BZ15" t="b">
        <f>AND(OR(LEFT('5.3小工具'!R20,4)='5.3小工具'!$Y$42,'5.3小工具'!$Y$42=""),OR(LEFT('5.3小工具'!T20,4)='5.3小工具'!$AA$42,'5.3小工具'!$AA$42=""),OR(LEFT('5.3小工具'!V20,4)='5.3小工具'!$AC$42,'5.3小工具'!$AC$42=""))</f>
        <v>1</v>
      </c>
      <c r="CD15" s="38">
        <v>11</v>
      </c>
      <c r="CE15" s="38">
        <f t="shared" si="8"/>
        <v>2.1808745777786021</v>
      </c>
      <c r="CF15" s="38">
        <f t="shared" ref="CF15:CF48" si="13">MAX(CEILING($CC$4*(1-CE15*$CC$6)/$CC$8,1),0)+CD15+ROUND(MOD($CC$4*(1-CE15*$CC$6),$CC$8)/$CC$4,5)</f>
        <v>13.11866</v>
      </c>
      <c r="CG15" s="38">
        <f t="shared" si="2"/>
        <v>12</v>
      </c>
      <c r="CH15" s="38"/>
      <c r="CM15" t="s">
        <v>2488</v>
      </c>
      <c r="CN15">
        <v>4800</v>
      </c>
      <c r="CP15" s="40">
        <v>363</v>
      </c>
      <c r="CQ15" s="41" t="s">
        <v>3208</v>
      </c>
      <c r="CR15" s="41" t="s">
        <v>4894</v>
      </c>
      <c r="CS15" s="41">
        <v>400</v>
      </c>
      <c r="CT15" s="41">
        <v>24</v>
      </c>
      <c r="CU15" s="41">
        <v>60</v>
      </c>
      <c r="CV15" s="41">
        <v>15</v>
      </c>
      <c r="CW15" s="40"/>
      <c r="CX15" s="41" t="s">
        <v>4716</v>
      </c>
      <c r="CY15" s="40" t="s">
        <v>3104</v>
      </c>
      <c r="DB15" t="s">
        <v>2</v>
      </c>
      <c r="DC15" s="7" t="str">
        <f t="shared" ca="1" si="9"/>
        <v>05_006</v>
      </c>
      <c r="DD15" t="s">
        <v>4895</v>
      </c>
      <c r="DE15" t="s">
        <v>4896</v>
      </c>
      <c r="DF15" t="s">
        <v>4896</v>
      </c>
      <c r="DG15" t="s">
        <v>4897</v>
      </c>
      <c r="DH15" t="s">
        <v>4897</v>
      </c>
      <c r="DI15" t="s">
        <v>4898</v>
      </c>
      <c r="DJ15" t="s">
        <v>4899</v>
      </c>
      <c r="DK15" t="s">
        <v>4899</v>
      </c>
      <c r="DL15" t="s">
        <v>4900</v>
      </c>
      <c r="DM15" t="s">
        <v>4900</v>
      </c>
    </row>
    <row r="16" spans="1:117" ht="14.6">
      <c r="D16" s="6" t="str">
        <f t="shared" si="11"/>
        <v>家乡主力军-&gt;野猪骑士</v>
      </c>
      <c r="E16" s="6" t="str">
        <f t="shared" si="12"/>
        <v>#'2.1家乡主力军'!P85:V97</v>
      </c>
      <c r="F16" s="6" t="s">
        <v>513</v>
      </c>
      <c r="G16" s="6" t="s">
        <v>4901</v>
      </c>
      <c r="H16" s="6" t="s">
        <v>4779</v>
      </c>
      <c r="I16" s="7" t="s">
        <v>4801</v>
      </c>
      <c r="J16" s="7" t="s">
        <v>4829</v>
      </c>
      <c r="K16" s="7" t="s">
        <v>4902</v>
      </c>
      <c r="L16" s="7" t="s">
        <v>4903</v>
      </c>
      <c r="M16" s="7" t="s">
        <v>4904</v>
      </c>
      <c r="N16" s="7" t="s">
        <v>4782</v>
      </c>
      <c r="O16" s="7" t="s">
        <v>4782</v>
      </c>
      <c r="P16" s="7" t="s">
        <v>4782</v>
      </c>
      <c r="Q16" s="7" t="s">
        <v>4782</v>
      </c>
      <c r="R16" s="7" t="s">
        <v>4782</v>
      </c>
      <c r="S16" s="7">
        <f t="array" ref="S16">SUM(IFERROR(IF(MATCH(I16:R16,$F$4:$Q$4,0)&gt;0,1,0),0))</f>
        <v>0</v>
      </c>
      <c r="T16" s="7">
        <f t="shared" ca="1" si="7"/>
        <v>37</v>
      </c>
      <c r="U16" s="7">
        <f ca="1">T16+COUNTIF(T$5:$T15,T16)</f>
        <v>47</v>
      </c>
      <c r="Y16" s="12" t="s">
        <v>49</v>
      </c>
      <c r="Z16" s="7" t="str">
        <f t="shared" ca="1" si="10"/>
        <v>10_002</v>
      </c>
      <c r="AA16" s="13" t="s">
        <v>4783</v>
      </c>
      <c r="AB16" s="13" t="s">
        <v>4783</v>
      </c>
      <c r="AC16" s="13" t="s">
        <v>4783</v>
      </c>
      <c r="AD16" s="13" t="s">
        <v>4783</v>
      </c>
      <c r="AE16" s="13" t="s">
        <v>4783</v>
      </c>
      <c r="AF16" s="13" t="s">
        <v>4783</v>
      </c>
      <c r="AG16" s="13" t="s">
        <v>4783</v>
      </c>
      <c r="AH16" s="13" t="s">
        <v>4784</v>
      </c>
      <c r="AI16" s="13" t="s">
        <v>4785</v>
      </c>
      <c r="AJ16" s="13" t="s">
        <v>4756</v>
      </c>
      <c r="AK16" s="13" t="s">
        <v>4874</v>
      </c>
      <c r="AL16" s="13" t="s">
        <v>4875</v>
      </c>
      <c r="AM16" s="15" t="s">
        <v>4905</v>
      </c>
      <c r="AN16" s="15" t="s">
        <v>4906</v>
      </c>
      <c r="AO16" s="21" t="s">
        <v>4907</v>
      </c>
      <c r="AQ16" s="20">
        <v>44764</v>
      </c>
      <c r="AR16">
        <v>6</v>
      </c>
      <c r="AS16" t="s">
        <v>4691</v>
      </c>
      <c r="AT16">
        <v>4000</v>
      </c>
      <c r="AU16" t="s">
        <v>4908</v>
      </c>
      <c r="AX16" s="28">
        <v>12000</v>
      </c>
      <c r="AY16" s="28" t="s">
        <v>4909</v>
      </c>
      <c r="AZ16" s="28" t="s">
        <v>4910</v>
      </c>
      <c r="BA16" s="28" t="s">
        <v>4770</v>
      </c>
      <c r="BB16" s="28">
        <v>60</v>
      </c>
      <c r="BF16" s="29"/>
      <c r="BG16" s="29"/>
      <c r="BH16" s="30" t="s">
        <v>2045</v>
      </c>
      <c r="BI16" s="31" t="s">
        <v>4911</v>
      </c>
      <c r="BJ16" s="31" t="s">
        <v>2919</v>
      </c>
      <c r="BK16" s="32" t="s">
        <v>2042</v>
      </c>
      <c r="BL16" s="29"/>
      <c r="BM16" s="29"/>
      <c r="BN16" s="29"/>
      <c r="BQ16" s="37"/>
      <c r="BR16" s="37" t="s">
        <v>3259</v>
      </c>
      <c r="BS16" s="37"/>
      <c r="BT16" s="37">
        <v>14</v>
      </c>
      <c r="BU16" s="37" t="b">
        <f>IF($BS$3="无",FALSE(),IF(LEFT('5.3小工具'!R21,4)=$BS$3,TRUE(),IF(AND($BS$3="免费",RIGHT('5.3小工具'!R21,2)=" 0"),TRUE(),FALSE())))</f>
        <v>0</v>
      </c>
      <c r="BV16" s="37" t="b">
        <f>IF($BS$3="无",FALSE(),IF(LEFT('5.3小工具'!T21,4)=$BS$3,TRUE(),IF(AND($BS$3="免费",RIGHT('5.3小工具'!T21,2)=" 0"),TRUE(),FALSE())))</f>
        <v>0</v>
      </c>
      <c r="BW16" s="37" t="b">
        <f>IF($BS$3="无",FALSE(),IF(LEFT('5.3小工具'!V21,4)=$BS$3,TRUE(),IF(AND($BS$3="免费",RIGHT('5.3小工具'!V21,2)=" 0"),TRUE(),FALSE())))</f>
        <v>0</v>
      </c>
      <c r="BX16" s="37"/>
      <c r="BY16" s="37" t="b">
        <f t="shared" si="0"/>
        <v>0</v>
      </c>
      <c r="BZ16" t="b">
        <f>AND(OR(LEFT('5.3小工具'!R21,4)='5.3小工具'!$Y$42,'5.3小工具'!$Y$42=""),OR(LEFT('5.3小工具'!T21,4)='5.3小工具'!$AA$42,'5.3小工具'!$AA$42=""),OR(LEFT('5.3小工具'!V21,4)='5.3小工具'!$AC$42,'5.3小工具'!$AC$42=""))</f>
        <v>1</v>
      </c>
      <c r="CD16" s="38">
        <v>12</v>
      </c>
      <c r="CE16" s="38">
        <f t="shared" si="8"/>
        <v>2.2243528386481675</v>
      </c>
      <c r="CF16" s="38">
        <f t="shared" si="13"/>
        <v>14.10605</v>
      </c>
      <c r="CG16" s="38">
        <f t="shared" si="2"/>
        <v>13</v>
      </c>
      <c r="CH16" s="38"/>
      <c r="CM16" t="s">
        <v>4912</v>
      </c>
      <c r="CN16">
        <v>1180</v>
      </c>
      <c r="CP16" s="40">
        <v>364</v>
      </c>
      <c r="CQ16" s="41" t="s">
        <v>3215</v>
      </c>
      <c r="CR16" s="41" t="s">
        <v>4913</v>
      </c>
      <c r="CS16" s="41">
        <v>100</v>
      </c>
      <c r="CT16" s="41">
        <v>3</v>
      </c>
      <c r="CU16" s="41">
        <v>200</v>
      </c>
      <c r="CV16" s="41">
        <v>5</v>
      </c>
      <c r="CW16" s="40"/>
      <c r="CX16" s="41" t="s">
        <v>4716</v>
      </c>
      <c r="CY16" s="40" t="s">
        <v>4717</v>
      </c>
      <c r="DB16" t="s">
        <v>177</v>
      </c>
      <c r="DC16" s="7" t="str">
        <f t="shared" ca="1" si="9"/>
        <v>05_006</v>
      </c>
      <c r="DD16" t="s">
        <v>4895</v>
      </c>
      <c r="DE16" t="s">
        <v>4896</v>
      </c>
      <c r="DF16" t="s">
        <v>4896</v>
      </c>
      <c r="DG16" t="s">
        <v>4897</v>
      </c>
      <c r="DH16" t="s">
        <v>4897</v>
      </c>
      <c r="DI16" t="s">
        <v>4898</v>
      </c>
      <c r="DJ16" t="s">
        <v>4899</v>
      </c>
      <c r="DK16" t="s">
        <v>4899</v>
      </c>
      <c r="DL16" t="s">
        <v>4900</v>
      </c>
      <c r="DM16" t="s">
        <v>4900</v>
      </c>
    </row>
    <row r="17" spans="4:117" ht="14.6">
      <c r="D17" s="6" t="str">
        <f t="shared" si="11"/>
        <v>家乡主力军-&gt;大守护者</v>
      </c>
      <c r="E17" s="6" t="str">
        <f t="shared" si="12"/>
        <v>#'2.1家乡主力军'!AO98:BA160</v>
      </c>
      <c r="F17" s="6" t="s">
        <v>261</v>
      </c>
      <c r="G17" s="6" t="s">
        <v>4914</v>
      </c>
      <c r="H17" s="6" t="s">
        <v>4779</v>
      </c>
      <c r="I17" s="7" t="s">
        <v>4801</v>
      </c>
      <c r="J17" s="7" t="s">
        <v>4859</v>
      </c>
      <c r="K17" s="7" t="s">
        <v>4915</v>
      </c>
      <c r="L17" s="7" t="s">
        <v>4916</v>
      </c>
      <c r="M17" s="7" t="s">
        <v>4917</v>
      </c>
      <c r="N17" s="7" t="s">
        <v>4918</v>
      </c>
      <c r="O17" s="7" t="s">
        <v>4919</v>
      </c>
      <c r="P17" s="7" t="s">
        <v>4850</v>
      </c>
      <c r="Q17" s="7" t="s">
        <v>4782</v>
      </c>
      <c r="R17" s="7" t="s">
        <v>4782</v>
      </c>
      <c r="S17" s="7">
        <f t="array" ref="S17">SUM(IFERROR(IF(MATCH(I17:R17,$F$4:$Q$4,0)&gt;0,1,0),0))</f>
        <v>0</v>
      </c>
      <c r="T17" s="7">
        <f t="shared" ca="1" si="7"/>
        <v>37</v>
      </c>
      <c r="U17" s="7">
        <f ca="1">T17+COUNTIF(T$5:$T16,T17)</f>
        <v>48</v>
      </c>
      <c r="Y17" s="12" t="s">
        <v>54</v>
      </c>
      <c r="Z17" s="7" t="str">
        <f t="shared" ca="1" si="10"/>
        <v>10_004</v>
      </c>
      <c r="AA17" s="13" t="s">
        <v>4783</v>
      </c>
      <c r="AB17" s="13" t="s">
        <v>4783</v>
      </c>
      <c r="AC17" s="13" t="s">
        <v>4783</v>
      </c>
      <c r="AD17" s="13" t="s">
        <v>4783</v>
      </c>
      <c r="AE17" s="13" t="s">
        <v>4783</v>
      </c>
      <c r="AF17" s="13" t="s">
        <v>4783</v>
      </c>
      <c r="AG17" s="13" t="s">
        <v>4783</v>
      </c>
      <c r="AH17" s="13" t="s">
        <v>4783</v>
      </c>
      <c r="AI17" s="13" t="s">
        <v>4755</v>
      </c>
      <c r="AJ17" s="13" t="s">
        <v>4920</v>
      </c>
      <c r="AK17" s="13" t="s">
        <v>4921</v>
      </c>
      <c r="AL17" s="13" t="s">
        <v>4836</v>
      </c>
      <c r="AM17" s="16" t="s">
        <v>4786</v>
      </c>
      <c r="AN17" s="16" t="s">
        <v>4852</v>
      </c>
      <c r="AO17" s="17" t="s">
        <v>4838</v>
      </c>
      <c r="AQ17" s="20">
        <v>44734</v>
      </c>
      <c r="AR17">
        <v>6</v>
      </c>
      <c r="AS17" t="s">
        <v>4691</v>
      </c>
      <c r="AT17">
        <v>4000</v>
      </c>
      <c r="AU17" t="s">
        <v>4922</v>
      </c>
      <c r="AX17" s="28">
        <v>18000</v>
      </c>
      <c r="AY17" s="28" t="s">
        <v>4674</v>
      </c>
      <c r="AZ17" s="28" t="s">
        <v>4845</v>
      </c>
      <c r="BA17" s="28" t="s">
        <v>4739</v>
      </c>
      <c r="BB17" s="28">
        <v>80</v>
      </c>
      <c r="BF17" s="29"/>
      <c r="BG17" s="29"/>
      <c r="BH17" s="33">
        <v>1</v>
      </c>
      <c r="BI17" s="34">
        <v>60</v>
      </c>
      <c r="BJ17" s="34">
        <v>3600</v>
      </c>
      <c r="BK17" s="35">
        <v>86400</v>
      </c>
      <c r="BL17" s="29"/>
      <c r="BM17" s="29"/>
      <c r="BN17" s="29"/>
      <c r="BQ17" s="37"/>
      <c r="BR17" s="37" t="s">
        <v>3261</v>
      </c>
      <c r="BS17" s="37"/>
      <c r="BT17" s="37">
        <v>15</v>
      </c>
      <c r="BU17" s="37" t="b">
        <f>IF($BS$3="无",FALSE(),IF(LEFT('5.3小工具'!R22,4)=$BS$3,TRUE(),IF(AND($BS$3="免费",RIGHT('5.3小工具'!R22,2)=" 0"),TRUE(),FALSE())))</f>
        <v>0</v>
      </c>
      <c r="BV17" s="37" t="b">
        <f>IF($BS$3="无",FALSE(),IF(LEFT('5.3小工具'!T22,4)=$BS$3,TRUE(),IF(AND($BS$3="免费",RIGHT('5.3小工具'!T22,2)=" 0"),TRUE(),FALSE())))</f>
        <v>0</v>
      </c>
      <c r="BW17" s="37" t="b">
        <f>IF($BS$3="无",FALSE(),IF(LEFT('5.3小工具'!V22,4)=$BS$3,TRUE(),IF(AND($BS$3="免费",RIGHT('5.3小工具'!V22,2)=" 0"),TRUE(),FALSE())))</f>
        <v>0</v>
      </c>
      <c r="BX17" s="37"/>
      <c r="BY17" s="37" t="b">
        <f t="shared" si="0"/>
        <v>0</v>
      </c>
      <c r="BZ17" t="b">
        <f>AND(OR(LEFT('5.3小工具'!R22,4)='5.3小工具'!$Y$42,'5.3小工具'!$Y$42=""),OR(LEFT('5.3小工具'!T22,4)='5.3小工具'!$AA$42,'5.3小工具'!$AA$42=""),OR(LEFT('5.3小工具'!V22,4)='5.3小工具'!$AC$42,'5.3小工具'!$AC$42=""))</f>
        <v>1</v>
      </c>
      <c r="CD17" s="38">
        <v>13</v>
      </c>
      <c r="CE17" s="38">
        <f t="shared" si="8"/>
        <v>2.2643528386481675</v>
      </c>
      <c r="CF17" s="38">
        <f t="shared" si="13"/>
        <v>15.09445</v>
      </c>
      <c r="CG17" s="38">
        <f t="shared" si="2"/>
        <v>14</v>
      </c>
      <c r="CH17" s="38"/>
      <c r="CM17" t="s">
        <v>74</v>
      </c>
      <c r="CN17">
        <v>1380</v>
      </c>
      <c r="CP17" s="40">
        <v>365</v>
      </c>
      <c r="CQ17" s="41" t="s">
        <v>3215</v>
      </c>
      <c r="CR17" s="41" t="s">
        <v>4923</v>
      </c>
      <c r="CS17" s="41">
        <v>200</v>
      </c>
      <c r="CT17" s="41">
        <v>8</v>
      </c>
      <c r="CU17" s="41">
        <v>100</v>
      </c>
      <c r="CV17" s="41">
        <v>10</v>
      </c>
      <c r="CW17" s="40"/>
      <c r="CX17" s="41" t="s">
        <v>4716</v>
      </c>
      <c r="CY17" s="40" t="s">
        <v>4717</v>
      </c>
      <c r="DB17" t="s">
        <v>26</v>
      </c>
      <c r="DC17" s="7" t="str">
        <f t="shared" ca="1" si="9"/>
        <v>05_004</v>
      </c>
      <c r="DD17" t="s">
        <v>4895</v>
      </c>
      <c r="DE17" t="s">
        <v>4896</v>
      </c>
      <c r="DF17" t="s">
        <v>4896</v>
      </c>
      <c r="DG17" t="s">
        <v>4897</v>
      </c>
      <c r="DH17" t="s">
        <v>4897</v>
      </c>
      <c r="DI17" t="s">
        <v>4924</v>
      </c>
      <c r="DJ17" t="s">
        <v>4924</v>
      </c>
      <c r="DK17" t="s">
        <v>4924</v>
      </c>
      <c r="DL17" t="s">
        <v>4925</v>
      </c>
      <c r="DM17" t="s">
        <v>4925</v>
      </c>
    </row>
    <row r="18" spans="4:117" ht="14.6">
      <c r="D18" s="6" t="str">
        <f t="shared" si="11"/>
        <v>家乡主力军-&gt;巨人</v>
      </c>
      <c r="E18" s="6" t="str">
        <f t="shared" si="12"/>
        <v>#'2.1家乡主力军'!Z4:AG16</v>
      </c>
      <c r="F18" s="6" t="s">
        <v>257</v>
      </c>
      <c r="G18" s="6" t="s">
        <v>4926</v>
      </c>
      <c r="H18" s="6" t="s">
        <v>4779</v>
      </c>
      <c r="I18" s="7" t="s">
        <v>4801</v>
      </c>
      <c r="J18" s="7" t="s">
        <v>4927</v>
      </c>
      <c r="K18" s="7" t="s">
        <v>4831</v>
      </c>
      <c r="L18" s="7" t="s">
        <v>4928</v>
      </c>
      <c r="M18" s="7" t="s">
        <v>4929</v>
      </c>
      <c r="N18" s="7" t="s">
        <v>4782</v>
      </c>
      <c r="O18" s="7" t="s">
        <v>4782</v>
      </c>
      <c r="P18" s="7" t="s">
        <v>4782</v>
      </c>
      <c r="Q18" s="7" t="s">
        <v>4782</v>
      </c>
      <c r="R18" s="7" t="s">
        <v>4782</v>
      </c>
      <c r="S18" s="7">
        <f t="array" ref="S18">SUM(IFERROR(IF(MATCH(I18:R18,$F$4:$Q$4,0)&gt;0,1,0),0))</f>
        <v>0</v>
      </c>
      <c r="T18" s="7">
        <f t="shared" ca="1" si="7"/>
        <v>37</v>
      </c>
      <c r="U18" s="7">
        <f ca="1">T18+COUNTIF(T$5:$T17,T18)</f>
        <v>49</v>
      </c>
      <c r="Y18" s="12" t="s">
        <v>59</v>
      </c>
      <c r="Z18" s="7" t="str">
        <f t="shared" ca="1" si="10"/>
        <v>09_003</v>
      </c>
      <c r="AA18" s="13" t="s">
        <v>4783</v>
      </c>
      <c r="AB18" s="13" t="s">
        <v>4783</v>
      </c>
      <c r="AC18" s="13" t="s">
        <v>4783</v>
      </c>
      <c r="AD18" s="13" t="s">
        <v>4783</v>
      </c>
      <c r="AE18" s="13" t="s">
        <v>4783</v>
      </c>
      <c r="AF18" s="13" t="s">
        <v>4783</v>
      </c>
      <c r="AG18" s="13" t="s">
        <v>4783</v>
      </c>
      <c r="AH18" s="13" t="s">
        <v>4783</v>
      </c>
      <c r="AI18" s="13" t="s">
        <v>4783</v>
      </c>
      <c r="AJ18" s="13" t="s">
        <v>4755</v>
      </c>
      <c r="AK18" s="13" t="s">
        <v>4757</v>
      </c>
      <c r="AL18" s="13" t="s">
        <v>4758</v>
      </c>
      <c r="AM18" s="15" t="s">
        <v>4759</v>
      </c>
      <c r="AN18" s="15" t="s">
        <v>4930</v>
      </c>
      <c r="AO18" s="21" t="s">
        <v>4931</v>
      </c>
      <c r="AQ18" s="20">
        <v>44703</v>
      </c>
      <c r="AR18">
        <v>6</v>
      </c>
      <c r="AS18" t="s">
        <v>4691</v>
      </c>
      <c r="AT18">
        <v>4000</v>
      </c>
      <c r="AU18" t="s">
        <v>4932</v>
      </c>
      <c r="AX18" s="28">
        <v>30000</v>
      </c>
      <c r="AY18" s="28" t="s">
        <v>4746</v>
      </c>
      <c r="AZ18" s="28" t="s">
        <v>4933</v>
      </c>
      <c r="BA18" s="28" t="s">
        <v>4934</v>
      </c>
      <c r="BB18" s="28">
        <v>100</v>
      </c>
      <c r="BF18" s="29"/>
      <c r="BG18" s="29" t="s">
        <v>4935</v>
      </c>
      <c r="BH18" s="29">
        <v>0</v>
      </c>
      <c r="BI18" s="29">
        <v>60</v>
      </c>
      <c r="BJ18" s="29">
        <v>3600</v>
      </c>
      <c r="BK18" s="29">
        <v>86400</v>
      </c>
      <c r="BL18" s="29">
        <v>604800</v>
      </c>
      <c r="BM18" s="29" t="s">
        <v>4936</v>
      </c>
      <c r="BN18" s="29"/>
      <c r="BQ18" s="37"/>
      <c r="BR18" s="37" t="s">
        <v>3262</v>
      </c>
      <c r="BS18" s="37"/>
      <c r="BT18" s="37">
        <v>16</v>
      </c>
      <c r="BU18" s="37" t="b">
        <f>IF($BS$3="无",FALSE(),IF(LEFT('5.3小工具'!R23,4)=$BS$3,TRUE(),IF(AND($BS$3="免费",RIGHT('5.3小工具'!R23,2)=" 0"),TRUE(),FALSE())))</f>
        <v>0</v>
      </c>
      <c r="BV18" s="37" t="b">
        <f>IF($BS$3="无",FALSE(),IF(LEFT('5.3小工具'!T23,4)=$BS$3,TRUE(),IF(AND($BS$3="免费",RIGHT('5.3小工具'!T23,2)=" 0"),TRUE(),FALSE())))</f>
        <v>0</v>
      </c>
      <c r="BW18" s="37" t="b">
        <f>IF($BS$3="无",FALSE(),IF(LEFT('5.3小工具'!V23,4)=$BS$3,TRUE(),IF(AND($BS$3="免费",RIGHT('5.3小工具'!V23,2)=" 0"),TRUE(),FALSE())))</f>
        <v>0</v>
      </c>
      <c r="BX18" s="37"/>
      <c r="BY18" s="37" t="b">
        <f t="shared" si="0"/>
        <v>0</v>
      </c>
      <c r="BZ18" t="b">
        <f>AND(OR(LEFT('5.3小工具'!R23,4)='5.3小工具'!$Y$42,'5.3小工具'!$Y$42=""),OR(LEFT('5.3小工具'!T23,4)='5.3小工具'!$AA$42,'5.3小工具'!$AA$42=""),OR(LEFT('5.3小工具'!V23,4)='5.3小工具'!$AC$42,'5.3小工具'!$AC$42=""))</f>
        <v>1</v>
      </c>
      <c r="CD18" s="38">
        <v>14</v>
      </c>
      <c r="CE18" s="38">
        <f t="shared" si="8"/>
        <v>2.3013898756852047</v>
      </c>
      <c r="CF18" s="38">
        <f t="shared" si="13"/>
        <v>16.08371</v>
      </c>
      <c r="CG18" s="38">
        <f t="shared" si="2"/>
        <v>15</v>
      </c>
      <c r="CH18" s="38"/>
      <c r="CM18" t="s">
        <v>2834</v>
      </c>
      <c r="CN18">
        <v>1600</v>
      </c>
      <c r="CP18" s="40">
        <v>366</v>
      </c>
      <c r="CQ18" s="41" t="s">
        <v>3215</v>
      </c>
      <c r="CR18" s="41" t="s">
        <v>4937</v>
      </c>
      <c r="CS18" s="41">
        <v>400</v>
      </c>
      <c r="CT18" s="41">
        <v>24</v>
      </c>
      <c r="CU18" s="41">
        <v>50</v>
      </c>
      <c r="CV18" s="41">
        <v>15</v>
      </c>
      <c r="CW18" s="40"/>
      <c r="CX18" s="41" t="s">
        <v>4716</v>
      </c>
      <c r="CY18" s="40" t="s">
        <v>3104</v>
      </c>
      <c r="DB18" t="s">
        <v>178</v>
      </c>
      <c r="DC18" s="7" t="str">
        <f t="shared" ca="1" si="9"/>
        <v>05_002</v>
      </c>
      <c r="DD18" t="s">
        <v>4783</v>
      </c>
      <c r="DE18" t="s">
        <v>4834</v>
      </c>
      <c r="DF18" t="s">
        <v>4754</v>
      </c>
      <c r="DG18" t="s">
        <v>4754</v>
      </c>
      <c r="DH18" t="s">
        <v>4755</v>
      </c>
      <c r="DI18" t="s">
        <v>4755</v>
      </c>
      <c r="DJ18" t="s">
        <v>4756</v>
      </c>
      <c r="DK18" t="s">
        <v>4756</v>
      </c>
      <c r="DL18" t="s">
        <v>4757</v>
      </c>
      <c r="DM18" t="s">
        <v>4757</v>
      </c>
    </row>
    <row r="19" spans="4:117" ht="14.6">
      <c r="D19" s="6" t="str">
        <f t="shared" si="11"/>
        <v>家乡主力军-&gt;闪枭</v>
      </c>
      <c r="E19" s="6" t="str">
        <f t="shared" si="12"/>
        <v>#'2.1家乡主力军'!F162:M174</v>
      </c>
      <c r="F19" s="7" t="s">
        <v>648</v>
      </c>
      <c r="G19" s="7" t="s">
        <v>4938</v>
      </c>
      <c r="H19" s="6" t="s">
        <v>4779</v>
      </c>
      <c r="I19" s="7" t="s">
        <v>4939</v>
      </c>
      <c r="J19" s="7" t="s">
        <v>4940</v>
      </c>
      <c r="K19" s="7" t="s">
        <v>4782</v>
      </c>
      <c r="L19" s="7" t="s">
        <v>4782</v>
      </c>
      <c r="M19" s="7" t="s">
        <v>4782</v>
      </c>
      <c r="N19" s="7" t="s">
        <v>4782</v>
      </c>
      <c r="O19" s="7" t="s">
        <v>4782</v>
      </c>
      <c r="P19" s="7" t="s">
        <v>4782</v>
      </c>
      <c r="Q19" s="7" t="s">
        <v>4782</v>
      </c>
      <c r="R19" s="7" t="s">
        <v>4782</v>
      </c>
      <c r="S19" s="7">
        <f t="array" ref="S19">SUM(IFERROR(IF(MATCH(I19:R19,$F$4:$Q$4,0)&gt;0,1,0),0))</f>
        <v>0</v>
      </c>
      <c r="T19" s="7">
        <f t="shared" ca="1" si="7"/>
        <v>37</v>
      </c>
      <c r="U19" s="7">
        <f ca="1">T19+COUNTIF(T$5:$T18,T19)</f>
        <v>50</v>
      </c>
      <c r="Y19" s="12" t="s">
        <v>63</v>
      </c>
      <c r="Z19" s="7" t="str">
        <f t="shared" ca="1" si="10"/>
        <v>05_001</v>
      </c>
      <c r="AA19" s="13" t="s">
        <v>4783</v>
      </c>
      <c r="AB19" s="13" t="s">
        <v>4783</v>
      </c>
      <c r="AC19" s="13" t="s">
        <v>4783</v>
      </c>
      <c r="AD19" s="13" t="s">
        <v>4783</v>
      </c>
      <c r="AE19" s="13" t="s">
        <v>4783</v>
      </c>
      <c r="AF19" s="13" t="s">
        <v>4783</v>
      </c>
      <c r="AG19" s="13" t="s">
        <v>4783</v>
      </c>
      <c r="AH19" s="13" t="s">
        <v>4783</v>
      </c>
      <c r="AI19" s="13" t="s">
        <v>4783</v>
      </c>
      <c r="AJ19" s="13" t="s">
        <v>4783</v>
      </c>
      <c r="AK19" s="13" t="s">
        <v>4784</v>
      </c>
      <c r="AL19" s="13" t="s">
        <v>4785</v>
      </c>
      <c r="AM19" s="15" t="s">
        <v>4873</v>
      </c>
      <c r="AN19" s="15" t="s">
        <v>4941</v>
      </c>
      <c r="AO19" s="18" t="s">
        <v>4941</v>
      </c>
      <c r="AQ19" s="20">
        <v>44673</v>
      </c>
      <c r="AR19">
        <v>6</v>
      </c>
      <c r="AS19" t="s">
        <v>4691</v>
      </c>
      <c r="AT19">
        <v>4000</v>
      </c>
      <c r="AU19" t="s">
        <v>4942</v>
      </c>
      <c r="AX19" s="28">
        <v>50000</v>
      </c>
      <c r="AY19" s="28" t="s">
        <v>4943</v>
      </c>
      <c r="AZ19" s="28" t="s">
        <v>4944</v>
      </c>
      <c r="BA19" s="28" t="s">
        <v>4945</v>
      </c>
      <c r="BB19" s="28">
        <v>120</v>
      </c>
      <c r="BF19" s="29"/>
      <c r="BG19" s="29" t="s">
        <v>2918</v>
      </c>
      <c r="BH19" s="29">
        <v>0</v>
      </c>
      <c r="BI19" s="29">
        <v>1</v>
      </c>
      <c r="BJ19" s="29">
        <v>20</v>
      </c>
      <c r="BK19" s="29">
        <v>260</v>
      </c>
      <c r="BL19" s="29">
        <v>1000</v>
      </c>
      <c r="BM19" s="29"/>
      <c r="BN19" s="29"/>
      <c r="BQ19" s="37"/>
      <c r="BR19" s="37" t="s">
        <v>3325</v>
      </c>
      <c r="BS19" s="37"/>
      <c r="BT19" s="37">
        <v>17</v>
      </c>
      <c r="BU19" s="37" t="b">
        <f>IF($BS$3="无",FALSE(),IF(LEFT('5.3小工具'!R24,4)=$BS$3,TRUE(),IF(AND($BS$3="免费",RIGHT('5.3小工具'!R24,2)=" 0"),TRUE(),FALSE())))</f>
        <v>0</v>
      </c>
      <c r="BV19" s="37" t="b">
        <f>IF($BS$3="无",FALSE(),IF(LEFT('5.3小工具'!T24,4)=$BS$3,TRUE(),IF(AND($BS$3="免费",RIGHT('5.3小工具'!T24,2)=" 0"),TRUE(),FALSE())))</f>
        <v>0</v>
      </c>
      <c r="BW19" s="37" t="b">
        <f>IF($BS$3="无",FALSE(),IF(LEFT('5.3小工具'!V24,4)=$BS$3,TRUE(),IF(AND($BS$3="免费",RIGHT('5.3小工具'!V24,2)=" 0"),TRUE(),FALSE())))</f>
        <v>0</v>
      </c>
      <c r="BX19" s="37"/>
      <c r="BY19" s="37" t="b">
        <f t="shared" si="0"/>
        <v>0</v>
      </c>
      <c r="BZ19" t="b">
        <f>AND(OR(LEFT('5.3小工具'!R24,4)='5.3小工具'!$Y$42,'5.3小工具'!$Y$42=""),OR(LEFT('5.3小工具'!T24,4)='5.3小工具'!$AA$42,'5.3小工具'!$AA$42=""),OR(LEFT('5.3小工具'!V24,4)='5.3小工具'!$AC$42,'5.3小工具'!$AC$42=""))</f>
        <v>1</v>
      </c>
      <c r="CD19" s="38">
        <v>15</v>
      </c>
      <c r="CE19" s="38">
        <f t="shared" si="8"/>
        <v>2.3358726343058942</v>
      </c>
      <c r="CF19" s="38">
        <f t="shared" si="13"/>
        <v>17.073709999999998</v>
      </c>
      <c r="CG19" s="38">
        <f t="shared" si="2"/>
        <v>16</v>
      </c>
      <c r="CH19" s="38"/>
      <c r="CM19" t="s">
        <v>113</v>
      </c>
      <c r="CN19">
        <v>2640</v>
      </c>
      <c r="CP19" s="40">
        <v>367</v>
      </c>
      <c r="CQ19" s="41" t="s">
        <v>3222</v>
      </c>
      <c r="CR19" s="41" t="s">
        <v>4946</v>
      </c>
      <c r="CS19" s="41">
        <v>150</v>
      </c>
      <c r="CT19" s="41">
        <v>3</v>
      </c>
      <c r="CU19" s="41">
        <v>150</v>
      </c>
      <c r="CV19" s="41">
        <v>5</v>
      </c>
      <c r="CW19" s="40"/>
      <c r="CX19" s="41" t="s">
        <v>4716</v>
      </c>
      <c r="CY19" s="40" t="s">
        <v>3096</v>
      </c>
      <c r="DB19" t="s">
        <v>49</v>
      </c>
      <c r="DC19" s="7" t="str">
        <f t="shared" ca="1" si="9"/>
        <v>05_002</v>
      </c>
      <c r="DD19" t="s">
        <v>4783</v>
      </c>
      <c r="DE19" t="s">
        <v>4834</v>
      </c>
      <c r="DF19" t="s">
        <v>4754</v>
      </c>
      <c r="DG19" t="s">
        <v>4754</v>
      </c>
      <c r="DH19" t="s">
        <v>4755</v>
      </c>
      <c r="DI19" t="s">
        <v>4755</v>
      </c>
      <c r="DJ19" t="s">
        <v>4756</v>
      </c>
      <c r="DK19" t="s">
        <v>4756</v>
      </c>
      <c r="DL19" t="s">
        <v>4757</v>
      </c>
      <c r="DM19" t="s">
        <v>4757</v>
      </c>
    </row>
    <row r="20" spans="4:117" ht="14.6">
      <c r="D20" s="6" t="str">
        <f t="shared" si="11"/>
        <v>家乡主力军-&gt;武神</v>
      </c>
      <c r="E20" s="6" t="str">
        <f t="shared" si="12"/>
        <v>#'2.1家乡主力军'!Z85:AG95</v>
      </c>
      <c r="F20" s="6" t="s">
        <v>518</v>
      </c>
      <c r="G20" s="6" t="s">
        <v>4947</v>
      </c>
      <c r="H20" s="6" t="s">
        <v>4779</v>
      </c>
      <c r="I20" s="7" t="s">
        <v>4801</v>
      </c>
      <c r="J20" s="7" t="s">
        <v>4948</v>
      </c>
      <c r="K20" s="7" t="s">
        <v>4949</v>
      </c>
      <c r="L20" s="7" t="s">
        <v>4950</v>
      </c>
      <c r="M20" s="7" t="s">
        <v>4951</v>
      </c>
      <c r="N20" s="7" t="s">
        <v>4782</v>
      </c>
      <c r="O20" s="7" t="s">
        <v>4782</v>
      </c>
      <c r="P20" s="7" t="s">
        <v>4782</v>
      </c>
      <c r="Q20" s="7" t="s">
        <v>4782</v>
      </c>
      <c r="R20" s="7" t="s">
        <v>4782</v>
      </c>
      <c r="S20" s="7">
        <f t="array" ref="S20">SUM(IFERROR(IF(MATCH(I20:R20,$F$4:$Q$4,0)&gt;0,1,0),0))</f>
        <v>0</v>
      </c>
      <c r="T20" s="7">
        <f t="shared" ca="1" si="7"/>
        <v>37</v>
      </c>
      <c r="U20" s="7">
        <f ca="1">T20+COUNTIF(T$5:$T19,T20)</f>
        <v>51</v>
      </c>
      <c r="Y20" s="12" t="s">
        <v>73</v>
      </c>
      <c r="Z20" s="7" t="str">
        <f t="shared" ref="Z20:Z27" ca="1" si="14">OFFSET(AA20,0,$Z$5-1)</f>
        <v>03_002</v>
      </c>
      <c r="AA20" s="13" t="s">
        <v>4783</v>
      </c>
      <c r="AB20" s="13" t="s">
        <v>4783</v>
      </c>
      <c r="AC20" s="13" t="s">
        <v>4783</v>
      </c>
      <c r="AD20" s="13" t="s">
        <v>4783</v>
      </c>
      <c r="AE20" s="13" t="s">
        <v>4783</v>
      </c>
      <c r="AF20" s="13" t="s">
        <v>4783</v>
      </c>
      <c r="AG20" s="13" t="s">
        <v>4783</v>
      </c>
      <c r="AH20" s="13" t="s">
        <v>4783</v>
      </c>
      <c r="AI20" s="13" t="s">
        <v>4783</v>
      </c>
      <c r="AJ20" s="13" t="s">
        <v>4783</v>
      </c>
      <c r="AK20" s="13" t="s">
        <v>4783</v>
      </c>
      <c r="AL20" s="13" t="s">
        <v>4783</v>
      </c>
      <c r="AM20" s="16" t="s">
        <v>4754</v>
      </c>
      <c r="AN20" s="16" t="s">
        <v>4755</v>
      </c>
      <c r="AO20" s="22" t="s">
        <v>4755</v>
      </c>
      <c r="AQ20" s="20">
        <v>44642</v>
      </c>
      <c r="AR20">
        <v>6</v>
      </c>
      <c r="AS20" t="s">
        <v>4691</v>
      </c>
      <c r="AT20">
        <v>4000</v>
      </c>
      <c r="AU20" t="s">
        <v>4952</v>
      </c>
      <c r="AX20" s="28">
        <v>3000</v>
      </c>
      <c r="AY20" s="28" t="s">
        <v>4953</v>
      </c>
      <c r="AZ20" s="28" t="s">
        <v>4877</v>
      </c>
      <c r="BA20" s="28" t="s">
        <v>4673</v>
      </c>
      <c r="BB20" s="28">
        <v>20</v>
      </c>
      <c r="BF20" s="29"/>
      <c r="BG20" s="29" t="s">
        <v>4954</v>
      </c>
      <c r="BH20" s="29">
        <v>0</v>
      </c>
      <c r="BI20" s="29">
        <v>1</v>
      </c>
      <c r="BJ20" s="29">
        <v>50</v>
      </c>
      <c r="BK20" s="29">
        <v>500</v>
      </c>
      <c r="BL20" s="29">
        <v>2000</v>
      </c>
      <c r="BM20" s="29"/>
      <c r="BN20" s="29"/>
      <c r="BQ20" s="37"/>
      <c r="BR20" s="37" t="s">
        <v>3326</v>
      </c>
      <c r="BS20" s="37"/>
      <c r="BT20" s="37">
        <v>18</v>
      </c>
      <c r="BU20" s="37" t="b">
        <f>IF($BS$3="无",FALSE(),IF(LEFT('5.3小工具'!R25,4)=$BS$3,TRUE(),IF(AND($BS$3="免费",RIGHT('5.3小工具'!R25,2)=" 0"),TRUE(),FALSE())))</f>
        <v>0</v>
      </c>
      <c r="BV20" s="37" t="b">
        <f>IF($BS$3="无",FALSE(),IF(LEFT('5.3小工具'!T25,4)=$BS$3,TRUE(),IF(AND($BS$3="免费",RIGHT('5.3小工具'!T25,2)=" 0"),TRUE(),FALSE())))</f>
        <v>0</v>
      </c>
      <c r="BW20" s="37" t="b">
        <f>IF($BS$3="无",FALSE(),IF(LEFT('5.3小工具'!V25,4)=$BS$3,TRUE(),IF(AND($BS$3="免费",RIGHT('5.3小工具'!V25,2)=" 0"),TRUE(),FALSE())))</f>
        <v>0</v>
      </c>
      <c r="BX20" s="37"/>
      <c r="BY20" s="37" t="b">
        <f t="shared" si="0"/>
        <v>0</v>
      </c>
      <c r="BZ20" t="b">
        <f>AND(OR(LEFT('5.3小工具'!R25,4)='5.3小工具'!$Y$42,'5.3小工具'!$Y$42=""),OR(LEFT('5.3小工具'!T25,4)='5.3小工具'!$AA$42,'5.3小工具'!$AA$42=""),OR(LEFT('5.3小工具'!V25,4)='5.3小工具'!$AC$42,'5.3小工具'!$AC$42=""))</f>
        <v>1</v>
      </c>
      <c r="CD20" s="38">
        <v>16</v>
      </c>
      <c r="CE20" s="38">
        <f t="shared" si="8"/>
        <v>2.3681306988220232</v>
      </c>
      <c r="CF20" s="38">
        <f t="shared" si="13"/>
        <v>18.064350000000001</v>
      </c>
      <c r="CG20" s="38">
        <f t="shared" si="2"/>
        <v>17</v>
      </c>
      <c r="CH20" s="38"/>
      <c r="CM20" t="s">
        <v>84</v>
      </c>
      <c r="CN20">
        <v>5050</v>
      </c>
      <c r="CP20" s="40">
        <v>368</v>
      </c>
      <c r="CQ20" s="41" t="s">
        <v>3222</v>
      </c>
      <c r="CR20" s="41" t="s">
        <v>4955</v>
      </c>
      <c r="CS20" s="41">
        <v>300</v>
      </c>
      <c r="CT20" s="41">
        <v>8</v>
      </c>
      <c r="CU20" s="41">
        <v>100</v>
      </c>
      <c r="CV20" s="41">
        <v>10</v>
      </c>
      <c r="CW20" s="40"/>
      <c r="CX20" s="41" t="s">
        <v>4716</v>
      </c>
      <c r="CY20" s="40" t="s">
        <v>4717</v>
      </c>
      <c r="DB20" t="s">
        <v>156</v>
      </c>
      <c r="DC20" s="7" t="str">
        <f t="shared" ca="1" si="9"/>
        <v>05_002</v>
      </c>
      <c r="DD20" t="s">
        <v>4783</v>
      </c>
      <c r="DE20" t="s">
        <v>4834</v>
      </c>
      <c r="DF20" t="s">
        <v>4754</v>
      </c>
      <c r="DG20" t="s">
        <v>4754</v>
      </c>
      <c r="DH20" t="s">
        <v>4755</v>
      </c>
      <c r="DI20" t="s">
        <v>4755</v>
      </c>
      <c r="DJ20" t="s">
        <v>4756</v>
      </c>
      <c r="DK20" t="s">
        <v>4756</v>
      </c>
      <c r="DL20" t="s">
        <v>4757</v>
      </c>
      <c r="DM20" t="s">
        <v>4757</v>
      </c>
    </row>
    <row r="21" spans="4:117" ht="14.6">
      <c r="D21" s="6" t="str">
        <f t="shared" si="11"/>
        <v>家乡主力军-&gt;独角</v>
      </c>
      <c r="E21" s="6" t="str">
        <f t="shared" si="12"/>
        <v>#'2.1家乡主力军'!O162:u174</v>
      </c>
      <c r="F21" s="7" t="s">
        <v>651</v>
      </c>
      <c r="G21" s="7" t="s">
        <v>4956</v>
      </c>
      <c r="H21" s="6" t="s">
        <v>4779</v>
      </c>
      <c r="I21" s="7" t="s">
        <v>4957</v>
      </c>
      <c r="J21" s="7" t="s">
        <v>4958</v>
      </c>
      <c r="K21" s="7" t="s">
        <v>4782</v>
      </c>
      <c r="L21" s="7" t="s">
        <v>4782</v>
      </c>
      <c r="M21" s="7" t="s">
        <v>4782</v>
      </c>
      <c r="N21" s="7" t="s">
        <v>4782</v>
      </c>
      <c r="O21" s="7" t="s">
        <v>4782</v>
      </c>
      <c r="P21" s="7" t="s">
        <v>4782</v>
      </c>
      <c r="Q21" s="7" t="s">
        <v>4782</v>
      </c>
      <c r="R21" s="7" t="s">
        <v>4782</v>
      </c>
      <c r="S21" s="7">
        <f t="array" ref="S21">SUM(IFERROR(IF(MATCH(I21:R21,$F$4:$Q$4,0)&gt;0,1,0),0))</f>
        <v>0</v>
      </c>
      <c r="T21" s="7">
        <f t="shared" ca="1" si="7"/>
        <v>37</v>
      </c>
      <c r="U21" s="7">
        <f ca="1">T21+COUNTIF(T$5:$T20,T21)</f>
        <v>52</v>
      </c>
      <c r="Y21" t="s">
        <v>4959</v>
      </c>
      <c r="Z21" s="7" t="str">
        <f t="shared" ca="1" si="14"/>
        <v>04_005</v>
      </c>
      <c r="AA21" t="s">
        <v>4960</v>
      </c>
      <c r="AB21" t="s">
        <v>4960</v>
      </c>
      <c r="AC21" t="s">
        <v>4960</v>
      </c>
      <c r="AD21" t="s">
        <v>4960</v>
      </c>
      <c r="AE21" t="s">
        <v>4960</v>
      </c>
      <c r="AF21" t="s">
        <v>4960</v>
      </c>
      <c r="AG21" t="s">
        <v>4960</v>
      </c>
      <c r="AH21" t="s">
        <v>4960</v>
      </c>
      <c r="AI21" t="s">
        <v>4960</v>
      </c>
      <c r="AJ21" t="s">
        <v>4960</v>
      </c>
      <c r="AK21" t="s">
        <v>4960</v>
      </c>
      <c r="AL21" t="s">
        <v>4960</v>
      </c>
      <c r="AM21" t="s">
        <v>4960</v>
      </c>
      <c r="AN21" t="s">
        <v>4898</v>
      </c>
      <c r="AO21" s="23" t="s">
        <v>4898</v>
      </c>
      <c r="AQ21" s="20">
        <v>44614</v>
      </c>
      <c r="AR21">
        <v>6</v>
      </c>
      <c r="AS21" t="s">
        <v>4691</v>
      </c>
      <c r="AT21">
        <v>4000</v>
      </c>
      <c r="AU21" t="s">
        <v>4961</v>
      </c>
      <c r="AX21" s="28">
        <v>7500</v>
      </c>
      <c r="AY21" s="28" t="s">
        <v>4962</v>
      </c>
      <c r="AZ21" s="28" t="s">
        <v>4963</v>
      </c>
      <c r="BA21" s="28" t="s">
        <v>4688</v>
      </c>
      <c r="BB21" s="28">
        <v>40</v>
      </c>
      <c r="BF21" s="29"/>
      <c r="BG21" s="29" t="s">
        <v>4964</v>
      </c>
      <c r="BH21" s="29">
        <v>0</v>
      </c>
      <c r="BI21" s="29">
        <v>4</v>
      </c>
      <c r="BJ21" s="29">
        <v>80</v>
      </c>
      <c r="BK21" s="29">
        <v>1040</v>
      </c>
      <c r="BL21" s="29">
        <v>4000</v>
      </c>
      <c r="BM21" s="29"/>
      <c r="BN21" s="29"/>
      <c r="BQ21" s="37"/>
      <c r="BR21" s="37" t="s">
        <v>1104</v>
      </c>
      <c r="BS21" s="37"/>
      <c r="BT21" s="37">
        <v>19</v>
      </c>
      <c r="BU21" s="37" t="b">
        <f>IF($BS$3="无",FALSE(),IF(LEFT('5.3小工具'!R26,4)=$BS$3,TRUE(),IF(AND($BS$3="免费",RIGHT('5.3小工具'!R26,2)=" 0"),TRUE(),FALSE())))</f>
        <v>0</v>
      </c>
      <c r="BV21" s="37" t="b">
        <f>IF($BS$3="无",FALSE(),IF(LEFT('5.3小工具'!T26,4)=$BS$3,TRUE(),IF(AND($BS$3="免费",RIGHT('5.3小工具'!T26,2)=" 0"),TRUE(),FALSE())))</f>
        <v>0</v>
      </c>
      <c r="BW21" s="37" t="b">
        <f>IF($BS$3="无",FALSE(),IF(LEFT('5.3小工具'!V26,4)=$BS$3,TRUE(),IF(AND($BS$3="免费",RIGHT('5.3小工具'!V26,2)=" 0"),TRUE(),FALSE())))</f>
        <v>0</v>
      </c>
      <c r="BX21" s="37"/>
      <c r="BY21" s="37" t="b">
        <f t="shared" si="0"/>
        <v>0</v>
      </c>
      <c r="BZ21" t="b">
        <f>AND(OR(LEFT('5.3小工具'!R26,4)='5.3小工具'!$Y$42,'5.3小工具'!$Y$42=""),OR(LEFT('5.3小工具'!T26,4)='5.3小工具'!$AA$42,'5.3小工具'!$AA$42=""),OR(LEFT('5.3小工具'!V26,4)='5.3小工具'!$AC$42,'5.3小工具'!$AC$42=""))</f>
        <v>1</v>
      </c>
      <c r="CD21" s="38">
        <v>17</v>
      </c>
      <c r="CE21" s="38">
        <f t="shared" si="8"/>
        <v>2.3984337291250535</v>
      </c>
      <c r="CF21" s="38">
        <f t="shared" si="13"/>
        <v>19.055569999999999</v>
      </c>
      <c r="CG21" s="38">
        <f t="shared" si="2"/>
        <v>18</v>
      </c>
      <c r="CH21" s="38"/>
      <c r="CM21" t="s">
        <v>4965</v>
      </c>
      <c r="CN21">
        <v>13000</v>
      </c>
      <c r="CP21" s="40">
        <v>369</v>
      </c>
      <c r="CQ21" s="41" t="s">
        <v>3222</v>
      </c>
      <c r="CR21" s="41" t="s">
        <v>4966</v>
      </c>
      <c r="CS21" s="41">
        <v>600</v>
      </c>
      <c r="CT21" s="41">
        <v>24</v>
      </c>
      <c r="CU21" s="41">
        <v>50</v>
      </c>
      <c r="CV21" s="41">
        <v>15</v>
      </c>
      <c r="CW21" s="40"/>
      <c r="CX21" s="41" t="s">
        <v>4716</v>
      </c>
      <c r="CY21" s="40" t="s">
        <v>3104</v>
      </c>
      <c r="DB21" t="s">
        <v>179</v>
      </c>
      <c r="DC21" s="7" t="str">
        <f t="shared" ca="1" si="9"/>
        <v>05_002</v>
      </c>
      <c r="DD21" t="s">
        <v>4783</v>
      </c>
      <c r="DE21" t="s">
        <v>4783</v>
      </c>
      <c r="DF21" t="s">
        <v>4834</v>
      </c>
      <c r="DG21" t="s">
        <v>4754</v>
      </c>
      <c r="DH21" t="s">
        <v>4754</v>
      </c>
      <c r="DI21" t="s">
        <v>4755</v>
      </c>
      <c r="DJ21" t="s">
        <v>4755</v>
      </c>
      <c r="DK21" t="s">
        <v>4756</v>
      </c>
      <c r="DL21" t="s">
        <v>4756</v>
      </c>
      <c r="DM21" t="s">
        <v>4757</v>
      </c>
    </row>
    <row r="22" spans="4:117" ht="14.6">
      <c r="D22" s="6" t="str">
        <f t="shared" si="11"/>
        <v>家乡主力军-&gt;飞盾战神</v>
      </c>
      <c r="E22" s="6" t="str">
        <f t="shared" si="12"/>
        <v>#'2.1家乡主力军'!BD98:BP136</v>
      </c>
      <c r="F22" s="6" t="s">
        <v>274</v>
      </c>
      <c r="G22" s="6" t="s">
        <v>4967</v>
      </c>
      <c r="H22" s="6" t="s">
        <v>4779</v>
      </c>
      <c r="I22" s="7" t="s">
        <v>4801</v>
      </c>
      <c r="J22" s="7" t="s">
        <v>4968</v>
      </c>
      <c r="K22" s="7" t="s">
        <v>4969</v>
      </c>
      <c r="L22" s="7" t="s">
        <v>4970</v>
      </c>
      <c r="M22" s="7" t="s">
        <v>4949</v>
      </c>
      <c r="N22" s="7" t="s">
        <v>4971</v>
      </c>
      <c r="O22" s="7" t="s">
        <v>4972</v>
      </c>
      <c r="P22" s="7" t="s">
        <v>4782</v>
      </c>
      <c r="Q22" s="7" t="s">
        <v>4782</v>
      </c>
      <c r="R22" s="7" t="s">
        <v>4782</v>
      </c>
      <c r="S22" s="7">
        <f t="array" ref="S22">SUM(IFERROR(IF(MATCH(I22:R22,$F$4:$Q$4,0)&gt;0,1,0),0))</f>
        <v>1</v>
      </c>
      <c r="T22" s="7">
        <f t="shared" ca="1" si="7"/>
        <v>20</v>
      </c>
      <c r="U22" s="7">
        <f ca="1">T22+COUNTIF(T$5:$T21,T22)</f>
        <v>20</v>
      </c>
      <c r="Y22" t="s">
        <v>81</v>
      </c>
      <c r="Z22" s="7" t="str">
        <f t="shared" ca="1" si="14"/>
        <v>03_002</v>
      </c>
      <c r="AA22" s="13" t="s">
        <v>4783</v>
      </c>
      <c r="AB22" s="13" t="s">
        <v>4783</v>
      </c>
      <c r="AC22" s="13" t="s">
        <v>4783</v>
      </c>
      <c r="AD22" s="13" t="s">
        <v>4783</v>
      </c>
      <c r="AE22" s="13" t="s">
        <v>4783</v>
      </c>
      <c r="AF22" s="13" t="s">
        <v>4783</v>
      </c>
      <c r="AG22" s="13" t="s">
        <v>4783</v>
      </c>
      <c r="AH22" s="13" t="s">
        <v>4783</v>
      </c>
      <c r="AI22" s="13" t="s">
        <v>4783</v>
      </c>
      <c r="AJ22" s="13" t="s">
        <v>4783</v>
      </c>
      <c r="AK22" s="13" t="s">
        <v>4783</v>
      </c>
      <c r="AL22" s="13" t="s">
        <v>4783</v>
      </c>
      <c r="AM22" s="13" t="s">
        <v>4783</v>
      </c>
      <c r="AN22" s="13" t="s">
        <v>4783</v>
      </c>
      <c r="AO22" s="22" t="s">
        <v>4755</v>
      </c>
      <c r="AQ22" s="20">
        <v>44583</v>
      </c>
      <c r="AR22">
        <v>6</v>
      </c>
      <c r="AS22" t="s">
        <v>4691</v>
      </c>
      <c r="AT22">
        <v>4000</v>
      </c>
      <c r="AU22" t="s">
        <v>4973</v>
      </c>
      <c r="AX22" s="28">
        <v>12000</v>
      </c>
      <c r="AY22" s="28" t="s">
        <v>4689</v>
      </c>
      <c r="AZ22" s="28" t="s">
        <v>4687</v>
      </c>
      <c r="BA22" s="28" t="s">
        <v>4974</v>
      </c>
      <c r="BB22" s="28">
        <v>60</v>
      </c>
      <c r="BF22" s="29"/>
      <c r="BG22" s="29" t="s">
        <v>4975</v>
      </c>
      <c r="BH22" s="29">
        <v>0</v>
      </c>
      <c r="BI22" s="29">
        <v>3</v>
      </c>
      <c r="BJ22" s="29">
        <v>60</v>
      </c>
      <c r="BK22" s="29">
        <v>780</v>
      </c>
      <c r="BL22" s="29">
        <v>3000</v>
      </c>
      <c r="BM22" s="29"/>
      <c r="BN22" s="29"/>
      <c r="BQ22" s="37"/>
      <c r="BR22" s="37" t="s">
        <v>3118</v>
      </c>
      <c r="BS22" s="37"/>
      <c r="BT22" s="37">
        <v>20</v>
      </c>
      <c r="BU22" s="37" t="b">
        <f>IF($BS$3="无",FALSE(),IF(LEFT('5.3小工具'!R27,4)=$BS$3,TRUE(),IF(AND($BS$3="免费",RIGHT('5.3小工具'!R27,2)=" 0"),TRUE(),FALSE())))</f>
        <v>0</v>
      </c>
      <c r="BV22" s="37" t="b">
        <f>IF($BS$3="无",FALSE(),IF(LEFT('5.3小工具'!T27,4)=$BS$3,TRUE(),IF(AND($BS$3="免费",RIGHT('5.3小工具'!T27,2)=" 0"),TRUE(),FALSE())))</f>
        <v>0</v>
      </c>
      <c r="BW22" s="37" t="b">
        <f>IF($BS$3="无",FALSE(),IF(LEFT('5.3小工具'!V27,4)=$BS$3,TRUE(),IF(AND($BS$3="免费",RIGHT('5.3小工具'!V27,2)=" 0"),TRUE(),FALSE())))</f>
        <v>0</v>
      </c>
      <c r="BX22" s="37"/>
      <c r="BY22" s="37" t="b">
        <f t="shared" si="0"/>
        <v>0</v>
      </c>
      <c r="BZ22" t="b">
        <f>AND(OR(LEFT('5.3小工具'!R27,4)='5.3小工具'!$Y$42,'5.3小工具'!$Y$42=""),OR(LEFT('5.3小工具'!T27,4)='5.3小工具'!$AA$42,'5.3小工具'!$AA$42=""),OR(LEFT('5.3小工具'!V27,4)='5.3小工具'!$AC$42,'5.3小工具'!$AC$42=""))</f>
        <v>1</v>
      </c>
      <c r="CD22" s="38">
        <v>18</v>
      </c>
      <c r="CE22" s="38">
        <f t="shared" si="8"/>
        <v>2.427005157696482</v>
      </c>
      <c r="CF22" s="38">
        <f t="shared" si="13"/>
        <v>20.047280000000001</v>
      </c>
      <c r="CG22" s="38">
        <f t="shared" si="2"/>
        <v>19</v>
      </c>
      <c r="CH22" s="38"/>
      <c r="CM22" t="s">
        <v>4976</v>
      </c>
      <c r="CN22">
        <v>240000</v>
      </c>
      <c r="CP22" s="40">
        <v>370</v>
      </c>
      <c r="CQ22" s="41" t="s">
        <v>3231</v>
      </c>
      <c r="CR22" s="41" t="s">
        <v>4977</v>
      </c>
      <c r="CS22" s="41">
        <v>150</v>
      </c>
      <c r="CT22" s="41">
        <v>3</v>
      </c>
      <c r="CU22" s="41">
        <v>150</v>
      </c>
      <c r="CV22" s="41">
        <v>5</v>
      </c>
      <c r="CW22" s="40"/>
      <c r="CX22" s="41" t="s">
        <v>4716</v>
      </c>
      <c r="CY22" s="40" t="s">
        <v>3096</v>
      </c>
      <c r="DB22" t="s">
        <v>153</v>
      </c>
      <c r="DC22" s="7" t="str">
        <f t="shared" ca="1" si="9"/>
        <v>05_002</v>
      </c>
      <c r="DD22" t="s">
        <v>4783</v>
      </c>
      <c r="DE22" t="s">
        <v>4783</v>
      </c>
      <c r="DF22" t="s">
        <v>4834</v>
      </c>
      <c r="DG22" t="s">
        <v>4754</v>
      </c>
      <c r="DH22" t="s">
        <v>4754</v>
      </c>
      <c r="DI22" t="s">
        <v>4755</v>
      </c>
      <c r="DJ22" t="s">
        <v>4755</v>
      </c>
      <c r="DK22" t="s">
        <v>4756</v>
      </c>
      <c r="DL22" t="s">
        <v>4756</v>
      </c>
      <c r="DM22" t="s">
        <v>4757</v>
      </c>
    </row>
    <row r="23" spans="4:117" ht="14.6">
      <c r="D23" s="6" t="str">
        <f t="shared" si="11"/>
        <v>家乡主力军-&gt;戈仑石人</v>
      </c>
      <c r="E23" s="6" t="str">
        <f t="shared" si="12"/>
        <v>#'2.1家乡主力军'!F98:N110</v>
      </c>
      <c r="F23" s="6" t="s">
        <v>519</v>
      </c>
      <c r="G23" s="6" t="s">
        <v>4978</v>
      </c>
      <c r="H23" s="6" t="s">
        <v>4779</v>
      </c>
      <c r="I23" s="7" t="s">
        <v>4801</v>
      </c>
      <c r="J23" s="7" t="s">
        <v>4979</v>
      </c>
      <c r="K23" s="7" t="s">
        <v>4980</v>
      </c>
      <c r="L23" s="7" t="s">
        <v>4981</v>
      </c>
      <c r="M23" s="7" t="s">
        <v>4831</v>
      </c>
      <c r="N23" s="7" t="s">
        <v>4982</v>
      </c>
      <c r="O23" s="7" t="s">
        <v>4782</v>
      </c>
      <c r="P23" s="7" t="s">
        <v>4782</v>
      </c>
      <c r="Q23" s="7" t="s">
        <v>4782</v>
      </c>
      <c r="R23" s="7" t="s">
        <v>4782</v>
      </c>
      <c r="S23" s="7">
        <f t="array" ref="S23">SUM(IFERROR(IF(MATCH(I23:R23,$F$4:$Q$4,0)&gt;0,1,0),0))</f>
        <v>0</v>
      </c>
      <c r="T23" s="7">
        <f t="shared" ca="1" si="7"/>
        <v>37</v>
      </c>
      <c r="U23" s="7">
        <f ca="1">T23+COUNTIF(T$5:$T22,T23)</f>
        <v>53</v>
      </c>
      <c r="Y23" t="s">
        <v>84</v>
      </c>
      <c r="Z23" s="7" t="str">
        <f t="shared" ca="1" si="14"/>
        <v>02_001</v>
      </c>
      <c r="AA23" s="13" t="s">
        <v>4783</v>
      </c>
      <c r="AB23" s="13" t="s">
        <v>4783</v>
      </c>
      <c r="AC23" s="13" t="s">
        <v>4783</v>
      </c>
      <c r="AD23" s="13" t="s">
        <v>4783</v>
      </c>
      <c r="AE23" s="13" t="s">
        <v>4783</v>
      </c>
      <c r="AF23" s="13" t="s">
        <v>4783</v>
      </c>
      <c r="AG23" s="13" t="s">
        <v>4783</v>
      </c>
      <c r="AH23" s="13" t="s">
        <v>4783</v>
      </c>
      <c r="AI23" s="13" t="s">
        <v>4783</v>
      </c>
      <c r="AJ23" s="13" t="s">
        <v>4783</v>
      </c>
      <c r="AK23" s="13" t="s">
        <v>4783</v>
      </c>
      <c r="AL23" s="13" t="s">
        <v>4783</v>
      </c>
      <c r="AM23" s="13" t="s">
        <v>4783</v>
      </c>
      <c r="AN23" s="13" t="s">
        <v>4783</v>
      </c>
      <c r="AO23" s="22" t="s">
        <v>4784</v>
      </c>
      <c r="AQ23" s="20">
        <v>44552</v>
      </c>
      <c r="AR23">
        <v>6</v>
      </c>
      <c r="AS23" t="s">
        <v>4691</v>
      </c>
      <c r="AT23">
        <v>5000</v>
      </c>
      <c r="AU23" t="s">
        <v>4983</v>
      </c>
      <c r="AX23" s="28">
        <v>18000</v>
      </c>
      <c r="AY23" s="28" t="s">
        <v>4984</v>
      </c>
      <c r="AZ23" s="28" t="s">
        <v>4737</v>
      </c>
      <c r="BA23" s="28" t="s">
        <v>4823</v>
      </c>
      <c r="BB23" s="28">
        <v>80</v>
      </c>
      <c r="BF23" s="29"/>
      <c r="BG23" s="29" t="s">
        <v>4985</v>
      </c>
      <c r="BH23" s="29">
        <v>0</v>
      </c>
      <c r="BI23" s="29">
        <v>6</v>
      </c>
      <c r="BJ23" s="29">
        <v>120</v>
      </c>
      <c r="BK23" s="29">
        <v>1560</v>
      </c>
      <c r="BL23" s="29">
        <v>6000</v>
      </c>
      <c r="BM23" s="29"/>
      <c r="BN23" s="29"/>
      <c r="BQ23" s="37"/>
      <c r="BR23" s="37" t="s">
        <v>4986</v>
      </c>
      <c r="BS23" s="37"/>
      <c r="BT23" s="37">
        <v>21</v>
      </c>
      <c r="BU23" s="37" t="b">
        <f>IF($BS$3="无",FALSE(),IF(LEFT('5.3小工具'!R28,4)=$BS$3,TRUE(),IF(AND($BS$3="免费",RIGHT('5.3小工具'!R28,2)=" 0"),TRUE(),FALSE())))</f>
        <v>0</v>
      </c>
      <c r="BV23" s="37" t="b">
        <f>IF($BS$3="无",FALSE(),IF(LEFT('5.3小工具'!T28,4)=$BS$3,TRUE(),IF(AND($BS$3="免费",RIGHT('5.3小工具'!T28,2)=" 0"),TRUE(),FALSE())))</f>
        <v>0</v>
      </c>
      <c r="BW23" s="37" t="b">
        <f>IF($BS$3="无",FALSE(),IF(LEFT('5.3小工具'!V28,4)=$BS$3,TRUE(),IF(AND($BS$3="免费",RIGHT('5.3小工具'!V28,2)=" 0"),TRUE(),FALSE())))</f>
        <v>0</v>
      </c>
      <c r="BX23" s="37"/>
      <c r="BY23" s="37" t="b">
        <f t="shared" si="0"/>
        <v>0</v>
      </c>
      <c r="BZ23" t="b">
        <f>AND(OR(LEFT('5.3小工具'!R28,4)='5.3小工具'!$Y$42,'5.3小工具'!$Y$42=""),OR(LEFT('5.3小工具'!T28,4)='5.3小工具'!$AA$42,'5.3小工具'!$AA$42=""),OR(LEFT('5.3小工具'!V28,4)='5.3小工具'!$AC$42,'5.3小工具'!$AC$42=""))</f>
        <v>1</v>
      </c>
      <c r="CD23" s="38">
        <v>19</v>
      </c>
      <c r="CE23" s="38">
        <f t="shared" si="8"/>
        <v>2.4540321847235091</v>
      </c>
      <c r="CF23" s="38">
        <f t="shared" si="13"/>
        <v>21.039439999999999</v>
      </c>
      <c r="CG23" s="38">
        <f t="shared" si="2"/>
        <v>20</v>
      </c>
      <c r="CH23" s="38"/>
      <c r="CM23" t="s">
        <v>4987</v>
      </c>
      <c r="CN23">
        <v>250</v>
      </c>
      <c r="CP23" s="40">
        <v>371</v>
      </c>
      <c r="CQ23" s="41" t="s">
        <v>3231</v>
      </c>
      <c r="CR23" s="41" t="s">
        <v>4988</v>
      </c>
      <c r="CS23" s="41">
        <v>300</v>
      </c>
      <c r="CT23" s="41">
        <v>8</v>
      </c>
      <c r="CU23" s="41">
        <v>100</v>
      </c>
      <c r="CV23" s="41">
        <v>10</v>
      </c>
      <c r="CW23" s="40"/>
      <c r="CX23" s="41" t="s">
        <v>4716</v>
      </c>
      <c r="CY23" s="40" t="s">
        <v>4717</v>
      </c>
      <c r="DB23" t="s">
        <v>181</v>
      </c>
      <c r="DC23" s="7" t="str">
        <f t="shared" ca="1" si="9"/>
        <v>05_008</v>
      </c>
      <c r="DD23" t="s">
        <v>4783</v>
      </c>
      <c r="DE23" t="s">
        <v>4783</v>
      </c>
      <c r="DF23" t="s">
        <v>4783</v>
      </c>
      <c r="DG23" t="s">
        <v>4989</v>
      </c>
      <c r="DH23" t="s">
        <v>4896</v>
      </c>
      <c r="DI23" t="s">
        <v>4990</v>
      </c>
      <c r="DJ23" t="s">
        <v>4991</v>
      </c>
      <c r="DK23" t="s">
        <v>4992</v>
      </c>
      <c r="DL23" t="s">
        <v>4992</v>
      </c>
      <c r="DM23" t="s">
        <v>4993</v>
      </c>
    </row>
    <row r="24" spans="4:117" ht="14.6">
      <c r="D24" s="6" t="str">
        <f t="shared" si="11"/>
        <v>家乡主力军-&gt;哥布林</v>
      </c>
      <c r="E24" s="6" t="str">
        <f t="shared" si="12"/>
        <v>#'2.1家乡主力军'!F18:M27</v>
      </c>
      <c r="F24" s="6" t="s">
        <v>271</v>
      </c>
      <c r="G24" s="6" t="s">
        <v>4994</v>
      </c>
      <c r="H24" s="6" t="s">
        <v>4779</v>
      </c>
      <c r="I24" s="7" t="s">
        <v>4801</v>
      </c>
      <c r="J24" s="7" t="s">
        <v>4995</v>
      </c>
      <c r="K24" s="7" t="s">
        <v>4996</v>
      </c>
      <c r="L24" s="7" t="s">
        <v>4997</v>
      </c>
      <c r="M24" s="7" t="s">
        <v>4998</v>
      </c>
      <c r="N24" s="7" t="s">
        <v>4999</v>
      </c>
      <c r="O24" s="7" t="s">
        <v>4782</v>
      </c>
      <c r="P24" s="7" t="s">
        <v>4782</v>
      </c>
      <c r="Q24" s="7" t="s">
        <v>4782</v>
      </c>
      <c r="R24" s="7" t="s">
        <v>4782</v>
      </c>
      <c r="S24" s="7">
        <f t="array" ref="S24">SUM(IFERROR(IF(MATCH(I24:R24,$F$4:$Q$4,0)&gt;0,1,0),0))</f>
        <v>0</v>
      </c>
      <c r="T24" s="7">
        <f t="shared" ca="1" si="7"/>
        <v>37</v>
      </c>
      <c r="U24" s="7">
        <f ca="1">T24+COUNTIF(T$5:$T23,T24)</f>
        <v>54</v>
      </c>
      <c r="Y24" s="12" t="s">
        <v>5000</v>
      </c>
      <c r="Z24" s="7" t="str">
        <f t="shared" ca="1" si="14"/>
        <v>05_001</v>
      </c>
      <c r="AA24" s="13" t="s">
        <v>4783</v>
      </c>
      <c r="AB24" s="13" t="s">
        <v>4783</v>
      </c>
      <c r="AC24" s="13" t="s">
        <v>4783</v>
      </c>
      <c r="AD24" s="13" t="s">
        <v>4783</v>
      </c>
      <c r="AE24" s="13" t="s">
        <v>4783</v>
      </c>
      <c r="AF24" s="13" t="s">
        <v>4783</v>
      </c>
      <c r="AG24" s="13" t="s">
        <v>4783</v>
      </c>
      <c r="AH24" s="13" t="s">
        <v>4783</v>
      </c>
      <c r="AI24" s="13" t="s">
        <v>4783</v>
      </c>
      <c r="AJ24" s="13" t="s">
        <v>4783</v>
      </c>
      <c r="AK24" s="13" t="s">
        <v>4783</v>
      </c>
      <c r="AL24" s="13" t="s">
        <v>4941</v>
      </c>
      <c r="AM24" s="15" t="s">
        <v>4941</v>
      </c>
      <c r="AN24" s="15" t="s">
        <v>4941</v>
      </c>
      <c r="AO24" s="21" t="s">
        <v>4941</v>
      </c>
      <c r="AQ24" s="20">
        <v>44522</v>
      </c>
      <c r="AR24">
        <v>6</v>
      </c>
      <c r="AS24" t="s">
        <v>4691</v>
      </c>
      <c r="AT24">
        <v>4000</v>
      </c>
      <c r="AU24" t="s">
        <v>5001</v>
      </c>
      <c r="AX24" s="28">
        <v>30000</v>
      </c>
      <c r="AY24" s="28" t="s">
        <v>5002</v>
      </c>
      <c r="AZ24" s="28" t="s">
        <v>5003</v>
      </c>
      <c r="BA24" s="28" t="s">
        <v>5004</v>
      </c>
      <c r="BB24" s="28">
        <v>100</v>
      </c>
      <c r="BF24" s="29"/>
      <c r="BG24" s="29" t="s">
        <v>5005</v>
      </c>
      <c r="BH24" s="29">
        <v>0</v>
      </c>
      <c r="BI24" s="29">
        <f t="shared" ref="BI24:BL24" si="15">BI19*0.86</f>
        <v>0.86</v>
      </c>
      <c r="BJ24" s="29">
        <f t="shared" si="15"/>
        <v>17.2</v>
      </c>
      <c r="BK24" s="29">
        <f t="shared" si="15"/>
        <v>223.6</v>
      </c>
      <c r="BL24" s="29">
        <f t="shared" si="15"/>
        <v>860</v>
      </c>
      <c r="BM24" s="29"/>
      <c r="BN24" s="29"/>
      <c r="BQ24" s="37"/>
      <c r="BR24" s="37" t="s">
        <v>3433</v>
      </c>
      <c r="BS24" s="37"/>
      <c r="BT24" s="37">
        <v>22</v>
      </c>
      <c r="BU24" s="37" t="b">
        <f>IF($BS$3="无",FALSE(),IF(LEFT('5.3小工具'!R29,4)=$BS$3,TRUE(),IF(AND($BS$3="免费",RIGHT('5.3小工具'!R29,2)=" 0"),TRUE(),FALSE())))</f>
        <v>0</v>
      </c>
      <c r="BV24" s="37" t="b">
        <f>IF($BS$3="无",FALSE(),IF(LEFT('5.3小工具'!T29,4)=$BS$3,TRUE(),IF(AND($BS$3="免费",RIGHT('5.3小工具'!T29,2)=" 0"),TRUE(),FALSE())))</f>
        <v>0</v>
      </c>
      <c r="BW24" s="37" t="b">
        <f>IF($BS$3="无",FALSE(),IF(LEFT('5.3小工具'!V29,4)=$BS$3,TRUE(),IF(AND($BS$3="免费",RIGHT('5.3小工具'!V29,2)=" 0"),TRUE(),FALSE())))</f>
        <v>0</v>
      </c>
      <c r="BX24" s="37"/>
      <c r="BY24" s="37" t="b">
        <f t="shared" si="0"/>
        <v>0</v>
      </c>
      <c r="BZ24" t="b">
        <f>AND(OR(LEFT('5.3小工具'!R29,4)='5.3小工具'!$Y$42,'5.3小工具'!$Y$42=""),OR(LEFT('5.3小工具'!T29,4)='5.3小工具'!$AA$42,'5.3小工具'!$AA$42=""),OR(LEFT('5.3小工具'!V29,4)='5.3小工具'!$AC$42,'5.3小工具'!$AC$42=""))</f>
        <v>1</v>
      </c>
      <c r="CD24" s="38">
        <v>20</v>
      </c>
      <c r="CE24" s="38">
        <f t="shared" si="8"/>
        <v>2.4796732103645347</v>
      </c>
      <c r="CF24" s="38">
        <f t="shared" si="13"/>
        <v>22.03201</v>
      </c>
      <c r="CG24" s="38">
        <f t="shared" si="2"/>
        <v>21</v>
      </c>
      <c r="CH24" s="38"/>
      <c r="CP24" s="40">
        <v>372</v>
      </c>
      <c r="CQ24" s="41" t="s">
        <v>3231</v>
      </c>
      <c r="CR24" s="41" t="s">
        <v>5006</v>
      </c>
      <c r="CS24" s="41">
        <v>600</v>
      </c>
      <c r="CT24" s="41">
        <v>24</v>
      </c>
      <c r="CU24" s="41">
        <v>50</v>
      </c>
      <c r="CV24" s="41">
        <v>15</v>
      </c>
      <c r="CW24" s="40"/>
      <c r="CX24" s="41" t="s">
        <v>4716</v>
      </c>
      <c r="CY24" s="40" t="s">
        <v>3104</v>
      </c>
      <c r="DB24" t="s">
        <v>149</v>
      </c>
      <c r="DC24" s="7" t="str">
        <f t="shared" ca="1" si="9"/>
        <v>05_002</v>
      </c>
      <c r="DD24" t="s">
        <v>4783</v>
      </c>
      <c r="DE24" t="s">
        <v>4783</v>
      </c>
      <c r="DF24" t="s">
        <v>4783</v>
      </c>
      <c r="DG24" t="s">
        <v>4834</v>
      </c>
      <c r="DH24" t="s">
        <v>4754</v>
      </c>
      <c r="DI24" t="s">
        <v>4755</v>
      </c>
      <c r="DJ24" t="s">
        <v>4755</v>
      </c>
      <c r="DK24" t="s">
        <v>4756</v>
      </c>
      <c r="DL24" t="s">
        <v>4756</v>
      </c>
      <c r="DM24" t="s">
        <v>4757</v>
      </c>
    </row>
    <row r="25" spans="4:117" ht="14.6">
      <c r="D25" s="6" t="str">
        <f t="shared" si="11"/>
        <v>家乡主力军-&gt;女巫</v>
      </c>
      <c r="E25" s="6" t="str">
        <f t="shared" si="12"/>
        <v>#'2.1家乡主力军'!P98:X108</v>
      </c>
      <c r="F25" s="6" t="s">
        <v>520</v>
      </c>
      <c r="G25" s="6" t="s">
        <v>5007</v>
      </c>
      <c r="H25" s="6" t="s">
        <v>4779</v>
      </c>
      <c r="I25" s="7" t="s">
        <v>4801</v>
      </c>
      <c r="J25" s="7" t="s">
        <v>4871</v>
      </c>
      <c r="K25" s="7" t="s">
        <v>5008</v>
      </c>
      <c r="L25" s="7" t="s">
        <v>5009</v>
      </c>
      <c r="M25" s="7" t="s">
        <v>5010</v>
      </c>
      <c r="N25" s="7" t="s">
        <v>4782</v>
      </c>
      <c r="O25" s="7" t="s">
        <v>4782</v>
      </c>
      <c r="P25" s="7" t="s">
        <v>4782</v>
      </c>
      <c r="Q25" s="7" t="s">
        <v>4782</v>
      </c>
      <c r="R25" s="7" t="s">
        <v>4782</v>
      </c>
      <c r="S25" s="7">
        <f t="array" ref="S25">SUM(IFERROR(IF(MATCH(I25:R25,$F$4:$Q$4,0)&gt;0,1,0),0))</f>
        <v>0</v>
      </c>
      <c r="T25" s="7">
        <f t="shared" ca="1" si="7"/>
        <v>37</v>
      </c>
      <c r="U25" s="7">
        <f ca="1">T25+COUNTIF(T$5:$T24,T25)</f>
        <v>55</v>
      </c>
      <c r="Y25" t="s">
        <v>86</v>
      </c>
      <c r="Z25" s="7" t="str">
        <f t="shared" ca="1" si="14"/>
        <v>05_001</v>
      </c>
      <c r="AA25" s="13" t="s">
        <v>4783</v>
      </c>
      <c r="AB25" s="13" t="s">
        <v>4783</v>
      </c>
      <c r="AC25" s="13" t="s">
        <v>4783</v>
      </c>
      <c r="AD25" s="13" t="s">
        <v>4783</v>
      </c>
      <c r="AE25" s="13" t="s">
        <v>4783</v>
      </c>
      <c r="AF25" s="13" t="s">
        <v>4783</v>
      </c>
      <c r="AG25" s="13" t="s">
        <v>4783</v>
      </c>
      <c r="AH25" s="13" t="s">
        <v>4783</v>
      </c>
      <c r="AI25" s="13" t="s">
        <v>4783</v>
      </c>
      <c r="AJ25" s="13" t="s">
        <v>4783</v>
      </c>
      <c r="AK25" s="13" t="s">
        <v>4783</v>
      </c>
      <c r="AL25" s="13" t="s">
        <v>5011</v>
      </c>
      <c r="AM25" s="15" t="s">
        <v>4941</v>
      </c>
      <c r="AN25" s="15" t="s">
        <v>4941</v>
      </c>
      <c r="AO25" s="18" t="s">
        <v>4941</v>
      </c>
      <c r="AQ25" s="24">
        <v>44491</v>
      </c>
      <c r="AR25" s="19">
        <v>6</v>
      </c>
      <c r="AS25" s="19" t="s">
        <v>4691</v>
      </c>
      <c r="AT25" s="19">
        <v>4000</v>
      </c>
      <c r="AU25" t="s">
        <v>5012</v>
      </c>
      <c r="AX25" s="28">
        <v>50000</v>
      </c>
      <c r="AY25" s="28" t="s">
        <v>4738</v>
      </c>
      <c r="AZ25" s="28" t="s">
        <v>4746</v>
      </c>
      <c r="BA25" s="28" t="s">
        <v>4944</v>
      </c>
      <c r="BB25" s="28">
        <v>120</v>
      </c>
      <c r="BF25" s="29"/>
      <c r="BG25" s="29"/>
      <c r="BH25" s="29"/>
      <c r="BI25" s="29"/>
      <c r="BJ25" s="29"/>
      <c r="BK25" s="29"/>
      <c r="BL25" s="29"/>
      <c r="BM25" s="29"/>
      <c r="BN25" s="29"/>
      <c r="BQ25" s="37"/>
      <c r="BR25" s="37"/>
      <c r="BS25" s="37"/>
      <c r="BT25" s="37">
        <v>23</v>
      </c>
      <c r="BU25" s="37" t="b">
        <f>IF($BS$3="无",FALSE(),IF(LEFT('5.3小工具'!R30,4)=$BS$3,TRUE(),IF(AND($BS$3="免费",RIGHT('5.3小工具'!R30,2)=" 0"),TRUE(),FALSE())))</f>
        <v>0</v>
      </c>
      <c r="BV25" s="37" t="b">
        <f>IF($BS$3="无",FALSE(),IF(LEFT('5.3小工具'!T30,4)=$BS$3,TRUE(),IF(AND($BS$3="免费",RIGHT('5.3小工具'!T30,2)=" 0"),TRUE(),FALSE())))</f>
        <v>0</v>
      </c>
      <c r="BW25" s="37" t="b">
        <f>IF($BS$3="无",FALSE(),IF(LEFT('5.3小工具'!V30,4)=$BS$3,TRUE(),IF(AND($BS$3="免费",RIGHT('5.3小工具'!V30,2)=" 0"),TRUE(),FALSE())))</f>
        <v>0</v>
      </c>
      <c r="BX25" s="37"/>
      <c r="BY25" s="37" t="b">
        <f t="shared" si="0"/>
        <v>0</v>
      </c>
      <c r="BZ25" t="b">
        <f>AND(OR(LEFT('5.3小工具'!R30,4)='5.3小工具'!$Y$42,'5.3小工具'!$Y$42=""),OR(LEFT('5.3小工具'!T30,4)='5.3小工具'!$AA$42,'5.3小工具'!$AA$42=""),OR(LEFT('5.3小工具'!V30,4)='5.3小工具'!$AC$42,'5.3小工具'!$AC$42=""))</f>
        <v>1</v>
      </c>
      <c r="CD25" s="38">
        <v>21</v>
      </c>
      <c r="CE25" s="38">
        <f t="shared" si="8"/>
        <v>2.5040634542669737</v>
      </c>
      <c r="CF25" s="38">
        <f t="shared" si="13"/>
        <v>23.024930000000001</v>
      </c>
      <c r="CG25" s="38">
        <f t="shared" si="2"/>
        <v>22</v>
      </c>
      <c r="CH25" s="38"/>
      <c r="CP25" s="40">
        <v>373</v>
      </c>
      <c r="CQ25" s="41" t="s">
        <v>3236</v>
      </c>
      <c r="CR25" s="41" t="s">
        <v>5013</v>
      </c>
      <c r="CS25" s="41">
        <v>150</v>
      </c>
      <c r="CT25" s="41">
        <v>3</v>
      </c>
      <c r="CU25" s="41">
        <v>150</v>
      </c>
      <c r="CV25" s="41">
        <v>5</v>
      </c>
      <c r="CW25" s="40"/>
      <c r="CX25" s="41" t="s">
        <v>4716</v>
      </c>
      <c r="CY25" s="40" t="s">
        <v>3096</v>
      </c>
      <c r="DB25" t="s">
        <v>180</v>
      </c>
      <c r="DC25" s="7" t="str">
        <f t="shared" ca="1" si="9"/>
        <v>05_002</v>
      </c>
      <c r="DD25" t="s">
        <v>4783</v>
      </c>
      <c r="DE25" t="s">
        <v>4783</v>
      </c>
      <c r="DF25" t="s">
        <v>4783</v>
      </c>
      <c r="DG25" t="s">
        <v>4834</v>
      </c>
      <c r="DH25" t="s">
        <v>4754</v>
      </c>
      <c r="DI25" t="s">
        <v>4755</v>
      </c>
      <c r="DJ25" t="s">
        <v>4755</v>
      </c>
      <c r="DK25" t="s">
        <v>4756</v>
      </c>
      <c r="DL25" t="s">
        <v>4756</v>
      </c>
      <c r="DM25" t="s">
        <v>4757</v>
      </c>
    </row>
    <row r="26" spans="4:117" ht="14.6">
      <c r="D26" s="6" t="str">
        <f t="shared" si="11"/>
        <v>家乡主力军-&gt;炸弹人</v>
      </c>
      <c r="E26" s="6" t="str">
        <f t="shared" si="12"/>
        <v>#'2.1家乡主力军'!P20:X32</v>
      </c>
      <c r="F26" s="6" t="s">
        <v>278</v>
      </c>
      <c r="G26" s="6" t="s">
        <v>5014</v>
      </c>
      <c r="H26" s="6" t="s">
        <v>4779</v>
      </c>
      <c r="I26" s="7" t="s">
        <v>4801</v>
      </c>
      <c r="J26" s="7" t="s">
        <v>5015</v>
      </c>
      <c r="K26" s="7" t="s">
        <v>5016</v>
      </c>
      <c r="L26" s="7" t="s">
        <v>4831</v>
      </c>
      <c r="M26" s="7" t="s">
        <v>4782</v>
      </c>
      <c r="N26" s="7" t="s">
        <v>4782</v>
      </c>
      <c r="O26" s="7" t="s">
        <v>4782</v>
      </c>
      <c r="P26" s="7" t="s">
        <v>4782</v>
      </c>
      <c r="Q26" s="7" t="s">
        <v>4782</v>
      </c>
      <c r="R26" s="7" t="s">
        <v>4782</v>
      </c>
      <c r="S26" s="7">
        <f t="array" ref="S26">SUM(IFERROR(IF(MATCH(I26:R26,$F$4:$Q$4,0)&gt;0,1,0),0))</f>
        <v>0</v>
      </c>
      <c r="T26" s="7">
        <f t="shared" ca="1" si="7"/>
        <v>37</v>
      </c>
      <c r="U26" s="7">
        <f ca="1">T26+COUNTIF(T$5:$T25,T26)</f>
        <v>56</v>
      </c>
      <c r="Y26" t="s">
        <v>89</v>
      </c>
      <c r="Z26" s="7" t="str">
        <f t="shared" ca="1" si="14"/>
        <v>05_001</v>
      </c>
      <c r="AA26" s="13" t="s">
        <v>4783</v>
      </c>
      <c r="AB26" s="13" t="s">
        <v>4783</v>
      </c>
      <c r="AC26" s="13" t="s">
        <v>4783</v>
      </c>
      <c r="AD26" s="13" t="s">
        <v>4783</v>
      </c>
      <c r="AE26" s="13" t="s">
        <v>4783</v>
      </c>
      <c r="AF26" s="13" t="s">
        <v>4783</v>
      </c>
      <c r="AG26" s="13" t="s">
        <v>4783</v>
      </c>
      <c r="AH26" s="13" t="s">
        <v>4783</v>
      </c>
      <c r="AI26" s="13" t="s">
        <v>4783</v>
      </c>
      <c r="AJ26" s="13" t="s">
        <v>4783</v>
      </c>
      <c r="AK26" s="13" t="s">
        <v>4783</v>
      </c>
      <c r="AL26" s="13" t="s">
        <v>5011</v>
      </c>
      <c r="AM26" s="13" t="s">
        <v>5011</v>
      </c>
      <c r="AN26" s="15" t="s">
        <v>4941</v>
      </c>
      <c r="AO26" s="18" t="s">
        <v>4941</v>
      </c>
      <c r="AQ26" s="20">
        <v>44461</v>
      </c>
      <c r="AR26">
        <v>6</v>
      </c>
      <c r="AS26" t="s">
        <v>5017</v>
      </c>
      <c r="AT26">
        <v>4000</v>
      </c>
      <c r="AU26" t="s">
        <v>5018</v>
      </c>
      <c r="AX26" s="28">
        <v>3000</v>
      </c>
      <c r="AY26" s="28" t="s">
        <v>4953</v>
      </c>
      <c r="AZ26" s="28" t="s">
        <v>4877</v>
      </c>
      <c r="BA26" s="28" t="s">
        <v>4673</v>
      </c>
      <c r="BB26" s="28">
        <v>20</v>
      </c>
      <c r="BF26" s="29"/>
      <c r="BG26" s="29" t="s">
        <v>5019</v>
      </c>
      <c r="BH26" s="29">
        <f>HLOOKUP('5.3小工具'!E64,BH16:BK17,2,0)*'5.3小工具'!D64</f>
        <v>608400</v>
      </c>
      <c r="BI26" s="29" t="s">
        <v>4773</v>
      </c>
      <c r="BJ26" s="36">
        <f>IF(MATCH(BH26,BH18:BL18,1)&gt;=4,4,MATCH(BH26,BH18:BL18,1))</f>
        <v>4</v>
      </c>
      <c r="BK26" s="29" t="s">
        <v>4774</v>
      </c>
      <c r="BL26" s="36" t="str">
        <f>LEFT('5.3小工具'!D63,1)</f>
        <v>1</v>
      </c>
      <c r="BM26" s="29"/>
      <c r="BN26" s="29"/>
      <c r="BQ26" s="37"/>
      <c r="BR26" s="37"/>
      <c r="BS26" s="37"/>
      <c r="BT26" s="37">
        <v>24</v>
      </c>
      <c r="BU26" s="37" t="b">
        <f>IF($BS$3="无",FALSE(),IF(LEFT('5.3小工具'!R31,4)=$BS$3,TRUE(),IF(AND($BS$3="免费",RIGHT('5.3小工具'!R31,2)=" 0"),TRUE(),FALSE())))</f>
        <v>0</v>
      </c>
      <c r="BV26" s="37" t="b">
        <f>IF($BS$3="无",FALSE(),IF(LEFT('5.3小工具'!T31,4)=$BS$3,TRUE(),IF(AND($BS$3="免费",RIGHT('5.3小工具'!T31,2)=" 0"),TRUE(),FALSE())))</f>
        <v>0</v>
      </c>
      <c r="BW26" s="37" t="b">
        <f>IF($BS$3="无",FALSE(),IF(LEFT('5.3小工具'!V31,4)=$BS$3,TRUE(),IF(AND($BS$3="免费",RIGHT('5.3小工具'!V31,2)=" 0"),TRUE(),FALSE())))</f>
        <v>0</v>
      </c>
      <c r="BX26" s="37"/>
      <c r="BY26" s="37" t="b">
        <f t="shared" si="0"/>
        <v>0</v>
      </c>
      <c r="BZ26" t="b">
        <f>AND(OR(LEFT('5.3小工具'!R31,4)='5.3小工具'!$Y$42,'5.3小工具'!$Y$42=""),OR(LEFT('5.3小工具'!T31,4)='5.3小工具'!$AA$42,'5.3小工具'!$AA$42=""),OR(LEFT('5.3小工具'!V31,4)='5.3小工具'!$AC$42,'5.3小工具'!$AC$42=""))</f>
        <v>1</v>
      </c>
      <c r="CD26" s="38">
        <v>22</v>
      </c>
      <c r="CE26" s="38">
        <f t="shared" si="8"/>
        <v>2.5273192682204622</v>
      </c>
      <c r="CF26" s="38">
        <f t="shared" si="13"/>
        <v>24.018190000000001</v>
      </c>
      <c r="CG26" s="38">
        <f t="shared" si="2"/>
        <v>23</v>
      </c>
      <c r="CH26" s="38"/>
      <c r="CP26" s="40">
        <v>374</v>
      </c>
      <c r="CQ26" s="41" t="s">
        <v>3236</v>
      </c>
      <c r="CR26" s="41" t="s">
        <v>5020</v>
      </c>
      <c r="CS26" s="41">
        <v>300</v>
      </c>
      <c r="CT26" s="41">
        <v>8</v>
      </c>
      <c r="CU26" s="41">
        <v>100</v>
      </c>
      <c r="CV26" s="41">
        <v>10</v>
      </c>
      <c r="CW26" s="40"/>
      <c r="CX26" s="41" t="s">
        <v>4716</v>
      </c>
      <c r="CY26" s="40" t="s">
        <v>4717</v>
      </c>
      <c r="DB26" t="s">
        <v>182</v>
      </c>
      <c r="DC26" s="7" t="str">
        <f t="shared" ca="1" si="9"/>
        <v>05_002</v>
      </c>
      <c r="DD26" t="s">
        <v>4783</v>
      </c>
      <c r="DE26" t="s">
        <v>4783</v>
      </c>
      <c r="DF26" t="s">
        <v>4783</v>
      </c>
      <c r="DG26" t="s">
        <v>4783</v>
      </c>
      <c r="DH26" t="s">
        <v>4834</v>
      </c>
      <c r="DI26" t="s">
        <v>4784</v>
      </c>
      <c r="DJ26" t="s">
        <v>4755</v>
      </c>
      <c r="DK26" t="s">
        <v>4756</v>
      </c>
      <c r="DL26" t="s">
        <v>4756</v>
      </c>
      <c r="DM26" t="s">
        <v>4757</v>
      </c>
    </row>
    <row r="27" spans="4:117" ht="14.6">
      <c r="D27" s="6" t="str">
        <f t="shared" si="11"/>
        <v>家乡主力军-&gt;气球兵</v>
      </c>
      <c r="E27" s="6" t="str">
        <f t="shared" si="12"/>
        <v>#'2.1家乡主力军'!Z18:AH29</v>
      </c>
      <c r="F27" s="6" t="s">
        <v>286</v>
      </c>
      <c r="G27" s="6" t="s">
        <v>5021</v>
      </c>
      <c r="H27" s="6" t="s">
        <v>4779</v>
      </c>
      <c r="I27" s="7" t="s">
        <v>4801</v>
      </c>
      <c r="J27" s="7" t="s">
        <v>5022</v>
      </c>
      <c r="K27" s="7" t="s">
        <v>5023</v>
      </c>
      <c r="L27" s="7" t="s">
        <v>5024</v>
      </c>
      <c r="M27" s="7" t="s">
        <v>4782</v>
      </c>
      <c r="N27" s="7" t="s">
        <v>4782</v>
      </c>
      <c r="O27" s="7" t="s">
        <v>4782</v>
      </c>
      <c r="P27" s="7" t="s">
        <v>4782</v>
      </c>
      <c r="Q27" s="7" t="s">
        <v>4782</v>
      </c>
      <c r="R27" s="7" t="s">
        <v>4782</v>
      </c>
      <c r="S27" s="7">
        <f t="array" ref="S27">SUM(IFERROR(IF(MATCH(I27:R27,$F$4:$Q$4,0)&gt;0,1,0),0))</f>
        <v>0</v>
      </c>
      <c r="T27" s="7">
        <f t="shared" ca="1" si="7"/>
        <v>37</v>
      </c>
      <c r="U27" s="7">
        <f ca="1">T27+COUNTIF(T$5:$T26,T27)</f>
        <v>57</v>
      </c>
      <c r="Y27" t="s">
        <v>5025</v>
      </c>
      <c r="Z27" s="7" t="str">
        <f t="shared" ca="1" si="14"/>
        <v>05_001</v>
      </c>
      <c r="AA27" s="13" t="s">
        <v>4783</v>
      </c>
      <c r="AB27" s="13" t="s">
        <v>4783</v>
      </c>
      <c r="AC27" s="13" t="s">
        <v>4783</v>
      </c>
      <c r="AD27" s="13" t="s">
        <v>4783</v>
      </c>
      <c r="AE27" s="13" t="s">
        <v>4783</v>
      </c>
      <c r="AF27" s="13" t="s">
        <v>4783</v>
      </c>
      <c r="AG27" s="13" t="s">
        <v>4783</v>
      </c>
      <c r="AH27" s="13" t="s">
        <v>4783</v>
      </c>
      <c r="AI27" s="13" t="s">
        <v>4783</v>
      </c>
      <c r="AJ27" s="13" t="s">
        <v>4783</v>
      </c>
      <c r="AK27" s="13" t="s">
        <v>4783</v>
      </c>
      <c r="AL27" s="13" t="s">
        <v>4783</v>
      </c>
      <c r="AM27" s="13" t="s">
        <v>5011</v>
      </c>
      <c r="AN27" s="13" t="s">
        <v>5011</v>
      </c>
      <c r="AO27" s="15" t="s">
        <v>4941</v>
      </c>
      <c r="AQ27" s="20">
        <v>44430</v>
      </c>
      <c r="AR27">
        <v>6</v>
      </c>
      <c r="AS27" t="s">
        <v>5017</v>
      </c>
      <c r="AT27">
        <v>5000</v>
      </c>
      <c r="AU27" t="s">
        <v>5026</v>
      </c>
      <c r="AX27" s="28">
        <v>7500</v>
      </c>
      <c r="AY27" s="28" t="s">
        <v>4712</v>
      </c>
      <c r="AZ27" s="28" t="s">
        <v>4713</v>
      </c>
      <c r="BA27" s="28" t="s">
        <v>4771</v>
      </c>
      <c r="BB27" s="28">
        <v>40</v>
      </c>
      <c r="BF27" s="29"/>
      <c r="BG27" s="29" t="s">
        <v>4796</v>
      </c>
      <c r="BH27" s="29">
        <f ca="1">(OFFSET(BG18,BL26,BH29+1)-OFFSET(BG18,BL26,BH29))/(BI18-BH18)</f>
        <v>1.6666666666666666E-2</v>
      </c>
      <c r="BI27" s="29">
        <f ca="1">(OFFSET(BG18,BL26,BI29+1)-OFFSET(BG18,BL26,BI29))/(BJ18-BI18)</f>
        <v>5.3672316384180789E-3</v>
      </c>
      <c r="BJ27" s="29">
        <f ca="1">(OFFSET(BG18,BL26,BJ29+1)-OFFSET(BG18,BL26,BJ29))/(BK18-BJ18)</f>
        <v>2.8985507246376812E-3</v>
      </c>
      <c r="BK27" s="29">
        <f ca="1">(OFFSET(BG18,BL26,BK29+1)-OFFSET(BG18,BL26,BK29))/(BL18-BK18)</f>
        <v>1.4274691358024691E-3</v>
      </c>
      <c r="BL27" s="29"/>
      <c r="BM27" s="29"/>
      <c r="BN27" s="29"/>
      <c r="BQ27" s="37"/>
      <c r="BR27" s="37"/>
      <c r="BS27" s="37"/>
      <c r="BT27" s="37">
        <v>25</v>
      </c>
      <c r="BU27" s="37" t="b">
        <f>IF($BS$3="无",FALSE(),IF(LEFT('5.3小工具'!R32,4)=$BS$3,TRUE(),IF(AND($BS$3="免费",RIGHT('5.3小工具'!R32,2)=" 0"),TRUE(),FALSE())))</f>
        <v>0</v>
      </c>
      <c r="BV27" s="37" t="b">
        <f>IF($BS$3="无",FALSE(),IF(LEFT('5.3小工具'!T32,4)=$BS$3,TRUE(),IF(AND($BS$3="免费",RIGHT('5.3小工具'!T32,2)=" 0"),TRUE(),FALSE())))</f>
        <v>0</v>
      </c>
      <c r="BW27" s="37" t="b">
        <f>IF($BS$3="无",FALSE(),IF(LEFT('5.3小工具'!V32,4)=$BS$3,TRUE(),IF(AND($BS$3="免费",RIGHT('5.3小工具'!V32,2)=" 0"),TRUE(),FALSE())))</f>
        <v>0</v>
      </c>
      <c r="BX27" s="37"/>
      <c r="BY27" s="37" t="b">
        <f t="shared" si="0"/>
        <v>0</v>
      </c>
      <c r="BZ27" t="b">
        <f>AND(OR(LEFT('5.3小工具'!R32,4)='5.3小工具'!$Y$42,'5.3小工具'!$Y$42=""),OR(LEFT('5.3小工具'!T32,4)='5.3小工具'!$AA$42,'5.3小工具'!$AA$42=""),OR(LEFT('5.3小工具'!V32,4)='5.3小工具'!$AC$42,'5.3小工具'!$AC$42=""))</f>
        <v>1</v>
      </c>
      <c r="CD27" s="38">
        <v>23</v>
      </c>
      <c r="CE27" s="38">
        <f t="shared" si="8"/>
        <v>2.5495414904426843</v>
      </c>
      <c r="CF27" s="38">
        <f t="shared" si="13"/>
        <v>25.01174</v>
      </c>
      <c r="CG27" s="38">
        <f t="shared" si="2"/>
        <v>24</v>
      </c>
      <c r="CH27" s="38"/>
      <c r="CP27" s="40">
        <v>375</v>
      </c>
      <c r="CQ27" s="41" t="s">
        <v>3236</v>
      </c>
      <c r="CR27" s="41" t="s">
        <v>5027</v>
      </c>
      <c r="CS27" s="41">
        <v>600</v>
      </c>
      <c r="CT27" s="41">
        <v>24</v>
      </c>
      <c r="CU27" s="41">
        <v>50</v>
      </c>
      <c r="CV27" s="41">
        <v>15</v>
      </c>
      <c r="CW27" s="40"/>
      <c r="CX27" s="41" t="s">
        <v>4716</v>
      </c>
      <c r="CY27" s="40" t="s">
        <v>3104</v>
      </c>
      <c r="DB27" t="s">
        <v>186</v>
      </c>
      <c r="DC27" s="7" t="str">
        <f t="shared" ca="1" si="9"/>
        <v>05_002</v>
      </c>
      <c r="DD27" t="s">
        <v>4783</v>
      </c>
      <c r="DE27" t="s">
        <v>4783</v>
      </c>
      <c r="DF27" t="s">
        <v>4783</v>
      </c>
      <c r="DG27" t="s">
        <v>4783</v>
      </c>
      <c r="DH27" t="s">
        <v>4834</v>
      </c>
      <c r="DI27" t="s">
        <v>4784</v>
      </c>
      <c r="DJ27" t="s">
        <v>4785</v>
      </c>
      <c r="DK27" t="s">
        <v>4756</v>
      </c>
      <c r="DL27" t="s">
        <v>4756</v>
      </c>
      <c r="DM27" t="s">
        <v>4757</v>
      </c>
    </row>
    <row r="28" spans="4:117" ht="14.6">
      <c r="D28" s="6" t="str">
        <f t="shared" si="11"/>
        <v>家乡主力军-&gt;熔岩猎犬</v>
      </c>
      <c r="E28" s="6" t="str">
        <f t="shared" si="12"/>
        <v>#'2.1家乡主力军'!Z98:AI108</v>
      </c>
      <c r="F28" s="6" t="s">
        <v>521</v>
      </c>
      <c r="G28" s="6" t="s">
        <v>5028</v>
      </c>
      <c r="H28" s="6" t="s">
        <v>4779</v>
      </c>
      <c r="I28" s="7" t="s">
        <v>4801</v>
      </c>
      <c r="J28" s="7" t="s">
        <v>5029</v>
      </c>
      <c r="K28" s="7" t="s">
        <v>5030</v>
      </c>
      <c r="L28" s="7" t="s">
        <v>5031</v>
      </c>
      <c r="M28" s="7" t="s">
        <v>5032</v>
      </c>
      <c r="N28" s="7" t="s">
        <v>2760</v>
      </c>
      <c r="O28" s="7" t="s">
        <v>2042</v>
      </c>
      <c r="P28" s="7" t="s">
        <v>5033</v>
      </c>
      <c r="Q28" s="7" t="s">
        <v>2044</v>
      </c>
      <c r="R28" s="7" t="s">
        <v>4782</v>
      </c>
      <c r="S28" s="7">
        <f t="array" ref="S28">SUM(IFERROR(IF(MATCH(I28:R28,$F$4:$Q$4,0)&gt;0,1,0),0))</f>
        <v>0</v>
      </c>
      <c r="T28" s="7">
        <f t="shared" ca="1" si="7"/>
        <v>37</v>
      </c>
      <c r="U28" s="7">
        <f ca="1">T28+COUNTIF(T$5:$T27,T28)</f>
        <v>58</v>
      </c>
      <c r="AQ28" s="20">
        <v>44399</v>
      </c>
      <c r="AR28">
        <v>6</v>
      </c>
      <c r="AS28" t="s">
        <v>5017</v>
      </c>
      <c r="AT28">
        <v>4000</v>
      </c>
      <c r="AU28" t="s">
        <v>5034</v>
      </c>
      <c r="AX28" s="28">
        <v>12000</v>
      </c>
      <c r="AY28" s="28" t="s">
        <v>4823</v>
      </c>
      <c r="AZ28" s="28" t="s">
        <v>4737</v>
      </c>
      <c r="BA28" s="28" t="s">
        <v>4844</v>
      </c>
      <c r="BB28" s="28">
        <v>60</v>
      </c>
      <c r="BF28" s="29"/>
      <c r="BG28" s="29" t="s">
        <v>4825</v>
      </c>
      <c r="BH28" s="29">
        <f ca="1">OFFSET(BG18,BL26,BH29)-BH27*BH18</f>
        <v>0</v>
      </c>
      <c r="BI28" s="29">
        <f ca="1">OFFSET(BG18,BL26,BI29)-BI27*BI18</f>
        <v>0.67796610169491522</v>
      </c>
      <c r="BJ28" s="29">
        <f ca="1">OFFSET(BG18,BL26,BJ29)-BJ27*BJ18</f>
        <v>9.5652173913043477</v>
      </c>
      <c r="BK28" s="29">
        <f ca="1">OFFSET(BG18,BL26,BK29)-BK27*BK18</f>
        <v>136.66666666666669</v>
      </c>
      <c r="BL28" s="29"/>
      <c r="BM28" s="29"/>
      <c r="BN28" s="29"/>
      <c r="BQ28" s="37"/>
      <c r="BR28" s="37"/>
      <c r="BS28" s="37"/>
      <c r="BT28" s="37">
        <v>26</v>
      </c>
      <c r="BU28" s="37" t="b">
        <f>IF($BS$3="无",FALSE(),IF(LEFT('5.3小工具'!R33,4)=$BS$3,TRUE(),IF(AND($BS$3="免费",RIGHT('5.3小工具'!R33,2)=" 0"),TRUE(),FALSE())))</f>
        <v>0</v>
      </c>
      <c r="BV28" s="37" t="b">
        <f>IF($BS$3="无",FALSE(),IF(LEFT('5.3小工具'!T33,4)=$BS$3,TRUE(),IF(AND($BS$3="免费",RIGHT('5.3小工具'!T33,2)=" 0"),TRUE(),FALSE())))</f>
        <v>0</v>
      </c>
      <c r="BW28" s="37" t="b">
        <f>IF($BS$3="无",FALSE(),IF(LEFT('5.3小工具'!V33,4)=$BS$3,TRUE(),IF(AND($BS$3="免费",RIGHT('5.3小工具'!V33,2)=" 0"),TRUE(),FALSE())))</f>
        <v>0</v>
      </c>
      <c r="BX28" s="37"/>
      <c r="BY28" s="37" t="b">
        <f t="shared" si="0"/>
        <v>0</v>
      </c>
      <c r="BZ28" t="b">
        <f>AND(OR(LEFT('5.3小工具'!R33,4)='5.3小工具'!$Y$42,'5.3小工具'!$Y$42=""),OR(LEFT('5.3小工具'!T33,4)='5.3小工具'!$AA$42,'5.3小工具'!$AA$42=""),OR(LEFT('5.3小工具'!V33,4)='5.3小工具'!$AC$42,'5.3小工具'!$AC$42=""))</f>
        <v>1</v>
      </c>
      <c r="CD28" s="38">
        <v>24</v>
      </c>
      <c r="CE28" s="38">
        <f t="shared" si="8"/>
        <v>2.5708180861873653</v>
      </c>
      <c r="CF28" s="38">
        <f t="shared" si="13"/>
        <v>26.005569999999999</v>
      </c>
      <c r="CG28" s="38">
        <f t="shared" si="2"/>
        <v>25</v>
      </c>
      <c r="CH28" s="38"/>
      <c r="CP28" s="40">
        <v>376</v>
      </c>
      <c r="CQ28" s="41" t="s">
        <v>3241</v>
      </c>
      <c r="CR28" s="41" t="s">
        <v>5035</v>
      </c>
      <c r="CS28" s="41">
        <v>200</v>
      </c>
      <c r="CT28" s="41">
        <v>3</v>
      </c>
      <c r="CU28" s="41">
        <v>150</v>
      </c>
      <c r="CV28" s="41">
        <v>5</v>
      </c>
      <c r="CW28" s="40"/>
      <c r="CX28" s="41" t="s">
        <v>4716</v>
      </c>
      <c r="CY28" s="40" t="s">
        <v>4717</v>
      </c>
      <c r="DB28" t="s">
        <v>59</v>
      </c>
      <c r="DC28" s="7" t="str">
        <f t="shared" ca="1" si="9"/>
        <v>05_002</v>
      </c>
      <c r="DD28" t="s">
        <v>4783</v>
      </c>
      <c r="DE28" t="s">
        <v>4783</v>
      </c>
      <c r="DF28" t="s">
        <v>4783</v>
      </c>
      <c r="DG28" t="s">
        <v>4783</v>
      </c>
      <c r="DH28" t="s">
        <v>4783</v>
      </c>
      <c r="DI28" t="s">
        <v>4834</v>
      </c>
      <c r="DJ28" t="s">
        <v>4784</v>
      </c>
      <c r="DK28" t="s">
        <v>4785</v>
      </c>
      <c r="DL28" t="s">
        <v>4756</v>
      </c>
      <c r="DM28" t="s">
        <v>4757</v>
      </c>
    </row>
    <row r="29" spans="4:117" ht="14.6">
      <c r="D29" s="6" t="str">
        <f t="shared" si="11"/>
        <v>家乡主力军-&gt;法师</v>
      </c>
      <c r="E29" s="6" t="str">
        <f t="shared" si="12"/>
        <v>#'2.1家乡主力军'!F31:M43</v>
      </c>
      <c r="F29" s="6" t="s">
        <v>291</v>
      </c>
      <c r="G29" s="6" t="s">
        <v>5036</v>
      </c>
      <c r="H29" s="6" t="s">
        <v>4779</v>
      </c>
      <c r="I29" s="7" t="s">
        <v>4801</v>
      </c>
      <c r="J29" s="7" t="s">
        <v>5037</v>
      </c>
      <c r="K29" s="7" t="s">
        <v>5038</v>
      </c>
      <c r="L29" s="7" t="s">
        <v>4782</v>
      </c>
      <c r="M29" s="7" t="s">
        <v>4782</v>
      </c>
      <c r="N29" s="7" t="s">
        <v>4782</v>
      </c>
      <c r="O29" s="7" t="s">
        <v>4782</v>
      </c>
      <c r="P29" s="7" t="s">
        <v>4782</v>
      </c>
      <c r="Q29" s="7" t="s">
        <v>4782</v>
      </c>
      <c r="R29" s="7" t="s">
        <v>4782</v>
      </c>
      <c r="S29" s="7">
        <f t="array" ref="S29">SUM(IFERROR(IF(MATCH(I29:R29,$F$4:$Q$4,0)&gt;0,1,0),0))</f>
        <v>0</v>
      </c>
      <c r="T29" s="7">
        <f t="shared" ca="1" si="7"/>
        <v>37</v>
      </c>
      <c r="U29" s="7">
        <f ca="1">T29+COUNTIF(T$5:$T28,T29)</f>
        <v>59</v>
      </c>
      <c r="Y29" s="12" t="s">
        <v>103</v>
      </c>
      <c r="Z29" s="7" t="str">
        <f t="shared" ref="Z29:Z35" ca="1" si="16">OFFSET(AA29,0,$Z$5-1)</f>
        <v>11_008</v>
      </c>
      <c r="AA29" t="s">
        <v>4783</v>
      </c>
      <c r="AB29" t="s">
        <v>4783</v>
      </c>
      <c r="AC29" t="s">
        <v>4754</v>
      </c>
      <c r="AD29" t="s">
        <v>4754</v>
      </c>
      <c r="AE29" t="s">
        <v>4897</v>
      </c>
      <c r="AF29" t="s">
        <v>4897</v>
      </c>
      <c r="AG29" t="s">
        <v>4899</v>
      </c>
      <c r="AH29" t="s">
        <v>4900</v>
      </c>
      <c r="AI29" t="s">
        <v>5039</v>
      </c>
      <c r="AJ29" t="s">
        <v>5040</v>
      </c>
      <c r="AK29" t="s">
        <v>5041</v>
      </c>
      <c r="AL29" s="13" t="s">
        <v>5041</v>
      </c>
      <c r="AM29" s="15" t="s">
        <v>5042</v>
      </c>
      <c r="AN29" s="15" t="s">
        <v>5043</v>
      </c>
      <c r="AO29" s="21" t="s">
        <v>5044</v>
      </c>
      <c r="AQ29" s="20">
        <v>44369</v>
      </c>
      <c r="AR29">
        <v>6</v>
      </c>
      <c r="AS29" t="s">
        <v>5017</v>
      </c>
      <c r="AT29">
        <v>4000</v>
      </c>
      <c r="AU29" t="s">
        <v>5045</v>
      </c>
      <c r="AX29" s="28">
        <v>18000</v>
      </c>
      <c r="AY29" s="28" t="s">
        <v>4934</v>
      </c>
      <c r="AZ29" s="28" t="s">
        <v>4855</v>
      </c>
      <c r="BA29" s="28" t="s">
        <v>4974</v>
      </c>
      <c r="BB29" s="28">
        <v>80</v>
      </c>
      <c r="BF29" s="29"/>
      <c r="BG29" s="29" t="s">
        <v>4846</v>
      </c>
      <c r="BH29" s="29">
        <v>1</v>
      </c>
      <c r="BI29" s="29">
        <v>2</v>
      </c>
      <c r="BJ29" s="29">
        <v>3</v>
      </c>
      <c r="BK29" s="29">
        <v>4</v>
      </c>
      <c r="BL29" s="29"/>
      <c r="BM29" s="29"/>
      <c r="BN29" s="29"/>
      <c r="BQ29" s="37"/>
      <c r="BR29" s="37"/>
      <c r="BS29" s="37"/>
      <c r="BT29" s="37">
        <v>27</v>
      </c>
      <c r="BU29" s="37" t="b">
        <f>IF($BS$3="无",FALSE(),IF(LEFT('5.3小工具'!R34,4)=$BS$3,TRUE(),IF(AND($BS$3="免费",RIGHT('5.3小工具'!R34,2)=" 0"),TRUE(),FALSE())))</f>
        <v>0</v>
      </c>
      <c r="BV29" s="37" t="b">
        <f>IF($BS$3="无",FALSE(),IF(LEFT('5.3小工具'!T34,4)=$BS$3,TRUE(),IF(AND($BS$3="免费",RIGHT('5.3小工具'!T34,2)=" 0"),TRUE(),FALSE())))</f>
        <v>0</v>
      </c>
      <c r="BW29" s="37" t="b">
        <f>IF($BS$3="无",FALSE(),IF(LEFT('5.3小工具'!V34,4)=$BS$3,TRUE(),IF(AND($BS$3="免费",RIGHT('5.3小工具'!V34,2)=" 0"),TRUE(),FALSE())))</f>
        <v>0</v>
      </c>
      <c r="BX29" s="37"/>
      <c r="BY29" s="37" t="b">
        <f t="shared" si="0"/>
        <v>0</v>
      </c>
      <c r="BZ29" t="b">
        <f>AND(OR(LEFT('5.3小工具'!R34,4)='5.3小工具'!$Y$42,'5.3小工具'!$Y$42=""),OR(LEFT('5.3小工具'!T34,4)='5.3小工具'!$AA$42,'5.3小工具'!$AA$42=""),OR(LEFT('5.3小工具'!V34,4)='5.3小工具'!$AC$42,'5.3小工具'!$AC$42=""))</f>
        <v>1</v>
      </c>
      <c r="CD29" s="38">
        <v>25</v>
      </c>
      <c r="CE29" s="38">
        <f t="shared" si="8"/>
        <v>2.5912262494526712</v>
      </c>
      <c r="CF29" s="38">
        <f t="shared" si="13"/>
        <v>26.248539999999998</v>
      </c>
      <c r="CG29" s="38">
        <f t="shared" si="2"/>
        <v>26</v>
      </c>
      <c r="CH29" s="38"/>
      <c r="CP29" s="40">
        <v>377</v>
      </c>
      <c r="CQ29" s="41" t="s">
        <v>3241</v>
      </c>
      <c r="CR29" s="41" t="s">
        <v>5046</v>
      </c>
      <c r="CS29" s="41">
        <v>400</v>
      </c>
      <c r="CT29" s="41">
        <v>8</v>
      </c>
      <c r="CU29" s="41">
        <v>100</v>
      </c>
      <c r="CV29" s="41">
        <v>10</v>
      </c>
      <c r="CW29" s="40"/>
      <c r="CX29" s="41" t="s">
        <v>4716</v>
      </c>
      <c r="CY29" s="40" t="s">
        <v>4717</v>
      </c>
      <c r="DB29" t="s">
        <v>183</v>
      </c>
      <c r="DC29" s="7" t="str">
        <f t="shared" ca="1" si="9"/>
        <v>05_002</v>
      </c>
      <c r="DD29" t="s">
        <v>4783</v>
      </c>
      <c r="DE29" t="s">
        <v>4783</v>
      </c>
      <c r="DF29" t="s">
        <v>4783</v>
      </c>
      <c r="DG29" t="s">
        <v>4783</v>
      </c>
      <c r="DH29" t="s">
        <v>4783</v>
      </c>
      <c r="DI29" t="s">
        <v>4834</v>
      </c>
      <c r="DJ29" t="s">
        <v>4784</v>
      </c>
      <c r="DK29" t="s">
        <v>4785</v>
      </c>
      <c r="DL29" t="s">
        <v>4873</v>
      </c>
      <c r="DM29" t="s">
        <v>4757</v>
      </c>
    </row>
    <row r="30" spans="4:117" ht="14.6">
      <c r="D30" s="6" t="str">
        <f t="shared" si="11"/>
        <v>家乡主力军-&gt;巨石投手</v>
      </c>
      <c r="E30" s="6" t="str">
        <f t="shared" si="12"/>
        <v>#'2.1家乡主力军'!F127:M137</v>
      </c>
      <c r="F30" s="6" t="s">
        <v>522</v>
      </c>
      <c r="G30" s="6" t="s">
        <v>5047</v>
      </c>
      <c r="H30" s="6" t="s">
        <v>4779</v>
      </c>
      <c r="I30" s="7" t="s">
        <v>4801</v>
      </c>
      <c r="J30" s="7" t="s">
        <v>4927</v>
      </c>
      <c r="K30" s="7" t="s">
        <v>4981</v>
      </c>
      <c r="L30" s="7" t="s">
        <v>5048</v>
      </c>
      <c r="M30" s="7" t="s">
        <v>4890</v>
      </c>
      <c r="N30" s="7" t="s">
        <v>5049</v>
      </c>
      <c r="O30" s="7" t="s">
        <v>4928</v>
      </c>
      <c r="P30" s="7" t="s">
        <v>4782</v>
      </c>
      <c r="Q30" s="7" t="s">
        <v>4782</v>
      </c>
      <c r="R30" s="7" t="s">
        <v>4782</v>
      </c>
      <c r="S30" s="7">
        <f t="array" ref="S30">SUM(IFERROR(IF(MATCH(I30:R30,$F$4:$Q$4,0)&gt;0,1,0),0))</f>
        <v>0</v>
      </c>
      <c r="T30" s="7">
        <f t="shared" ca="1" si="7"/>
        <v>37</v>
      </c>
      <c r="U30" s="7">
        <f ca="1">T30+COUNTIF(T$5:$T29,T30)</f>
        <v>60</v>
      </c>
      <c r="Y30" s="12" t="s">
        <v>107</v>
      </c>
      <c r="Z30" s="7" t="str">
        <f t="shared" ca="1" si="16"/>
        <v>10_007</v>
      </c>
      <c r="AA30" t="s">
        <v>4783</v>
      </c>
      <c r="AB30" t="s">
        <v>4783</v>
      </c>
      <c r="AC30" t="s">
        <v>4783</v>
      </c>
      <c r="AD30" t="s">
        <v>4783</v>
      </c>
      <c r="AE30" t="s">
        <v>4754</v>
      </c>
      <c r="AF30" t="s">
        <v>4754</v>
      </c>
      <c r="AG30" t="s">
        <v>4755</v>
      </c>
      <c r="AH30" t="s">
        <v>4897</v>
      </c>
      <c r="AI30" t="s">
        <v>5050</v>
      </c>
      <c r="AJ30" t="s">
        <v>4898</v>
      </c>
      <c r="AK30" t="s">
        <v>5051</v>
      </c>
      <c r="AL30" t="s">
        <v>5039</v>
      </c>
      <c r="AM30" s="16" t="s">
        <v>5041</v>
      </c>
      <c r="AN30" s="16" t="s">
        <v>5042</v>
      </c>
      <c r="AO30" s="17" t="s">
        <v>5052</v>
      </c>
      <c r="AQ30" s="20">
        <v>44338</v>
      </c>
      <c r="AR30">
        <v>6</v>
      </c>
      <c r="AS30" t="s">
        <v>5017</v>
      </c>
      <c r="AT30">
        <v>4000</v>
      </c>
      <c r="AU30" t="s">
        <v>5053</v>
      </c>
      <c r="AX30" s="28">
        <v>30000</v>
      </c>
      <c r="AY30" s="28" t="s">
        <v>4865</v>
      </c>
      <c r="AZ30" s="28" t="s">
        <v>4945</v>
      </c>
      <c r="BA30" s="28" t="s">
        <v>5004</v>
      </c>
      <c r="BB30" s="28">
        <v>100</v>
      </c>
      <c r="BF30" s="29"/>
      <c r="BG30" s="29" t="s">
        <v>4856</v>
      </c>
      <c r="BH30" s="29">
        <f ca="1">INT(BH26*OFFSET(BG27,0,BJ26)+OFFSET(BG28,0,BJ26)+0.99)</f>
        <v>1006</v>
      </c>
      <c r="BI30" s="29"/>
      <c r="BJ30" s="29"/>
      <c r="BK30" s="29"/>
      <c r="BL30" s="29"/>
      <c r="BM30" s="29"/>
      <c r="BN30" s="29"/>
      <c r="BQ30" s="37"/>
      <c r="BR30" s="37"/>
      <c r="BS30" s="37"/>
      <c r="BT30" s="37">
        <v>28</v>
      </c>
      <c r="BU30" s="37" t="b">
        <f>IF($BS$3="无",FALSE(),IF(LEFT('5.3小工具'!R35,4)=$BS$3,TRUE(),IF(AND($BS$3="免费",RIGHT('5.3小工具'!R35,2)=" 0"),TRUE(),FALSE())))</f>
        <v>0</v>
      </c>
      <c r="BV30" s="37" t="b">
        <f>IF($BS$3="无",FALSE(),IF(LEFT('5.3小工具'!T35,4)=$BS$3,TRUE(),IF(AND($BS$3="免费",RIGHT('5.3小工具'!T35,2)=" 0"),TRUE(),FALSE())))</f>
        <v>0</v>
      </c>
      <c r="BW30" s="37" t="b">
        <f>IF($BS$3="无",FALSE(),IF(LEFT('5.3小工具'!V35,4)=$BS$3,TRUE(),IF(AND($BS$3="免费",RIGHT('5.3小工具'!V35,2)=" 0"),TRUE(),FALSE())))</f>
        <v>0</v>
      </c>
      <c r="BX30" s="37"/>
      <c r="BY30" s="37" t="b">
        <f t="shared" si="0"/>
        <v>0</v>
      </c>
      <c r="BZ30" t="b">
        <f>AND(OR(LEFT('5.3小工具'!R35,4)='5.3小工具'!$Y$42,'5.3小工具'!$Y$42=""),OR(LEFT('5.3小工具'!T35,4)='5.3小工具'!$AA$42,'5.3小工具'!$AA$42=""),OR(LEFT('5.3小工具'!V35,4)='5.3小工具'!$AC$42,'5.3小工具'!$AC$42=""))</f>
        <v>1</v>
      </c>
      <c r="CD30" s="38">
        <v>26</v>
      </c>
      <c r="CE30" s="38">
        <f t="shared" si="8"/>
        <v>2.610834092589926</v>
      </c>
      <c r="CF30" s="38">
        <f t="shared" si="13"/>
        <v>27.24286</v>
      </c>
      <c r="CG30" s="38">
        <f t="shared" si="2"/>
        <v>27</v>
      </c>
      <c r="CH30" s="38"/>
      <c r="CP30" s="40">
        <v>378</v>
      </c>
      <c r="CQ30" s="41" t="s">
        <v>3241</v>
      </c>
      <c r="CR30" s="41" t="s">
        <v>5054</v>
      </c>
      <c r="CS30" s="41">
        <v>800</v>
      </c>
      <c r="CT30" s="41">
        <v>24</v>
      </c>
      <c r="CU30" s="41">
        <v>50</v>
      </c>
      <c r="CV30" s="41">
        <v>15</v>
      </c>
      <c r="CW30" s="40"/>
      <c r="CX30" s="41" t="s">
        <v>4716</v>
      </c>
      <c r="CY30" s="40" t="s">
        <v>3104</v>
      </c>
      <c r="DB30" t="s">
        <v>188</v>
      </c>
      <c r="DC30" s="7" t="str">
        <f t="shared" ca="1" si="9"/>
        <v>05_001</v>
      </c>
      <c r="DD30" t="s">
        <v>4783</v>
      </c>
      <c r="DE30" t="s">
        <v>4783</v>
      </c>
      <c r="DF30" t="s">
        <v>4783</v>
      </c>
      <c r="DG30" t="s">
        <v>4783</v>
      </c>
      <c r="DH30" t="s">
        <v>4783</v>
      </c>
      <c r="DI30" t="s">
        <v>4783</v>
      </c>
      <c r="DJ30" t="s">
        <v>4783</v>
      </c>
      <c r="DK30" t="s">
        <v>4785</v>
      </c>
      <c r="DL30" t="s">
        <v>4873</v>
      </c>
      <c r="DM30" t="s">
        <v>4941</v>
      </c>
    </row>
    <row r="31" spans="4:117" ht="14.6">
      <c r="D31" s="6" t="str">
        <f t="shared" si="11"/>
        <v>家乡主力军-&gt;戈仑冰人</v>
      </c>
      <c r="E31" s="6" t="str">
        <f t="shared" si="12"/>
        <v>#'2.1家乡主力军'!P127:X137</v>
      </c>
      <c r="F31" s="6" t="s">
        <v>524</v>
      </c>
      <c r="G31" s="6" t="s">
        <v>5055</v>
      </c>
      <c r="H31" s="6" t="s">
        <v>4779</v>
      </c>
      <c r="I31" s="7" t="s">
        <v>4801</v>
      </c>
      <c r="J31" s="7" t="s">
        <v>4979</v>
      </c>
      <c r="K31" s="7" t="s">
        <v>4980</v>
      </c>
      <c r="L31" s="7" t="s">
        <v>5056</v>
      </c>
      <c r="M31" s="7" t="s">
        <v>4831</v>
      </c>
      <c r="N31" s="7" t="s">
        <v>5057</v>
      </c>
      <c r="O31" s="7" t="s">
        <v>4782</v>
      </c>
      <c r="P31" s="7" t="s">
        <v>4782</v>
      </c>
      <c r="Q31" s="7" t="s">
        <v>4782</v>
      </c>
      <c r="R31" s="7" t="s">
        <v>4782</v>
      </c>
      <c r="S31" s="7">
        <f t="array" ref="S31">SUM(IFERROR(IF(MATCH(I31:R31,$F$4:$Q$4,0)&gt;0,1,0),0))</f>
        <v>0</v>
      </c>
      <c r="T31" s="7">
        <f t="shared" ca="1" si="7"/>
        <v>37</v>
      </c>
      <c r="U31" s="7">
        <f ca="1">T31+COUNTIF(T$5:$T30,T31)</f>
        <v>61</v>
      </c>
      <c r="Y31" s="12" t="s">
        <v>112</v>
      </c>
      <c r="Z31" s="7" t="str">
        <f t="shared" ca="1" si="16"/>
        <v>04_008</v>
      </c>
      <c r="AA31" t="s">
        <v>4783</v>
      </c>
      <c r="AB31" t="s">
        <v>4783</v>
      </c>
      <c r="AC31" t="s">
        <v>4783</v>
      </c>
      <c r="AD31" t="s">
        <v>4783</v>
      </c>
      <c r="AE31" t="s">
        <v>4783</v>
      </c>
      <c r="AF31" t="s">
        <v>4783</v>
      </c>
      <c r="AG31" s="13" t="s">
        <v>4834</v>
      </c>
      <c r="AH31" s="13" t="s">
        <v>4989</v>
      </c>
      <c r="AI31" t="s">
        <v>4896</v>
      </c>
      <c r="AJ31" t="s">
        <v>5058</v>
      </c>
      <c r="AK31" t="s">
        <v>5058</v>
      </c>
      <c r="AL31" t="s">
        <v>4990</v>
      </c>
      <c r="AM31" s="15" t="s">
        <v>5059</v>
      </c>
      <c r="AN31" s="15" t="s">
        <v>5060</v>
      </c>
      <c r="AO31" s="18" t="s">
        <v>4992</v>
      </c>
      <c r="AQ31" s="20">
        <v>44308</v>
      </c>
      <c r="AR31">
        <v>6</v>
      </c>
      <c r="AS31" t="s">
        <v>5017</v>
      </c>
      <c r="AT31">
        <v>4000</v>
      </c>
      <c r="AU31" t="s">
        <v>5061</v>
      </c>
      <c r="AX31" s="28">
        <v>50000</v>
      </c>
      <c r="AY31" s="28" t="s">
        <v>4746</v>
      </c>
      <c r="AZ31" s="28" t="s">
        <v>5004</v>
      </c>
      <c r="BA31" s="28" t="s">
        <v>5062</v>
      </c>
      <c r="BB31" s="28">
        <v>120</v>
      </c>
      <c r="BQ31" s="37"/>
      <c r="BR31" s="37"/>
      <c r="BS31" s="37"/>
      <c r="BT31" s="37">
        <v>29</v>
      </c>
      <c r="BU31" s="37" t="b">
        <f>IF($BS$3="无",FALSE(),IF(LEFT('5.3小工具'!R36,4)=$BS$3,TRUE(),IF(AND($BS$3="免费",RIGHT('5.3小工具'!R36,2)=" 0"),TRUE(),FALSE())))</f>
        <v>0</v>
      </c>
      <c r="BV31" s="37" t="b">
        <f>IF($BS$3="无",FALSE(),IF(LEFT('5.3小工具'!T36,4)=$BS$3,TRUE(),IF(AND($BS$3="免费",RIGHT('5.3小工具'!T36,2)=" 0"),TRUE(),FALSE())))</f>
        <v>0</v>
      </c>
      <c r="BW31" s="37" t="b">
        <f>IF($BS$3="无",FALSE(),IF(LEFT('5.3小工具'!V36,4)=$BS$3,TRUE(),IF(AND($BS$3="免费",RIGHT('5.3小工具'!V36,2)=" 0"),TRUE(),FALSE())))</f>
        <v>0</v>
      </c>
      <c r="BX31" s="37"/>
      <c r="BY31" s="37" t="b">
        <f t="shared" si="0"/>
        <v>0</v>
      </c>
      <c r="BZ31" t="b">
        <f>AND(OR(LEFT('5.3小工具'!R36,4)='5.3小工具'!$Y$42,'5.3小工具'!$Y$42=""),OR(LEFT('5.3小工具'!T36,4)='5.3小工具'!$AA$42,'5.3小工具'!$AA$42=""),OR(LEFT('5.3小工具'!V36,4)='5.3小工具'!$AC$42,'5.3小工具'!$AC$42=""))</f>
        <v>1</v>
      </c>
      <c r="CD31" s="38">
        <v>27</v>
      </c>
      <c r="CE31" s="38">
        <f t="shared" si="8"/>
        <v>2.6297020171182282</v>
      </c>
      <c r="CF31" s="38">
        <f t="shared" si="13"/>
        <v>28.237390000000001</v>
      </c>
      <c r="CG31" s="38">
        <f t="shared" si="2"/>
        <v>28</v>
      </c>
      <c r="CH31" s="38"/>
      <c r="CP31" s="40">
        <v>379</v>
      </c>
      <c r="CQ31" s="41" t="s">
        <v>3246</v>
      </c>
      <c r="CR31" s="41" t="s">
        <v>5063</v>
      </c>
      <c r="CS31" s="41">
        <v>300</v>
      </c>
      <c r="CT31" s="41">
        <v>8</v>
      </c>
      <c r="CU31" s="41">
        <v>100</v>
      </c>
      <c r="CV31" s="41">
        <v>10</v>
      </c>
      <c r="CW31" s="40"/>
      <c r="CX31" s="41" t="s">
        <v>4716</v>
      </c>
      <c r="CY31" s="40" t="s">
        <v>4717</v>
      </c>
      <c r="DB31" t="s">
        <v>185</v>
      </c>
      <c r="DC31" s="7" t="str">
        <f t="shared" ca="1" si="9"/>
        <v>05_001</v>
      </c>
      <c r="DD31" t="s">
        <v>4783</v>
      </c>
      <c r="DE31" t="s">
        <v>4783</v>
      </c>
      <c r="DF31" t="s">
        <v>4783</v>
      </c>
      <c r="DG31" t="s">
        <v>4783</v>
      </c>
      <c r="DH31" t="s">
        <v>4783</v>
      </c>
      <c r="DI31" t="s">
        <v>4783</v>
      </c>
      <c r="DJ31" t="s">
        <v>4783</v>
      </c>
      <c r="DK31" t="s">
        <v>4783</v>
      </c>
      <c r="DL31" t="s">
        <v>4873</v>
      </c>
      <c r="DM31" t="s">
        <v>4941</v>
      </c>
    </row>
    <row r="32" spans="4:117" ht="14.6">
      <c r="D32" s="6" t="str">
        <f t="shared" si="11"/>
        <v>家乡主力军-&gt;天使</v>
      </c>
      <c r="E32" s="6" t="str">
        <f t="shared" si="12"/>
        <v>#'2.1家乡主力军'!P34:W44</v>
      </c>
      <c r="F32" s="6" t="s">
        <v>297</v>
      </c>
      <c r="G32" s="6" t="s">
        <v>5064</v>
      </c>
      <c r="H32" s="6" t="s">
        <v>4779</v>
      </c>
      <c r="I32" s="7" t="s">
        <v>4801</v>
      </c>
      <c r="J32" s="7" t="s">
        <v>2042</v>
      </c>
      <c r="K32" s="7" t="s">
        <v>5065</v>
      </c>
      <c r="L32" s="7" t="s">
        <v>5066</v>
      </c>
      <c r="M32" s="7" t="s">
        <v>5067</v>
      </c>
      <c r="N32" s="7" t="s">
        <v>4782</v>
      </c>
      <c r="O32" s="7" t="s">
        <v>4782</v>
      </c>
      <c r="P32" s="7" t="s">
        <v>4782</v>
      </c>
      <c r="Q32" s="7" t="s">
        <v>4782</v>
      </c>
      <c r="R32" s="7" t="s">
        <v>4782</v>
      </c>
      <c r="S32" s="7">
        <f t="array" ref="S32">SUM(IFERROR(IF(MATCH(I32:R32,$F$4:$Q$4,0)&gt;0,1,0),0))</f>
        <v>0</v>
      </c>
      <c r="T32" s="7">
        <f t="shared" ca="1" si="7"/>
        <v>37</v>
      </c>
      <c r="U32" s="7">
        <f ca="1">T32+COUNTIF(T$5:$T31,T32)</f>
        <v>62</v>
      </c>
      <c r="Y32" s="12" t="s">
        <v>116</v>
      </c>
      <c r="Z32" s="7" t="str">
        <f t="shared" ca="1" si="16"/>
        <v>05_009</v>
      </c>
      <c r="AA32" t="s">
        <v>4783</v>
      </c>
      <c r="AB32" t="s">
        <v>4783</v>
      </c>
      <c r="AC32" t="s">
        <v>4783</v>
      </c>
      <c r="AD32" t="s">
        <v>4989</v>
      </c>
      <c r="AE32" t="s">
        <v>4989</v>
      </c>
      <c r="AF32" t="s">
        <v>4895</v>
      </c>
      <c r="AG32" t="s">
        <v>4896</v>
      </c>
      <c r="AH32" t="s">
        <v>4990</v>
      </c>
      <c r="AI32" t="s">
        <v>4899</v>
      </c>
      <c r="AJ32" t="s">
        <v>4900</v>
      </c>
      <c r="AK32" t="s">
        <v>4900</v>
      </c>
      <c r="AL32" t="s">
        <v>4993</v>
      </c>
      <c r="AM32" s="16" t="s">
        <v>5068</v>
      </c>
      <c r="AN32" s="16" t="s">
        <v>5068</v>
      </c>
      <c r="AO32" s="22" t="s">
        <v>5068</v>
      </c>
      <c r="AQ32" s="20">
        <v>44277</v>
      </c>
      <c r="AR32">
        <v>6</v>
      </c>
      <c r="AS32" t="s">
        <v>5017</v>
      </c>
      <c r="AT32">
        <v>4000</v>
      </c>
      <c r="AU32" t="s">
        <v>5069</v>
      </c>
      <c r="AX32" s="28">
        <v>3000</v>
      </c>
      <c r="AY32" s="28" t="s">
        <v>4794</v>
      </c>
      <c r="AZ32" s="28" t="s">
        <v>4877</v>
      </c>
      <c r="BA32" s="28" t="s">
        <v>4878</v>
      </c>
      <c r="BB32" s="28">
        <v>20</v>
      </c>
      <c r="BQ32" s="37"/>
      <c r="BR32" s="37"/>
      <c r="BS32" s="37"/>
      <c r="BT32" s="37">
        <v>30</v>
      </c>
      <c r="BU32" s="37" t="b">
        <f>IF($BS$3="无",FALSE(),IF(LEFT('5.3小工具'!R37,4)=$BS$3,TRUE(),IF(AND($BS$3="免费",RIGHT('5.3小工具'!R37,2)=" 0"),TRUE(),FALSE())))</f>
        <v>0</v>
      </c>
      <c r="BV32" s="37" t="b">
        <f>IF($BS$3="无",FALSE(),IF(LEFT('5.3小工具'!T37,4)=$BS$3,TRUE(),IF(AND($BS$3="免费",RIGHT('5.3小工具'!T37,2)=" 0"),TRUE(),FALSE())))</f>
        <v>0</v>
      </c>
      <c r="BW32" s="37" t="b">
        <f>IF($BS$3="无",FALSE(),IF(LEFT('5.3小工具'!V37,4)=$BS$3,TRUE(),IF(AND($BS$3="免费",RIGHT('5.3小工具'!V37,2)=" 0"),TRUE(),FALSE())))</f>
        <v>0</v>
      </c>
      <c r="BX32" s="37"/>
      <c r="BY32" s="37" t="b">
        <f t="shared" si="0"/>
        <v>0</v>
      </c>
      <c r="BZ32" t="b">
        <f>AND(OR(LEFT('5.3小工具'!R37,4)='5.3小工具'!$Y$42,'5.3小工具'!$Y$42=""),OR(LEFT('5.3小工具'!T37,4)='5.3小工具'!$AA$42,'5.3小工具'!$AA$42=""),OR(LEFT('5.3小工具'!V37,4)='5.3小工具'!$AC$42,'5.3小工具'!$AC$42=""))</f>
        <v>1</v>
      </c>
      <c r="CD32" s="38">
        <v>28</v>
      </c>
      <c r="CE32" s="38">
        <f t="shared" si="8"/>
        <v>2.6478838353000462</v>
      </c>
      <c r="CF32" s="38">
        <f t="shared" si="13"/>
        <v>29.232109999999999</v>
      </c>
      <c r="CG32" s="38">
        <f t="shared" si="2"/>
        <v>29</v>
      </c>
      <c r="CP32" s="40">
        <v>380</v>
      </c>
      <c r="CQ32" s="41" t="s">
        <v>3254</v>
      </c>
      <c r="CR32" s="41" t="s">
        <v>5070</v>
      </c>
      <c r="CS32" s="41">
        <v>350</v>
      </c>
      <c r="CT32" s="41">
        <v>8</v>
      </c>
      <c r="CU32" s="41">
        <v>100</v>
      </c>
      <c r="CV32" s="41">
        <v>10</v>
      </c>
      <c r="CW32" s="40"/>
      <c r="CX32" s="41" t="s">
        <v>4716</v>
      </c>
      <c r="CY32" s="40" t="s">
        <v>4717</v>
      </c>
      <c r="DB32" t="s">
        <v>184</v>
      </c>
      <c r="DC32" s="7" t="str">
        <f t="shared" ca="1" si="9"/>
        <v>05_001</v>
      </c>
      <c r="DD32" t="s">
        <v>4783</v>
      </c>
      <c r="DE32" t="s">
        <v>4783</v>
      </c>
      <c r="DF32" t="s">
        <v>4783</v>
      </c>
      <c r="DG32" t="s">
        <v>4783</v>
      </c>
      <c r="DH32" t="s">
        <v>4783</v>
      </c>
      <c r="DI32" t="s">
        <v>4783</v>
      </c>
      <c r="DJ32" t="s">
        <v>4783</v>
      </c>
      <c r="DK32" t="s">
        <v>4783</v>
      </c>
      <c r="DL32" t="s">
        <v>4783</v>
      </c>
      <c r="DM32" t="s">
        <v>4941</v>
      </c>
    </row>
    <row r="33" spans="4:117" ht="14.6">
      <c r="D33" s="6" t="str">
        <f t="shared" si="11"/>
        <v>家乡主力军-&gt;飞龙</v>
      </c>
      <c r="E33" s="6" t="str">
        <f t="shared" si="12"/>
        <v>#'2.1家乡主力军'!Z31:AG41</v>
      </c>
      <c r="F33" s="6" t="s">
        <v>304</v>
      </c>
      <c r="G33" s="6" t="s">
        <v>5071</v>
      </c>
      <c r="H33" s="6" t="s">
        <v>4779</v>
      </c>
      <c r="I33" s="7" t="s">
        <v>4801</v>
      </c>
      <c r="J33" s="7" t="s">
        <v>4968</v>
      </c>
      <c r="K33" s="7" t="s">
        <v>5072</v>
      </c>
      <c r="L33" s="7" t="s">
        <v>4782</v>
      </c>
      <c r="M33" s="7" t="s">
        <v>4782</v>
      </c>
      <c r="N33" s="7" t="s">
        <v>4782</v>
      </c>
      <c r="O33" s="7" t="s">
        <v>4782</v>
      </c>
      <c r="P33" s="7" t="s">
        <v>4782</v>
      </c>
      <c r="Q33" s="7" t="s">
        <v>4782</v>
      </c>
      <c r="R33" s="7" t="s">
        <v>4782</v>
      </c>
      <c r="S33" s="7">
        <f t="array" ref="S33">SUM(IFERROR(IF(MATCH(I33:R33,$F$4:$Q$4,0)&gt;0,1,0),0))</f>
        <v>2</v>
      </c>
      <c r="T33" s="7">
        <f t="shared" ca="1" si="7"/>
        <v>4</v>
      </c>
      <c r="U33" s="7">
        <f ca="1">T33+COUNTIF(T$5:$T32,T33)</f>
        <v>4</v>
      </c>
      <c r="Y33" s="12" t="s">
        <v>121</v>
      </c>
      <c r="Z33" s="7" t="str">
        <f t="shared" ca="1" si="16"/>
        <v>08_007</v>
      </c>
      <c r="AA33" t="s">
        <v>4783</v>
      </c>
      <c r="AB33" t="s">
        <v>4783</v>
      </c>
      <c r="AC33" t="s">
        <v>4783</v>
      </c>
      <c r="AD33" t="s">
        <v>4783</v>
      </c>
      <c r="AE33" t="s">
        <v>4783</v>
      </c>
      <c r="AF33" t="s">
        <v>4784</v>
      </c>
      <c r="AG33" t="s">
        <v>4754</v>
      </c>
      <c r="AH33" t="s">
        <v>5073</v>
      </c>
      <c r="AI33" t="s">
        <v>4897</v>
      </c>
      <c r="AJ33" t="s">
        <v>4898</v>
      </c>
      <c r="AK33" t="s">
        <v>5051</v>
      </c>
      <c r="AL33" t="s">
        <v>4900</v>
      </c>
      <c r="AM33" s="16" t="s">
        <v>5040</v>
      </c>
      <c r="AN33" s="16" t="s">
        <v>5074</v>
      </c>
      <c r="AO33" s="22" t="s">
        <v>5074</v>
      </c>
      <c r="AQ33" s="20">
        <v>44249</v>
      </c>
      <c r="AR33">
        <v>6</v>
      </c>
      <c r="AS33" t="s">
        <v>5017</v>
      </c>
      <c r="AT33">
        <v>4000</v>
      </c>
      <c r="AU33" t="s">
        <v>5075</v>
      </c>
      <c r="AX33" s="28">
        <v>7500</v>
      </c>
      <c r="AY33" s="28" t="s">
        <v>4893</v>
      </c>
      <c r="AZ33" s="28" t="s">
        <v>4713</v>
      </c>
      <c r="BA33" s="28" t="s">
        <v>4771</v>
      </c>
      <c r="BB33" s="28">
        <v>40</v>
      </c>
      <c r="BQ33" s="37"/>
      <c r="BR33" s="37"/>
      <c r="BS33" s="37"/>
      <c r="BT33" s="37">
        <v>31</v>
      </c>
      <c r="BU33" s="37" t="b">
        <f>IF($BS$3="无",FALSE(),IF(LEFT('5.3小工具'!R38,4)=$BS$3,TRUE(),IF(AND($BS$3="免费",RIGHT('5.3小工具'!R38,2)=" 0"),TRUE(),FALSE())))</f>
        <v>0</v>
      </c>
      <c r="BV33" s="37" t="b">
        <f>IF($BS$3="无",FALSE(),IF(LEFT('5.3小工具'!T38,4)=$BS$3,TRUE(),IF(AND($BS$3="免费",RIGHT('5.3小工具'!T38,2)=" 0"),TRUE(),FALSE())))</f>
        <v>0</v>
      </c>
      <c r="BW33" s="37" t="b">
        <f>IF($BS$3="无",FALSE(),IF(LEFT('5.3小工具'!V38,4)=$BS$3,TRUE(),IF(AND($BS$3="免费",RIGHT('5.3小工具'!V38,2)=" 0"),TRUE(),FALSE())))</f>
        <v>0</v>
      </c>
      <c r="BX33" s="37"/>
      <c r="BY33" s="37" t="b">
        <f t="shared" si="0"/>
        <v>0</v>
      </c>
      <c r="BZ33" t="b">
        <f>AND(OR(LEFT('5.3小工具'!R38,4)='5.3小工具'!$Y$42,'5.3小工具'!$Y$42=""),OR(LEFT('5.3小工具'!T38,4)='5.3小工具'!$AA$42,'5.3小工具'!$AA$42=""),OR(LEFT('5.3小工具'!V38,4)='5.3小工具'!$AC$42,'5.3小工具'!$AC$42=""))</f>
        <v>1</v>
      </c>
      <c r="CD33" s="38">
        <v>29</v>
      </c>
      <c r="CE33" s="38">
        <f t="shared" si="8"/>
        <v>2.6654276949491691</v>
      </c>
      <c r="CF33" s="38">
        <f t="shared" si="13"/>
        <v>30.227029999999999</v>
      </c>
      <c r="CG33" s="38">
        <f t="shared" si="2"/>
        <v>30</v>
      </c>
      <c r="CP33" s="40">
        <v>381</v>
      </c>
      <c r="CQ33" s="41" t="s">
        <v>3264</v>
      </c>
      <c r="CR33" s="41" t="s">
        <v>5076</v>
      </c>
      <c r="CS33" s="41">
        <v>500</v>
      </c>
      <c r="CT33" s="41">
        <v>8</v>
      </c>
      <c r="CU33" s="41">
        <v>25</v>
      </c>
      <c r="CV33" s="41">
        <v>10</v>
      </c>
      <c r="CW33" s="40"/>
      <c r="CX33" s="41" t="s">
        <v>4716</v>
      </c>
      <c r="CY33" s="40" t="s">
        <v>4717</v>
      </c>
      <c r="DC33" s="7"/>
    </row>
    <row r="34" spans="4:117" ht="14.6">
      <c r="D34" s="6" t="str">
        <f t="shared" si="11"/>
        <v>家乡主力军-&gt;英雄猎手</v>
      </c>
      <c r="E34" s="6" t="str">
        <f t="shared" si="12"/>
        <v>#'2.1家乡主力军'!Z127:AI137</v>
      </c>
      <c r="F34" s="6" t="s">
        <v>526</v>
      </c>
      <c r="G34" s="6" t="s">
        <v>5077</v>
      </c>
      <c r="H34" s="6" t="s">
        <v>4779</v>
      </c>
      <c r="I34" s="7" t="s">
        <v>4801</v>
      </c>
      <c r="J34" s="7" t="s">
        <v>5078</v>
      </c>
      <c r="K34" s="7" t="s">
        <v>5079</v>
      </c>
      <c r="L34" s="7" t="s">
        <v>5031</v>
      </c>
      <c r="M34" s="7" t="s">
        <v>4890</v>
      </c>
      <c r="N34" s="7" t="s">
        <v>4782</v>
      </c>
      <c r="O34" s="7" t="s">
        <v>4782</v>
      </c>
      <c r="P34" s="7" t="s">
        <v>4782</v>
      </c>
      <c r="Q34" s="7" t="s">
        <v>4782</v>
      </c>
      <c r="R34" s="7" t="s">
        <v>4782</v>
      </c>
      <c r="S34" s="7">
        <f t="array" ref="S34">SUM(IFERROR(IF(MATCH(I34:R34,$F$4:$Q$4,0)&gt;0,1,0),0))</f>
        <v>0</v>
      </c>
      <c r="T34" s="7">
        <f t="shared" ca="1" si="7"/>
        <v>37</v>
      </c>
      <c r="U34" s="7">
        <f ca="1">T34+COUNTIF(T$5:$T33,T34)</f>
        <v>63</v>
      </c>
      <c r="Y34" s="12" t="s">
        <v>124</v>
      </c>
      <c r="Z34" s="7" t="str">
        <f t="shared" ca="1" si="16"/>
        <v>04_004</v>
      </c>
      <c r="AA34" t="s">
        <v>4783</v>
      </c>
      <c r="AB34" t="s">
        <v>4783</v>
      </c>
      <c r="AC34" t="s">
        <v>4783</v>
      </c>
      <c r="AD34" t="s">
        <v>4783</v>
      </c>
      <c r="AE34" t="s">
        <v>4783</v>
      </c>
      <c r="AF34" t="s">
        <v>4783</v>
      </c>
      <c r="AG34" t="s">
        <v>4783</v>
      </c>
      <c r="AH34" t="s">
        <v>4754</v>
      </c>
      <c r="AI34" t="s">
        <v>4755</v>
      </c>
      <c r="AJ34" t="s">
        <v>4920</v>
      </c>
      <c r="AK34" t="s">
        <v>4920</v>
      </c>
      <c r="AL34" t="s">
        <v>4920</v>
      </c>
      <c r="AM34" s="15" t="s">
        <v>4920</v>
      </c>
      <c r="AN34" s="15" t="s">
        <v>5080</v>
      </c>
      <c r="AO34" s="18" t="s">
        <v>5050</v>
      </c>
      <c r="AQ34" s="20">
        <v>44218</v>
      </c>
      <c r="AR34">
        <v>6</v>
      </c>
      <c r="AS34" t="s">
        <v>5017</v>
      </c>
      <c r="AT34">
        <v>4000</v>
      </c>
      <c r="AU34" t="s">
        <v>5081</v>
      </c>
      <c r="AX34" s="28">
        <v>12000</v>
      </c>
      <c r="AY34" s="28" t="s">
        <v>4747</v>
      </c>
      <c r="AZ34" s="28" t="s">
        <v>4737</v>
      </c>
      <c r="BA34" s="28" t="s">
        <v>4795</v>
      </c>
      <c r="BB34" s="28">
        <v>60</v>
      </c>
      <c r="BQ34" s="37"/>
      <c r="BR34" s="37"/>
      <c r="BS34" s="37"/>
      <c r="BT34" s="37">
        <v>32</v>
      </c>
      <c r="BU34" s="37" t="b">
        <f>IF($BS$3="无",FALSE(),IF(LEFT('5.3小工具'!R39,4)=$BS$3,TRUE(),IF(AND($BS$3="免费",RIGHT('5.3小工具'!R39,2)=" 0"),TRUE(),FALSE())))</f>
        <v>0</v>
      </c>
      <c r="BV34" s="37" t="b">
        <f>IF($BS$3="无",FALSE(),IF(LEFT('5.3小工具'!T39,4)=$BS$3,TRUE(),IF(AND($BS$3="免费",RIGHT('5.3小工具'!T39,2)=" 0"),TRUE(),FALSE())))</f>
        <v>0</v>
      </c>
      <c r="BW34" s="37" t="b">
        <f>IF($BS$3="无",FALSE(),IF(LEFT('5.3小工具'!V39,4)=$BS$3,TRUE(),IF(AND($BS$3="免费",RIGHT('5.3小工具'!V39,2)=" 0"),TRUE(),FALSE())))</f>
        <v>0</v>
      </c>
      <c r="BX34" s="37"/>
      <c r="BY34" s="37" t="b">
        <f t="shared" si="0"/>
        <v>0</v>
      </c>
      <c r="BZ34" t="b">
        <f>AND(OR(LEFT('5.3小工具'!R39,4)='5.3小工具'!$Y$42,'5.3小工具'!$Y$42=""),OR(LEFT('5.3小工具'!T39,4)='5.3小工具'!$AA$42,'5.3小工具'!$AA$42=""),OR(LEFT('5.3小工具'!V39,4)='5.3小工具'!$AC$42,'5.3小工具'!$AC$42=""))</f>
        <v>1</v>
      </c>
      <c r="CD34" s="38">
        <v>30</v>
      </c>
      <c r="CE34" s="38">
        <f t="shared" si="8"/>
        <v>2.6823768474915419</v>
      </c>
      <c r="CF34" s="38">
        <f t="shared" si="13"/>
        <v>31.222110000000001</v>
      </c>
      <c r="CG34" s="38">
        <f t="shared" si="2"/>
        <v>31</v>
      </c>
      <c r="CP34" s="40">
        <v>382</v>
      </c>
      <c r="CQ34" s="41" t="s">
        <v>3269</v>
      </c>
      <c r="CR34" s="41" t="s">
        <v>5082</v>
      </c>
      <c r="CS34" s="41">
        <v>500</v>
      </c>
      <c r="CT34" s="41">
        <v>8</v>
      </c>
      <c r="CU34" s="41">
        <v>25</v>
      </c>
      <c r="CV34" s="41">
        <v>10</v>
      </c>
      <c r="CW34" s="40"/>
      <c r="CX34" s="41" t="s">
        <v>4716</v>
      </c>
      <c r="CY34" s="40" t="s">
        <v>4717</v>
      </c>
      <c r="DC34" s="7"/>
    </row>
    <row r="35" spans="4:117" ht="14.6">
      <c r="D35" s="6" t="str">
        <f t="shared" si="11"/>
        <v>家乡主力军-&gt;皮卡超人</v>
      </c>
      <c r="E35" s="6" t="str">
        <f t="shared" si="12"/>
        <v>#'2.1家乡主力军'!F44:M54</v>
      </c>
      <c r="F35" s="6" t="s">
        <v>313</v>
      </c>
      <c r="G35" s="6" t="s">
        <v>5083</v>
      </c>
      <c r="H35" s="6" t="s">
        <v>4779</v>
      </c>
      <c r="I35" s="7" t="s">
        <v>4801</v>
      </c>
      <c r="J35" s="7" t="s">
        <v>4999</v>
      </c>
      <c r="K35" s="7" t="s">
        <v>5084</v>
      </c>
      <c r="L35" s="7" t="s">
        <v>5085</v>
      </c>
      <c r="M35" s="7" t="s">
        <v>4831</v>
      </c>
      <c r="N35" s="7" t="s">
        <v>4782</v>
      </c>
      <c r="O35" s="7" t="s">
        <v>4782</v>
      </c>
      <c r="P35" s="7" t="s">
        <v>4782</v>
      </c>
      <c r="Q35" s="7" t="s">
        <v>4782</v>
      </c>
      <c r="R35" s="7" t="s">
        <v>4782</v>
      </c>
      <c r="S35" s="7">
        <f t="array" ref="S35">SUM(IFERROR(IF(MATCH(I35:R35,$F$4:$Q$4,0)&gt;0,1,0),0))</f>
        <v>0</v>
      </c>
      <c r="T35" s="7">
        <f t="shared" ca="1" si="7"/>
        <v>37</v>
      </c>
      <c r="U35" s="7">
        <f ca="1">T35+COUNTIF(T$5:$T34,T35)</f>
        <v>64</v>
      </c>
      <c r="Y35" s="12" t="s">
        <v>127</v>
      </c>
      <c r="Z35" s="7" t="str">
        <f t="shared" ca="1" si="16"/>
        <v>03_001</v>
      </c>
      <c r="AA35" t="s">
        <v>4783</v>
      </c>
      <c r="AB35" t="s">
        <v>4783</v>
      </c>
      <c r="AC35" t="s">
        <v>4783</v>
      </c>
      <c r="AD35" t="s">
        <v>4783</v>
      </c>
      <c r="AE35" t="s">
        <v>4783</v>
      </c>
      <c r="AF35" t="s">
        <v>4783</v>
      </c>
      <c r="AG35" t="s">
        <v>4783</v>
      </c>
      <c r="AH35" t="s">
        <v>4783</v>
      </c>
      <c r="AI35" t="s">
        <v>4783</v>
      </c>
      <c r="AJ35" t="s">
        <v>4783</v>
      </c>
      <c r="AK35" s="13" t="s">
        <v>4784</v>
      </c>
      <c r="AL35" s="13" t="s">
        <v>4785</v>
      </c>
      <c r="AM35" s="16" t="s">
        <v>4785</v>
      </c>
      <c r="AN35" s="16" t="s">
        <v>4785</v>
      </c>
      <c r="AO35" s="22" t="s">
        <v>4785</v>
      </c>
      <c r="AQ35" s="20">
        <v>44187</v>
      </c>
      <c r="AR35">
        <v>6</v>
      </c>
      <c r="AS35" t="s">
        <v>5017</v>
      </c>
      <c r="AT35">
        <v>4000</v>
      </c>
      <c r="AU35" t="s">
        <v>5086</v>
      </c>
      <c r="AX35" s="28">
        <v>18000</v>
      </c>
      <c r="AY35" s="28" t="s">
        <v>4865</v>
      </c>
      <c r="AZ35" s="28" t="s">
        <v>4855</v>
      </c>
      <c r="BA35" s="28" t="s">
        <v>4844</v>
      </c>
      <c r="BB35" s="28">
        <v>80</v>
      </c>
      <c r="BF35" s="29" t="s">
        <v>4719</v>
      </c>
      <c r="BG35" s="29"/>
      <c r="BH35" s="29"/>
      <c r="BI35" s="29"/>
      <c r="BJ35" s="29"/>
      <c r="BK35" s="29"/>
      <c r="BL35" s="29"/>
      <c r="BM35" s="29"/>
      <c r="BN35" s="29"/>
      <c r="BQ35" s="37"/>
      <c r="BR35" s="37"/>
      <c r="BS35" s="37"/>
      <c r="BT35" s="37">
        <v>33</v>
      </c>
      <c r="BU35" s="37" t="b">
        <f>IF($BS$3="无",FALSE(),IF(LEFT('5.3小工具'!R40,4)=$BS$3,TRUE(),IF(AND($BS$3="免费",RIGHT('5.3小工具'!R40,2)=" 0"),TRUE(),FALSE())))</f>
        <v>0</v>
      </c>
      <c r="BV35" s="37" t="b">
        <f>IF($BS$3="无",FALSE(),IF(LEFT('5.3小工具'!T40,4)=$BS$3,TRUE(),IF(AND($BS$3="免费",RIGHT('5.3小工具'!T40,2)=" 0"),TRUE(),FALSE())))</f>
        <v>0</v>
      </c>
      <c r="BW35" s="37" t="b">
        <f>IF($BS$3="无",FALSE(),IF(LEFT('5.3小工具'!V40,4)=$BS$3,TRUE(),IF(AND($BS$3="免费",RIGHT('5.3小工具'!V40,2)=" 0"),TRUE(),FALSE())))</f>
        <v>0</v>
      </c>
      <c r="BX35" s="37"/>
      <c r="BY35" s="37" t="b">
        <f t="shared" si="0"/>
        <v>0</v>
      </c>
      <c r="BZ35" t="b">
        <f>AND(OR(LEFT('5.3小工具'!R40,4)='5.3小工具'!$Y$42,'5.3小工具'!$Y$42=""),OR(LEFT('5.3小工具'!T40,4)='5.3小工具'!$AA$42,'5.3小工具'!$AA$42=""),OR(LEFT('5.3小工具'!V40,4)='5.3小工具'!$AC$42,'5.3小工具'!$AC$42=""))</f>
        <v>1</v>
      </c>
      <c r="CD35" s="38">
        <v>31</v>
      </c>
      <c r="CE35" s="38">
        <f t="shared" si="8"/>
        <v>2.6987702901144925</v>
      </c>
      <c r="CF35" s="38">
        <f t="shared" si="13"/>
        <v>32.217359999999999</v>
      </c>
      <c r="CG35" s="38">
        <f t="shared" si="2"/>
        <v>32</v>
      </c>
      <c r="CP35" s="40">
        <v>383</v>
      </c>
      <c r="CQ35" s="41" t="s">
        <v>3274</v>
      </c>
      <c r="CR35" s="41" t="s">
        <v>5087</v>
      </c>
      <c r="CS35" s="41">
        <v>400</v>
      </c>
      <c r="CT35" s="41">
        <v>3</v>
      </c>
      <c r="CU35" s="41">
        <v>25</v>
      </c>
      <c r="CV35" s="41">
        <v>5</v>
      </c>
      <c r="CW35" s="40"/>
      <c r="CX35" s="41" t="s">
        <v>4716</v>
      </c>
      <c r="CY35" s="40" t="s">
        <v>4717</v>
      </c>
      <c r="DB35" t="s">
        <v>213</v>
      </c>
      <c r="DC35" s="7" t="str">
        <f t="shared" ca="1" si="9"/>
        <v>05_008</v>
      </c>
      <c r="DD35" t="s">
        <v>4989</v>
      </c>
      <c r="DE35" t="s">
        <v>4896</v>
      </c>
      <c r="DF35" t="s">
        <v>5088</v>
      </c>
      <c r="DG35" t="s">
        <v>4991</v>
      </c>
      <c r="DH35" t="s">
        <v>4991</v>
      </c>
      <c r="DI35" t="s">
        <v>4992</v>
      </c>
      <c r="DJ35" t="s">
        <v>4992</v>
      </c>
      <c r="DK35" t="s">
        <v>4992</v>
      </c>
      <c r="DL35" t="s">
        <v>4993</v>
      </c>
      <c r="DM35" t="s">
        <v>4993</v>
      </c>
    </row>
    <row r="36" spans="4:117" ht="14.6">
      <c r="D36" s="6" t="str">
        <f t="shared" si="11"/>
        <v>家乡主力军-&gt;飞龙宝宝</v>
      </c>
      <c r="E36" s="6" t="str">
        <f t="shared" si="12"/>
        <v>#'2.1家乡主力军'!P47:W58</v>
      </c>
      <c r="F36" s="6" t="s">
        <v>322</v>
      </c>
      <c r="G36" s="6" t="s">
        <v>5089</v>
      </c>
      <c r="H36" s="6" t="s">
        <v>4779</v>
      </c>
      <c r="I36" s="7" t="s">
        <v>4801</v>
      </c>
      <c r="J36" s="7" t="s">
        <v>4968</v>
      </c>
      <c r="K36" s="7" t="s">
        <v>5072</v>
      </c>
      <c r="L36" s="7" t="s">
        <v>5090</v>
      </c>
      <c r="M36" s="7" t="s">
        <v>5090</v>
      </c>
      <c r="N36" s="7" t="s">
        <v>5091</v>
      </c>
      <c r="O36" s="7" t="s">
        <v>4782</v>
      </c>
      <c r="P36" s="7" t="s">
        <v>4782</v>
      </c>
      <c r="Q36" s="7" t="s">
        <v>4782</v>
      </c>
      <c r="R36" s="7" t="s">
        <v>4782</v>
      </c>
      <c r="S36" s="7">
        <f t="array" ref="S36">SUM(IFERROR(IF(MATCH(I36:R36,$F$4:$Q$4,0)&gt;0,1,0),0))</f>
        <v>2</v>
      </c>
      <c r="T36" s="7">
        <f t="shared" ca="1" si="7"/>
        <v>4</v>
      </c>
      <c r="U36" s="7">
        <f ca="1">T36+COUNTIF(T$5:$T35,T36)</f>
        <v>5</v>
      </c>
      <c r="AO36" s="25"/>
      <c r="AQ36" s="20">
        <v>44157</v>
      </c>
      <c r="AR36">
        <v>6</v>
      </c>
      <c r="AS36" t="s">
        <v>5017</v>
      </c>
      <c r="AT36">
        <v>4000</v>
      </c>
      <c r="AU36" t="s">
        <v>5092</v>
      </c>
      <c r="AX36" s="28">
        <v>30000</v>
      </c>
      <c r="AY36" s="28" t="s">
        <v>4751</v>
      </c>
      <c r="AZ36" s="28" t="s">
        <v>4933</v>
      </c>
      <c r="BA36" s="28" t="s">
        <v>4934</v>
      </c>
      <c r="BB36" s="28">
        <v>100</v>
      </c>
      <c r="BF36" s="29"/>
      <c r="BG36" s="29" t="s">
        <v>4690</v>
      </c>
      <c r="BH36" s="29">
        <v>0</v>
      </c>
      <c r="BI36" s="29">
        <v>100</v>
      </c>
      <c r="BJ36" s="29">
        <v>1000</v>
      </c>
      <c r="BK36" s="29">
        <v>10000</v>
      </c>
      <c r="BL36" s="29">
        <v>100000</v>
      </c>
      <c r="BM36" s="29">
        <v>1000000</v>
      </c>
      <c r="BN36" s="29">
        <v>10000000</v>
      </c>
      <c r="BQ36" s="37"/>
      <c r="BR36" s="37"/>
      <c r="BS36" s="37"/>
      <c r="BT36" s="37">
        <v>34</v>
      </c>
      <c r="BU36" s="37" t="b">
        <f>IF($BS$3="无",FALSE(),IF(LEFT('5.3小工具'!R41,4)=$BS$3,TRUE(),IF(AND($BS$3="免费",RIGHT('5.3小工具'!R41,2)=" 0"),TRUE(),FALSE())))</f>
        <v>0</v>
      </c>
      <c r="BV36" s="37" t="b">
        <f>IF($BS$3="无",FALSE(),IF(LEFT('5.3小工具'!T41,4)=$BS$3,TRUE(),IF(AND($BS$3="免费",RIGHT('5.3小工具'!T41,2)=" 0"),TRUE(),FALSE())))</f>
        <v>0</v>
      </c>
      <c r="BW36" s="37" t="b">
        <f>IF($BS$3="无",FALSE(),IF(LEFT('5.3小工具'!V41,4)=$BS$3,TRUE(),IF(AND($BS$3="免费",RIGHT('5.3小工具'!V41,2)=" 0"),TRUE(),FALSE())))</f>
        <v>0</v>
      </c>
      <c r="BX36" s="37"/>
      <c r="BY36" s="37" t="b">
        <f t="shared" si="0"/>
        <v>0</v>
      </c>
      <c r="BZ36" t="b">
        <f>AND(OR(LEFT('5.3小工具'!R41,4)='5.3小工具'!$Y$42,'5.3小工具'!$Y$42=""),OR(LEFT('5.3小工具'!T41,4)='5.3小工具'!$AA$42,'5.3小工具'!$AA$42=""),OR(LEFT('5.3小工具'!V41,4)='5.3小工具'!$AC$42,'5.3小工具'!$AC$42=""))</f>
        <v>1</v>
      </c>
      <c r="CD36" s="38">
        <v>32</v>
      </c>
      <c r="CE36" s="38">
        <f t="shared" si="8"/>
        <v>2.7146433059875084</v>
      </c>
      <c r="CF36" s="38">
        <f t="shared" si="13"/>
        <v>33.21275</v>
      </c>
      <c r="CG36" s="38">
        <f t="shared" si="2"/>
        <v>33</v>
      </c>
      <c r="CP36" s="40">
        <v>384</v>
      </c>
      <c r="CQ36" s="41" t="s">
        <v>3280</v>
      </c>
      <c r="CR36" s="41" t="s">
        <v>5093</v>
      </c>
      <c r="CS36" s="41">
        <v>300</v>
      </c>
      <c r="CT36" s="41">
        <v>3</v>
      </c>
      <c r="CU36" s="41">
        <v>25</v>
      </c>
      <c r="CV36" s="41">
        <v>5</v>
      </c>
      <c r="CW36" s="40"/>
      <c r="CX36" s="41" t="s">
        <v>4716</v>
      </c>
      <c r="CY36" s="40" t="s">
        <v>4717</v>
      </c>
      <c r="DB36" t="s">
        <v>214</v>
      </c>
      <c r="DC36" s="7" t="str">
        <f t="shared" ca="1" si="9"/>
        <v>05_012</v>
      </c>
      <c r="DD36" t="s">
        <v>4783</v>
      </c>
      <c r="DE36" t="s">
        <v>4895</v>
      </c>
      <c r="DF36" t="s">
        <v>5094</v>
      </c>
      <c r="DG36" t="s">
        <v>5088</v>
      </c>
      <c r="DH36" t="s">
        <v>5095</v>
      </c>
      <c r="DI36" t="s">
        <v>4991</v>
      </c>
      <c r="DJ36" t="s">
        <v>5096</v>
      </c>
      <c r="DK36" t="s">
        <v>5097</v>
      </c>
      <c r="DL36" t="s">
        <v>5098</v>
      </c>
      <c r="DM36" t="s">
        <v>5099</v>
      </c>
    </row>
    <row r="37" spans="4:117" ht="14.6">
      <c r="D37" s="6" t="str">
        <f t="shared" si="11"/>
        <v>家乡主力军-&gt;掘地矿工</v>
      </c>
      <c r="E37" s="6" t="str">
        <f t="shared" si="12"/>
        <v>#'2.1家乡主力军'!Z44:AG56</v>
      </c>
      <c r="F37" s="6" t="s">
        <v>330</v>
      </c>
      <c r="G37" s="6" t="s">
        <v>5100</v>
      </c>
      <c r="H37" s="6" t="s">
        <v>4779</v>
      </c>
      <c r="I37" s="7" t="s">
        <v>4801</v>
      </c>
      <c r="J37" s="7" t="s">
        <v>5101</v>
      </c>
      <c r="K37" s="7" t="s">
        <v>5102</v>
      </c>
      <c r="L37" s="7" t="s">
        <v>5103</v>
      </c>
      <c r="M37" s="7" t="s">
        <v>5104</v>
      </c>
      <c r="N37" s="7" t="s">
        <v>5102</v>
      </c>
      <c r="O37" s="7" t="s">
        <v>5105</v>
      </c>
      <c r="P37" s="7" t="s">
        <v>4782</v>
      </c>
      <c r="Q37" s="7" t="s">
        <v>4782</v>
      </c>
      <c r="R37" s="7" t="s">
        <v>4782</v>
      </c>
      <c r="S37" s="7">
        <f t="array" ref="S37">SUM(IFERROR(IF(MATCH(I37:R37,$F$4:$Q$4,0)&gt;0,1,0),0))</f>
        <v>2</v>
      </c>
      <c r="T37" s="7">
        <f t="shared" ca="1" si="7"/>
        <v>4</v>
      </c>
      <c r="U37" s="7">
        <f ca="1">T37+COUNTIF(T$5:$T36,T37)</f>
        <v>6</v>
      </c>
      <c r="Y37" s="12" t="s">
        <v>3</v>
      </c>
      <c r="Z37" s="7" t="str">
        <f t="shared" ref="Z37:Z52" ca="1" si="17">OFFSET(AA37,0,$Z$5-1)</f>
        <v>15_001</v>
      </c>
      <c r="AA37" s="13" t="s">
        <v>4834</v>
      </c>
      <c r="AB37" s="13" t="s">
        <v>4784</v>
      </c>
      <c r="AC37" s="13" t="s">
        <v>4785</v>
      </c>
      <c r="AD37" s="13" t="s">
        <v>4873</v>
      </c>
      <c r="AE37" s="13" t="s">
        <v>4941</v>
      </c>
      <c r="AF37" s="13" t="s">
        <v>5106</v>
      </c>
      <c r="AG37" s="13" t="s">
        <v>5107</v>
      </c>
      <c r="AH37" s="13" t="s">
        <v>5108</v>
      </c>
      <c r="AI37" s="13" t="s">
        <v>5109</v>
      </c>
      <c r="AJ37" s="13" t="s">
        <v>5110</v>
      </c>
      <c r="AK37" s="13" t="s">
        <v>5111</v>
      </c>
      <c r="AL37" s="13" t="s">
        <v>5112</v>
      </c>
      <c r="AM37" s="15" t="s">
        <v>5113</v>
      </c>
      <c r="AN37" s="15" t="s">
        <v>5114</v>
      </c>
      <c r="AO37" s="21" t="s">
        <v>5115</v>
      </c>
      <c r="AQ37" s="20">
        <v>44126</v>
      </c>
      <c r="AR37">
        <v>6</v>
      </c>
      <c r="AS37" t="s">
        <v>5017</v>
      </c>
      <c r="AT37">
        <v>4000</v>
      </c>
      <c r="AU37" t="s">
        <v>5116</v>
      </c>
      <c r="AX37" s="28">
        <v>50000</v>
      </c>
      <c r="AY37" s="28" t="s">
        <v>4746</v>
      </c>
      <c r="AZ37" s="28" t="s">
        <v>5117</v>
      </c>
      <c r="BA37" s="28" t="s">
        <v>5003</v>
      </c>
      <c r="BB37" s="28">
        <v>120</v>
      </c>
      <c r="BF37" s="29"/>
      <c r="BG37" s="29" t="s">
        <v>2915</v>
      </c>
      <c r="BH37" s="29">
        <v>0</v>
      </c>
      <c r="BI37" s="29">
        <v>1</v>
      </c>
      <c r="BJ37" s="29">
        <v>5</v>
      </c>
      <c r="BK37" s="29">
        <v>25</v>
      </c>
      <c r="BL37" s="29">
        <v>125</v>
      </c>
      <c r="BM37" s="29">
        <v>600</v>
      </c>
      <c r="BN37" s="29">
        <v>3000</v>
      </c>
      <c r="BQ37" s="37"/>
      <c r="BR37" s="37"/>
      <c r="BS37" s="37"/>
      <c r="BT37" s="37">
        <v>35</v>
      </c>
      <c r="BU37" s="37" t="b">
        <f>IF($BS$3="无",FALSE(),IF(LEFT('5.3小工具'!R42,4)=$BS$3,TRUE(),IF(AND($BS$3="免费",RIGHT('5.3小工具'!R42,2)=" 0"),TRUE(),FALSE())))</f>
        <v>0</v>
      </c>
      <c r="BV37" s="37" t="b">
        <f>IF($BS$3="无",FALSE(),IF(LEFT('5.3小工具'!T42,4)=$BS$3,TRUE(),IF(AND($BS$3="免费",RIGHT('5.3小工具'!T42,2)=" 0"),TRUE(),FALSE())))</f>
        <v>0</v>
      </c>
      <c r="BW37" s="37" t="b">
        <f>IF($BS$3="无",FALSE(),IF(LEFT('5.3小工具'!V42,4)=$BS$3,TRUE(),IF(AND($BS$3="免费",RIGHT('5.3小工具'!V42,2)=" 0"),TRUE(),FALSE())))</f>
        <v>0</v>
      </c>
      <c r="BX37" s="37"/>
      <c r="BY37" s="37" t="b">
        <f t="shared" si="0"/>
        <v>0</v>
      </c>
      <c r="BZ37" t="b">
        <f>AND(OR(LEFT('5.3小工具'!R42,4)='5.3小工具'!$Y$42,'5.3小工具'!$Y$42=""),OR(LEFT('5.3小工具'!T42,4)='5.3小工具'!$AA$42,'5.3小工具'!$AA$42=""),OR(LEFT('5.3小工具'!V42,4)='5.3小工具'!$AC$42,'5.3小工具'!$AC$42=""))</f>
        <v>1</v>
      </c>
      <c r="CD37" s="38">
        <v>33</v>
      </c>
      <c r="CE37" s="38">
        <f t="shared" si="8"/>
        <v>2.7300279213721237</v>
      </c>
      <c r="CF37" s="38">
        <f t="shared" si="13"/>
        <v>34.208289999999998</v>
      </c>
      <c r="CG37" s="38">
        <f t="shared" si="2"/>
        <v>34</v>
      </c>
      <c r="CP37" s="40">
        <v>385</v>
      </c>
      <c r="CQ37" s="41" t="s">
        <v>3284</v>
      </c>
      <c r="CR37" s="41" t="s">
        <v>5118</v>
      </c>
      <c r="CS37" s="41">
        <v>300</v>
      </c>
      <c r="CT37" s="41">
        <v>3</v>
      </c>
      <c r="CU37" s="41">
        <v>25</v>
      </c>
      <c r="CV37" s="41">
        <v>5</v>
      </c>
      <c r="CW37" s="40"/>
      <c r="CX37" s="41" t="s">
        <v>4716</v>
      </c>
      <c r="CY37" s="40" t="s">
        <v>4717</v>
      </c>
      <c r="DB37" t="s">
        <v>215</v>
      </c>
      <c r="DC37" s="7" t="str">
        <f t="shared" ca="1" si="9"/>
        <v>05_004</v>
      </c>
      <c r="DD37" t="s">
        <v>4783</v>
      </c>
      <c r="DE37" t="s">
        <v>4783</v>
      </c>
      <c r="DF37" t="s">
        <v>4783</v>
      </c>
      <c r="DG37" t="s">
        <v>4784</v>
      </c>
      <c r="DH37" t="s">
        <v>4754</v>
      </c>
      <c r="DI37" t="s">
        <v>5073</v>
      </c>
      <c r="DJ37" t="s">
        <v>4897</v>
      </c>
      <c r="DK37" t="s">
        <v>5050</v>
      </c>
      <c r="DL37" t="s">
        <v>5050</v>
      </c>
      <c r="DM37" t="s">
        <v>4921</v>
      </c>
    </row>
    <row r="38" spans="4:117" ht="14.6">
      <c r="D38" s="6" t="str">
        <f t="shared" si="11"/>
        <v>家乡主力军-&gt;雷电飞龙</v>
      </c>
      <c r="E38" s="6" t="str">
        <f t="shared" si="12"/>
        <v>#'2.1家乡主力军'!F56:N66</v>
      </c>
      <c r="F38" s="6" t="s">
        <v>332</v>
      </c>
      <c r="G38" s="6" t="s">
        <v>5119</v>
      </c>
      <c r="H38" s="6" t="s">
        <v>4779</v>
      </c>
      <c r="I38" s="7" t="s">
        <v>4801</v>
      </c>
      <c r="J38" s="7" t="s">
        <v>5120</v>
      </c>
      <c r="K38" s="7" t="s">
        <v>5121</v>
      </c>
      <c r="L38" s="7" t="s">
        <v>4968</v>
      </c>
      <c r="M38" s="7" t="s">
        <v>5072</v>
      </c>
      <c r="N38" s="7" t="s">
        <v>5122</v>
      </c>
      <c r="O38" s="7" t="s">
        <v>5123</v>
      </c>
      <c r="P38" s="7" t="s">
        <v>5124</v>
      </c>
      <c r="Q38" s="7" t="s">
        <v>4782</v>
      </c>
      <c r="R38" s="7" t="s">
        <v>4782</v>
      </c>
      <c r="S38" s="7">
        <f t="array" ref="S38">SUM(IFERROR(IF(MATCH(I38:R38,$F$4:$Q$4,0)&gt;0,1,0),0))</f>
        <v>2</v>
      </c>
      <c r="T38" s="7">
        <f t="shared" ref="T38:T69" ca="1" si="18">RANK(S38,INDIRECT($T$4))</f>
        <v>4</v>
      </c>
      <c r="U38" s="7">
        <f ca="1">T38+COUNTIF(T$5:$T37,T38)</f>
        <v>7</v>
      </c>
      <c r="Y38" s="12" t="s">
        <v>10</v>
      </c>
      <c r="Z38" s="7" t="str">
        <f t="shared" ca="1" si="17"/>
        <v>11_001</v>
      </c>
      <c r="AA38" t="s">
        <v>4783</v>
      </c>
      <c r="AB38" t="s">
        <v>4783</v>
      </c>
      <c r="AC38" t="s">
        <v>4834</v>
      </c>
      <c r="AD38" t="s">
        <v>4784</v>
      </c>
      <c r="AE38" t="s">
        <v>4784</v>
      </c>
      <c r="AF38" t="s">
        <v>4785</v>
      </c>
      <c r="AG38" t="s">
        <v>4785</v>
      </c>
      <c r="AH38" t="s">
        <v>4873</v>
      </c>
      <c r="AI38" t="s">
        <v>4941</v>
      </c>
      <c r="AJ38" t="s">
        <v>5106</v>
      </c>
      <c r="AK38" t="s">
        <v>5107</v>
      </c>
      <c r="AL38" t="s">
        <v>5108</v>
      </c>
      <c r="AM38" s="15" t="s">
        <v>5109</v>
      </c>
      <c r="AN38" s="15" t="s">
        <v>5110</v>
      </c>
      <c r="AO38" s="21" t="s">
        <v>5111</v>
      </c>
      <c r="AQ38" s="20">
        <v>44096</v>
      </c>
      <c r="AR38">
        <v>6</v>
      </c>
      <c r="AS38" t="s">
        <v>5017</v>
      </c>
      <c r="AT38">
        <v>4000</v>
      </c>
      <c r="AU38" t="s">
        <v>5125</v>
      </c>
      <c r="AX38" s="28">
        <v>3000</v>
      </c>
      <c r="AY38" s="28" t="s">
        <v>4794</v>
      </c>
      <c r="AZ38" s="28" t="s">
        <v>4877</v>
      </c>
      <c r="BA38" s="28" t="s">
        <v>4878</v>
      </c>
      <c r="BB38" s="28">
        <v>20</v>
      </c>
      <c r="BF38" s="29"/>
      <c r="BG38" s="29" t="s">
        <v>4740</v>
      </c>
      <c r="BH38" s="29">
        <v>0</v>
      </c>
      <c r="BI38" s="29">
        <v>1</v>
      </c>
      <c r="BJ38" s="29">
        <v>5</v>
      </c>
      <c r="BK38" s="29">
        <v>25</v>
      </c>
      <c r="BL38" s="29">
        <v>125</v>
      </c>
      <c r="BM38" s="29">
        <v>600</v>
      </c>
      <c r="BN38" s="29">
        <v>3000</v>
      </c>
      <c r="BQ38" s="37"/>
      <c r="BR38" s="37"/>
      <c r="BS38" s="37"/>
      <c r="BT38" s="37">
        <v>36</v>
      </c>
      <c r="BU38" s="37" t="b">
        <f>IF($BS$3="无",FALSE(),IF(LEFT('5.3小工具'!R43,4)=$BS$3,TRUE(),IF(AND($BS$3="免费",RIGHT('5.3小工具'!R43,2)=" 0"),TRUE(),FALSE())))</f>
        <v>0</v>
      </c>
      <c r="BV38" s="37" t="b">
        <f>IF($BS$3="无",FALSE(),IF(LEFT('5.3小工具'!T43,4)=$BS$3,TRUE(),IF(AND($BS$3="免费",RIGHT('5.3小工具'!T43,2)=" 0"),TRUE(),FALSE())))</f>
        <v>0</v>
      </c>
      <c r="BW38" s="37" t="b">
        <f>IF($BS$3="无",FALSE(),IF(LEFT('5.3小工具'!V43,4)=$BS$3,TRUE(),IF(AND($BS$3="免费",RIGHT('5.3小工具'!V43,2)=" 0"),TRUE(),FALSE())))</f>
        <v>0</v>
      </c>
      <c r="BX38" s="37"/>
      <c r="BY38" s="37" t="b">
        <f t="shared" si="0"/>
        <v>0</v>
      </c>
      <c r="BZ38" t="b">
        <f>AND(OR(LEFT('5.3小工具'!R43,4)='5.3小工具'!$Y$42,'5.3小工具'!$Y$42=""),OR(LEFT('5.3小工具'!T43,4)='5.3小工具'!$AA$42,'5.3小工具'!$AA$42=""),OR(LEFT('5.3小工具'!V43,4)='5.3小工具'!$AC$42,'5.3小工具'!$AC$42=""))</f>
        <v>1</v>
      </c>
      <c r="CD38" s="38">
        <v>34</v>
      </c>
      <c r="CE38" s="38">
        <f t="shared" si="8"/>
        <v>2.7449532945064519</v>
      </c>
      <c r="CF38" s="38">
        <f t="shared" si="13"/>
        <v>35.203960000000002</v>
      </c>
      <c r="CG38" s="38">
        <f t="shared" si="2"/>
        <v>35</v>
      </c>
      <c r="CP38" s="40">
        <v>386</v>
      </c>
      <c r="CQ38" s="41" t="s">
        <v>3288</v>
      </c>
      <c r="CR38" s="41" t="s">
        <v>5126</v>
      </c>
      <c r="CS38" s="41">
        <v>300</v>
      </c>
      <c r="CT38" s="41">
        <v>3</v>
      </c>
      <c r="CU38" s="41">
        <v>25</v>
      </c>
      <c r="CV38" s="41">
        <v>5</v>
      </c>
      <c r="CW38" s="40"/>
      <c r="CX38" s="41" t="s">
        <v>4716</v>
      </c>
      <c r="CY38" s="40" t="s">
        <v>4717</v>
      </c>
      <c r="DB38" t="s">
        <v>216</v>
      </c>
      <c r="DC38" s="7" t="str">
        <f t="shared" ca="1" si="9"/>
        <v>05_005</v>
      </c>
      <c r="DD38" t="s">
        <v>4783</v>
      </c>
      <c r="DE38" t="s">
        <v>4783</v>
      </c>
      <c r="DF38" t="s">
        <v>4783</v>
      </c>
      <c r="DG38" t="s">
        <v>4783</v>
      </c>
      <c r="DH38" t="s">
        <v>4784</v>
      </c>
      <c r="DI38" t="s">
        <v>4755</v>
      </c>
      <c r="DJ38" t="s">
        <v>5073</v>
      </c>
      <c r="DK38" t="s">
        <v>5050</v>
      </c>
      <c r="DL38" t="s">
        <v>4898</v>
      </c>
      <c r="DM38" t="s">
        <v>5051</v>
      </c>
    </row>
    <row r="39" spans="4:117" ht="14.6">
      <c r="D39" s="6" t="str">
        <f t="shared" si="11"/>
        <v>家乡主力军-&gt;雪怪</v>
      </c>
      <c r="E39" s="6" t="str">
        <f t="shared" si="12"/>
        <v>#'2.1家乡主力军'!P59:W69</v>
      </c>
      <c r="F39" s="6" t="s">
        <v>334</v>
      </c>
      <c r="G39" s="6" t="s">
        <v>5127</v>
      </c>
      <c r="H39" s="6" t="s">
        <v>4779</v>
      </c>
      <c r="I39" s="7" t="s">
        <v>4801</v>
      </c>
      <c r="J39" s="7" t="s">
        <v>5057</v>
      </c>
      <c r="K39" s="7" t="s">
        <v>5128</v>
      </c>
      <c r="L39" s="7" t="s">
        <v>4859</v>
      </c>
      <c r="M39" s="7" t="s">
        <v>2044</v>
      </c>
      <c r="N39" s="7" t="s">
        <v>5033</v>
      </c>
      <c r="O39" s="7" t="s">
        <v>4782</v>
      </c>
      <c r="P39" s="7" t="s">
        <v>4782</v>
      </c>
      <c r="Q39" s="7" t="s">
        <v>4782</v>
      </c>
      <c r="R39" s="7" t="s">
        <v>4782</v>
      </c>
      <c r="S39" s="7">
        <f t="array" ref="S39">SUM(IFERROR(IF(MATCH(I39:R39,$F$4:$Q$4,0)&gt;0,1,0),0))</f>
        <v>0</v>
      </c>
      <c r="T39" s="7">
        <f t="shared" ca="1" si="18"/>
        <v>37</v>
      </c>
      <c r="U39" s="7">
        <f ca="1">T39+COUNTIF(T$5:$T38,T39)</f>
        <v>65</v>
      </c>
      <c r="Y39" s="12" t="s">
        <v>15</v>
      </c>
      <c r="Z39" s="7" t="str">
        <f t="shared" ca="1" si="17"/>
        <v>13_001</v>
      </c>
      <c r="AA39" t="s">
        <v>4783</v>
      </c>
      <c r="AB39" t="s">
        <v>4783</v>
      </c>
      <c r="AC39" t="s">
        <v>5129</v>
      </c>
      <c r="AD39" t="s">
        <v>4784</v>
      </c>
      <c r="AE39" t="s">
        <v>4785</v>
      </c>
      <c r="AF39" t="s">
        <v>4873</v>
      </c>
      <c r="AG39" t="s">
        <v>4941</v>
      </c>
      <c r="AH39" t="s">
        <v>5106</v>
      </c>
      <c r="AI39" t="s">
        <v>5107</v>
      </c>
      <c r="AJ39" t="s">
        <v>5108</v>
      </c>
      <c r="AK39" t="s">
        <v>5109</v>
      </c>
      <c r="AL39" t="s">
        <v>5110</v>
      </c>
      <c r="AM39" s="15" t="s">
        <v>5111</v>
      </c>
      <c r="AN39" s="15" t="s">
        <v>5112</v>
      </c>
      <c r="AO39" s="21" t="s">
        <v>5113</v>
      </c>
      <c r="AQ39" s="20">
        <v>44065</v>
      </c>
      <c r="AR39">
        <v>6</v>
      </c>
      <c r="AS39" t="s">
        <v>5017</v>
      </c>
      <c r="AT39">
        <v>5000</v>
      </c>
      <c r="AU39" t="s">
        <v>5130</v>
      </c>
      <c r="AX39" s="28">
        <v>7500</v>
      </c>
      <c r="AY39" s="28" t="s">
        <v>4893</v>
      </c>
      <c r="AZ39" s="28" t="s">
        <v>4713</v>
      </c>
      <c r="BA39" s="28" t="s">
        <v>4771</v>
      </c>
      <c r="BB39" s="28">
        <v>40</v>
      </c>
      <c r="BF39" s="29"/>
      <c r="BG39" s="29" t="s">
        <v>4748</v>
      </c>
      <c r="BH39" s="29">
        <v>0</v>
      </c>
      <c r="BI39" s="29">
        <v>1</v>
      </c>
      <c r="BJ39" s="29">
        <v>10</v>
      </c>
      <c r="BK39" s="29">
        <v>50</v>
      </c>
      <c r="BL39" s="29">
        <v>250</v>
      </c>
      <c r="BM39" s="29">
        <v>1200</v>
      </c>
      <c r="BN39" s="29">
        <v>6000</v>
      </c>
      <c r="BQ39" s="37"/>
      <c r="BR39" s="37"/>
      <c r="BS39" s="37"/>
      <c r="BT39" s="37">
        <v>37</v>
      </c>
      <c r="BU39" s="37" t="b">
        <f>IF($BS$3="无",FALSE(),IF(LEFT('5.3小工具'!R44,4)=$BS$3,TRUE(),IF(AND($BS$3="免费",RIGHT('5.3小工具'!R44,2)=" 0"),TRUE(),FALSE())))</f>
        <v>0</v>
      </c>
      <c r="BV39" s="37" t="b">
        <f>IF($BS$3="无",FALSE(),IF(LEFT('5.3小工具'!T44,4)=$BS$3,TRUE(),IF(AND($BS$3="免费",RIGHT('5.3小工具'!T44,2)=" 0"),TRUE(),FALSE())))</f>
        <v>0</v>
      </c>
      <c r="BW39" s="37" t="b">
        <f>IF($BS$3="无",FALSE(),IF(LEFT('5.3小工具'!V44,4)=$BS$3,TRUE(),IF(AND($BS$3="免费",RIGHT('5.3小工具'!V44,2)=" 0"),TRUE(),FALSE())))</f>
        <v>0</v>
      </c>
      <c r="BX39" s="37"/>
      <c r="BY39" s="37" t="b">
        <f t="shared" si="0"/>
        <v>0</v>
      </c>
      <c r="BZ39" t="b">
        <f>AND(OR(LEFT('5.3小工具'!R44,4)='5.3小工具'!$Y$42,'5.3小工具'!$Y$42=""),OR(LEFT('5.3小工具'!T44,4)='5.3小工具'!$AA$42,'5.3小工具'!$AA$42=""),OR(LEFT('5.3小工具'!V44,4)='5.3小工具'!$AC$42,'5.3小工具'!$AC$42=""))</f>
        <v>1</v>
      </c>
      <c r="CD39" s="38">
        <v>35</v>
      </c>
      <c r="CE39" s="38">
        <f t="shared" si="8"/>
        <v>2.7594460481296403</v>
      </c>
      <c r="CF39" s="38">
        <f t="shared" si="13"/>
        <v>36.199759999999998</v>
      </c>
      <c r="CG39" s="38">
        <f t="shared" si="2"/>
        <v>36</v>
      </c>
      <c r="CP39" s="40">
        <v>387</v>
      </c>
      <c r="CQ39" s="41" t="s">
        <v>3296</v>
      </c>
      <c r="CR39" s="41" t="s">
        <v>5131</v>
      </c>
      <c r="CS39" s="41">
        <v>300</v>
      </c>
      <c r="CT39" s="41">
        <v>3</v>
      </c>
      <c r="CU39" s="41">
        <v>25</v>
      </c>
      <c r="CV39" s="41">
        <v>5</v>
      </c>
      <c r="CW39" s="40"/>
      <c r="CX39" s="41" t="s">
        <v>4716</v>
      </c>
      <c r="CY39" s="40" t="s">
        <v>4717</v>
      </c>
      <c r="DC39" s="7"/>
    </row>
    <row r="40" spans="4:117" ht="14.6">
      <c r="D40" s="6" t="str">
        <f t="shared" si="11"/>
        <v>家乡主力军-&gt;龙骑士</v>
      </c>
      <c r="E40" s="6" t="str">
        <f t="shared" si="12"/>
        <v>#'2.1家乡主力军'!F69:N79</v>
      </c>
      <c r="F40" s="7" t="s">
        <v>337</v>
      </c>
      <c r="G40" s="7" t="s">
        <v>5132</v>
      </c>
      <c r="H40" s="6" t="s">
        <v>4779</v>
      </c>
      <c r="I40" s="7" t="s">
        <v>5072</v>
      </c>
      <c r="J40" s="7" t="s">
        <v>4903</v>
      </c>
      <c r="K40" s="7" t="s">
        <v>4904</v>
      </c>
      <c r="L40" s="7" t="s">
        <v>4782</v>
      </c>
      <c r="M40" s="7" t="s">
        <v>4782</v>
      </c>
      <c r="N40" s="7" t="s">
        <v>4782</v>
      </c>
      <c r="O40" s="7" t="s">
        <v>4782</v>
      </c>
      <c r="P40" s="7" t="s">
        <v>4782</v>
      </c>
      <c r="Q40" s="7" t="s">
        <v>4782</v>
      </c>
      <c r="R40" s="7" t="s">
        <v>4782</v>
      </c>
      <c r="S40" s="7">
        <f t="array" ref="S40">SUM(IFERROR(IF(MATCH(I40:R40,$F$4:$Q$4,0)&gt;0,1,0),0))</f>
        <v>1</v>
      </c>
      <c r="T40" s="7">
        <f t="shared" ca="1" si="18"/>
        <v>20</v>
      </c>
      <c r="U40" s="7">
        <f ca="1">T40+COUNTIF(T$5:$T39,T40)</f>
        <v>21</v>
      </c>
      <c r="Y40" s="12" t="s">
        <v>21</v>
      </c>
      <c r="Z40" s="7" t="str">
        <f t="shared" ca="1" si="17"/>
        <v>16_001</v>
      </c>
      <c r="AA40" t="s">
        <v>4785</v>
      </c>
      <c r="AB40" t="s">
        <v>5133</v>
      </c>
      <c r="AC40" t="s">
        <v>5134</v>
      </c>
      <c r="AD40" t="s">
        <v>5135</v>
      </c>
      <c r="AE40" t="s">
        <v>5136</v>
      </c>
      <c r="AF40" t="s">
        <v>5137</v>
      </c>
      <c r="AG40" t="s">
        <v>5138</v>
      </c>
      <c r="AH40" t="s">
        <v>5139</v>
      </c>
      <c r="AI40" t="s">
        <v>5140</v>
      </c>
      <c r="AJ40" t="s">
        <v>5141</v>
      </c>
      <c r="AK40" t="s">
        <v>5142</v>
      </c>
      <c r="AL40" s="13" t="s">
        <v>5143</v>
      </c>
      <c r="AM40" s="15" t="s">
        <v>5144</v>
      </c>
      <c r="AN40" s="15" t="s">
        <v>5145</v>
      </c>
      <c r="AO40" s="21" t="s">
        <v>5145</v>
      </c>
      <c r="AQ40" s="20">
        <v>44034</v>
      </c>
      <c r="AR40">
        <v>6</v>
      </c>
      <c r="AS40" t="s">
        <v>5017</v>
      </c>
      <c r="AT40">
        <v>4000</v>
      </c>
      <c r="AU40" t="s">
        <v>5146</v>
      </c>
      <c r="AX40" s="28">
        <v>12000</v>
      </c>
      <c r="AY40" s="28" t="s">
        <v>4747</v>
      </c>
      <c r="AZ40" s="28" t="s">
        <v>4737</v>
      </c>
      <c r="BA40" s="28" t="s">
        <v>4795</v>
      </c>
      <c r="BB40" s="28">
        <v>60</v>
      </c>
      <c r="BF40" s="29"/>
      <c r="BG40" s="29"/>
      <c r="BH40" s="29"/>
      <c r="BI40" s="29"/>
      <c r="BJ40" s="29"/>
      <c r="BK40" s="29"/>
      <c r="BL40" s="29"/>
      <c r="BM40" s="29"/>
      <c r="BN40" s="29"/>
      <c r="BQ40" s="37"/>
      <c r="BR40" s="37"/>
      <c r="BS40" s="37"/>
      <c r="BT40" s="37">
        <v>38</v>
      </c>
      <c r="BU40" s="37" t="b">
        <f>IF($BS$3="无",FALSE(),IF(LEFT('5.3小工具'!R45,4)=$BS$3,TRUE(),IF(AND($BS$3="免费",RIGHT('5.3小工具'!R45,2)=" 0"),TRUE(),FALSE())))</f>
        <v>0</v>
      </c>
      <c r="BV40" s="37" t="b">
        <f>IF($BS$3="无",FALSE(),IF(LEFT('5.3小工具'!T45,4)=$BS$3,TRUE(),IF(AND($BS$3="免费",RIGHT('5.3小工具'!T45,2)=" 0"),TRUE(),FALSE())))</f>
        <v>0</v>
      </c>
      <c r="BW40" s="37" t="b">
        <f>IF($BS$3="无",FALSE(),IF(LEFT('5.3小工具'!V45,4)=$BS$3,TRUE(),IF(AND($BS$3="免费",RIGHT('5.3小工具'!V45,2)=" 0"),TRUE(),FALSE())))</f>
        <v>0</v>
      </c>
      <c r="BX40" s="37"/>
      <c r="BY40" s="37" t="b">
        <f t="shared" si="0"/>
        <v>0</v>
      </c>
      <c r="BZ40" t="b">
        <f>AND(OR(LEFT('5.3小工具'!R45,4)='5.3小工具'!$Y$42,'5.3小工具'!$Y$42=""),OR(LEFT('5.3小工具'!T45,4)='5.3小工具'!$AA$42,'5.3小工具'!$AA$42=""),OR(LEFT('5.3小工具'!V45,4)='5.3小工具'!$AC$42,'5.3小工具'!$AC$42=""))</f>
        <v>1</v>
      </c>
      <c r="CD40" s="38">
        <v>36</v>
      </c>
      <c r="CE40" s="38">
        <f t="shared" si="8"/>
        <v>2.7735305551718938</v>
      </c>
      <c r="CF40" s="38">
        <f t="shared" si="13"/>
        <v>37.195680000000003</v>
      </c>
      <c r="CG40" s="38">
        <f t="shared" si="2"/>
        <v>37</v>
      </c>
      <c r="CP40" s="40">
        <v>388</v>
      </c>
      <c r="CQ40" s="41" t="s">
        <v>3296</v>
      </c>
      <c r="CR40" s="41" t="s">
        <v>5131</v>
      </c>
      <c r="CS40" s="41">
        <v>300</v>
      </c>
      <c r="CT40" s="41">
        <v>3</v>
      </c>
      <c r="CU40" s="41">
        <v>25</v>
      </c>
      <c r="CV40" s="41">
        <v>5</v>
      </c>
      <c r="CW40" s="40"/>
      <c r="CX40" s="41" t="s">
        <v>4716</v>
      </c>
      <c r="CY40" s="40" t="s">
        <v>4717</v>
      </c>
      <c r="DB40" t="s">
        <v>218</v>
      </c>
      <c r="DC40" s="7">
        <f t="shared" ca="1" si="9"/>
        <v>50</v>
      </c>
      <c r="DD40">
        <v>50</v>
      </c>
      <c r="DE40">
        <v>50</v>
      </c>
      <c r="DF40">
        <v>50</v>
      </c>
      <c r="DG40">
        <v>50</v>
      </c>
      <c r="DH40">
        <v>50</v>
      </c>
      <c r="DI40">
        <v>50</v>
      </c>
      <c r="DJ40">
        <v>50</v>
      </c>
      <c r="DK40">
        <v>50</v>
      </c>
      <c r="DL40">
        <v>50</v>
      </c>
      <c r="DM40">
        <v>50</v>
      </c>
    </row>
    <row r="41" spans="4:117" ht="14.6">
      <c r="D41" s="6" t="str">
        <f t="shared" si="11"/>
        <v>家乡支援军-&gt;气球火箭兵</v>
      </c>
      <c r="E41" s="6" t="str">
        <f t="shared" si="12"/>
        <v>#'2.2家乡支援军'!AD103:AJ115</v>
      </c>
      <c r="F41" s="7" t="s">
        <v>922</v>
      </c>
      <c r="G41" s="7" t="s">
        <v>5147</v>
      </c>
      <c r="H41" s="6" t="s">
        <v>5148</v>
      </c>
      <c r="I41" s="7" t="s">
        <v>5149</v>
      </c>
      <c r="J41" s="7" t="s">
        <v>4870</v>
      </c>
      <c r="K41" s="7" t="s">
        <v>5022</v>
      </c>
      <c r="L41" s="7" t="s">
        <v>5023</v>
      </c>
      <c r="M41" s="7" t="s">
        <v>5024</v>
      </c>
      <c r="N41" s="7" t="s">
        <v>5085</v>
      </c>
      <c r="O41" s="7" t="s">
        <v>4782</v>
      </c>
      <c r="P41" s="7" t="s">
        <v>4782</v>
      </c>
      <c r="Q41" s="7" t="s">
        <v>4782</v>
      </c>
      <c r="R41" s="7" t="s">
        <v>4782</v>
      </c>
      <c r="S41" s="7">
        <f t="array" ref="S41">SUM(IFERROR(IF(MATCH(I41:R41,$F$4:$Q$4,0)&gt;0,1,0),0))</f>
        <v>0</v>
      </c>
      <c r="T41" s="7">
        <f t="shared" ca="1" si="18"/>
        <v>37</v>
      </c>
      <c r="U41" s="7">
        <f ca="1">T41+COUNTIF(T$5:$T40,T41)</f>
        <v>66</v>
      </c>
      <c r="Y41" s="12" t="s">
        <v>27</v>
      </c>
      <c r="Z41" s="7" t="str">
        <f t="shared" ca="1" si="17"/>
        <v>09_001</v>
      </c>
      <c r="AA41" t="s">
        <v>4783</v>
      </c>
      <c r="AB41" t="s">
        <v>4783</v>
      </c>
      <c r="AC41" t="s">
        <v>4783</v>
      </c>
      <c r="AD41" t="s">
        <v>4783</v>
      </c>
      <c r="AE41" t="s">
        <v>4783</v>
      </c>
      <c r="AF41" t="s">
        <v>4783</v>
      </c>
      <c r="AG41" t="s">
        <v>4784</v>
      </c>
      <c r="AH41" t="s">
        <v>5133</v>
      </c>
      <c r="AI41" t="s">
        <v>5135</v>
      </c>
      <c r="AJ41" t="s">
        <v>5136</v>
      </c>
      <c r="AK41" t="s">
        <v>5137</v>
      </c>
      <c r="AL41" s="13" t="s">
        <v>5138</v>
      </c>
      <c r="AM41" s="16" t="s">
        <v>5138</v>
      </c>
      <c r="AN41" s="16" t="s">
        <v>5138</v>
      </c>
      <c r="AO41" s="17" t="s">
        <v>5109</v>
      </c>
      <c r="AQ41" s="20">
        <v>44005</v>
      </c>
      <c r="AR41">
        <v>6</v>
      </c>
      <c r="AS41" t="s">
        <v>5017</v>
      </c>
      <c r="AT41">
        <v>4000</v>
      </c>
      <c r="AU41" t="s">
        <v>5150</v>
      </c>
      <c r="AX41" s="28">
        <v>18000</v>
      </c>
      <c r="AY41" s="28" t="s">
        <v>4865</v>
      </c>
      <c r="AZ41" s="28" t="s">
        <v>4855</v>
      </c>
      <c r="BA41" s="28" t="s">
        <v>5151</v>
      </c>
      <c r="BB41" s="28">
        <v>80</v>
      </c>
      <c r="BF41" s="29"/>
      <c r="BG41" s="29" t="s">
        <v>5152</v>
      </c>
      <c r="BH41" s="29">
        <f>'5.3小工具'!I58</f>
        <v>125</v>
      </c>
      <c r="BI41" s="29" t="s">
        <v>4773</v>
      </c>
      <c r="BJ41" s="29">
        <f ca="1">MATCH(BH41,OFFSET(BH36,BL41,0,1,7),1)</f>
        <v>5</v>
      </c>
      <c r="BK41" s="29" t="s">
        <v>4774</v>
      </c>
      <c r="BL41" s="29">
        <f>VALUE(LEFT('5.3小工具'!I59,1))</f>
        <v>1</v>
      </c>
      <c r="BM41" s="29"/>
      <c r="BN41" s="29"/>
      <c r="BQ41" s="37"/>
      <c r="BR41" s="37"/>
      <c r="BS41" s="37"/>
      <c r="BT41" s="37">
        <v>39</v>
      </c>
      <c r="BU41" s="37" t="b">
        <f>IF($BS$3="无",FALSE(),IF(LEFT('5.3小工具'!R46,4)=$BS$3,TRUE(),IF(AND($BS$3="免费",RIGHT('5.3小工具'!R46,2)=" 0"),TRUE(),FALSE())))</f>
        <v>0</v>
      </c>
      <c r="BV41" s="37" t="b">
        <f>IF($BS$3="无",FALSE(),IF(LEFT('5.3小工具'!T46,4)=$BS$3,TRUE(),IF(AND($BS$3="免费",RIGHT('5.3小工具'!T46,2)=" 0"),TRUE(),FALSE())))</f>
        <v>0</v>
      </c>
      <c r="BW41" s="37" t="b">
        <f>IF($BS$3="无",FALSE(),IF(LEFT('5.3小工具'!V46,4)=$BS$3,TRUE(),IF(AND($BS$3="免费",RIGHT('5.3小工具'!V46,2)=" 0"),TRUE(),FALSE())))</f>
        <v>0</v>
      </c>
      <c r="BX41" s="37"/>
      <c r="BY41" s="37" t="b">
        <f t="shared" si="0"/>
        <v>0</v>
      </c>
      <c r="BZ41" t="b">
        <f>AND(OR(LEFT('5.3小工具'!R46,4)='5.3小工具'!$Y$42,'5.3小工具'!$Y$42=""),OR(LEFT('5.3小工具'!T46,4)='5.3小工具'!$AA$42,'5.3小工具'!$AA$42=""),OR(LEFT('5.3小工具'!V46,4)='5.3小工具'!$AC$42,'5.3小工具'!$AC$42=""))</f>
        <v>1</v>
      </c>
      <c r="CD41" s="38">
        <v>37</v>
      </c>
      <c r="CE41" s="38">
        <f t="shared" si="8"/>
        <v>2.7872291853088802</v>
      </c>
      <c r="CF41" s="38">
        <f t="shared" si="13"/>
        <v>38.191699999999997</v>
      </c>
      <c r="CG41" s="38">
        <f t="shared" si="2"/>
        <v>38</v>
      </c>
      <c r="CP41" s="40">
        <v>389</v>
      </c>
      <c r="CQ41" s="41" t="s">
        <v>3300</v>
      </c>
      <c r="CR41" s="41" t="s">
        <v>5153</v>
      </c>
      <c r="CS41" s="41">
        <v>300</v>
      </c>
      <c r="CT41" s="41">
        <v>3</v>
      </c>
      <c r="CU41" s="41">
        <v>25</v>
      </c>
      <c r="CV41" s="41">
        <v>5</v>
      </c>
      <c r="CW41" s="40"/>
      <c r="CX41" s="41" t="s">
        <v>4716</v>
      </c>
      <c r="CY41" s="40" t="s">
        <v>4717</v>
      </c>
      <c r="DC41" s="7"/>
    </row>
    <row r="42" spans="4:117" ht="14.6">
      <c r="D42" s="6" t="str">
        <f t="shared" si="11"/>
        <v>家乡支援军-&gt;超级亡灵</v>
      </c>
      <c r="E42" s="6" t="str">
        <f t="shared" si="12"/>
        <v>#'2.2家乡支援军'!AX75:BC85</v>
      </c>
      <c r="F42" s="6" t="s">
        <v>907</v>
      </c>
      <c r="G42" s="6" t="s">
        <v>5154</v>
      </c>
      <c r="H42" s="6" t="s">
        <v>5148</v>
      </c>
      <c r="I42" s="7" t="s">
        <v>5085</v>
      </c>
      <c r="J42" s="7" t="s">
        <v>5155</v>
      </c>
      <c r="K42" s="7" t="s">
        <v>4802</v>
      </c>
      <c r="L42" s="7" t="s">
        <v>4803</v>
      </c>
      <c r="M42" s="7" t="s">
        <v>4804</v>
      </c>
      <c r="N42" s="7" t="s">
        <v>4805</v>
      </c>
      <c r="O42" s="7" t="s">
        <v>5156</v>
      </c>
      <c r="P42" s="7" t="s">
        <v>5157</v>
      </c>
      <c r="Q42" s="7" t="s">
        <v>4782</v>
      </c>
      <c r="R42" s="7" t="s">
        <v>4782</v>
      </c>
      <c r="S42" s="7">
        <f t="array" ref="S42">SUM(IFERROR(IF(MATCH(I42:R42,$F$4:$Q$4,0)&gt;0,1,0),0))</f>
        <v>0</v>
      </c>
      <c r="T42" s="7">
        <f t="shared" ca="1" si="18"/>
        <v>37</v>
      </c>
      <c r="U42" s="7">
        <f ca="1">T42+COUNTIF(T$5:$T41,T42)</f>
        <v>67</v>
      </c>
      <c r="Y42" s="12" t="s">
        <v>33</v>
      </c>
      <c r="Z42" s="7" t="str">
        <f t="shared" ca="1" si="17"/>
        <v>12_004</v>
      </c>
      <c r="AA42" t="s">
        <v>4834</v>
      </c>
      <c r="AB42" t="s">
        <v>4784</v>
      </c>
      <c r="AC42" t="s">
        <v>4755</v>
      </c>
      <c r="AD42" t="s">
        <v>4756</v>
      </c>
      <c r="AE42" t="s">
        <v>4835</v>
      </c>
      <c r="AF42" t="s">
        <v>4758</v>
      </c>
      <c r="AG42" t="s">
        <v>4836</v>
      </c>
      <c r="AH42" t="s">
        <v>4836</v>
      </c>
      <c r="AI42" t="s">
        <v>4837</v>
      </c>
      <c r="AJ42" t="s">
        <v>4786</v>
      </c>
      <c r="AK42" t="s">
        <v>4852</v>
      </c>
      <c r="AL42" t="s">
        <v>4838</v>
      </c>
      <c r="AM42" s="16" t="s">
        <v>4853</v>
      </c>
      <c r="AN42" s="16" t="s">
        <v>4853</v>
      </c>
      <c r="AO42" s="17" t="s">
        <v>4839</v>
      </c>
      <c r="AQ42" s="20">
        <v>43973</v>
      </c>
      <c r="AR42">
        <v>6</v>
      </c>
      <c r="AS42" t="s">
        <v>5017</v>
      </c>
      <c r="AT42">
        <v>4000</v>
      </c>
      <c r="AU42" t="s">
        <v>5158</v>
      </c>
      <c r="AX42" s="28">
        <v>30000</v>
      </c>
      <c r="AY42" s="28" t="s">
        <v>4945</v>
      </c>
      <c r="AZ42" s="28" t="s">
        <v>5117</v>
      </c>
      <c r="BA42" s="28" t="s">
        <v>4962</v>
      </c>
      <c r="BB42" s="28">
        <v>100</v>
      </c>
      <c r="BF42" s="29"/>
      <c r="BG42" s="29" t="s">
        <v>4796</v>
      </c>
      <c r="BH42" s="29">
        <f ca="1">(BI36-BH36)/(OFFSET(BG36,BL41,BH44+1)-OFFSET(BG36,BL41,BH44))</f>
        <v>100</v>
      </c>
      <c r="BI42" s="29">
        <f ca="1">(BJ36-BI36)/(OFFSET(BG36,BL41,BI44+1)-OFFSET(BG36,BL41,BI44))</f>
        <v>225</v>
      </c>
      <c r="BJ42" s="29">
        <f ca="1">(BK36-BJ36)/(OFFSET(BG36,BL41,BJ44+1)-OFFSET(BG36,BL41,BJ44))</f>
        <v>450</v>
      </c>
      <c r="BK42" s="29">
        <f ca="1">(BL36-BK36)/(OFFSET(BG36,BL41,BK44+1)-OFFSET(BG36,BL41,BK44))</f>
        <v>900</v>
      </c>
      <c r="BL42" s="29">
        <f ca="1">(BM36-BL36)/(OFFSET(BG36,BL41,BL44+1)-OFFSET(BG36,BL41,BL44))</f>
        <v>1894.7368421052631</v>
      </c>
      <c r="BM42" s="29">
        <f ca="1">(BN36-BM36)/(OFFSET(BG36,BL41,BM44+1)-OFFSET(BG36,BL41,BM44))</f>
        <v>3750</v>
      </c>
      <c r="BN42" s="29">
        <f ca="1">BM42</f>
        <v>3750</v>
      </c>
      <c r="CD42" s="38">
        <v>38</v>
      </c>
      <c r="CE42" s="38">
        <f t="shared" si="8"/>
        <v>2.8005625186422134</v>
      </c>
      <c r="CF42" s="38">
        <f t="shared" si="13"/>
        <v>39.187840000000001</v>
      </c>
      <c r="CG42" s="38">
        <f t="shared" si="2"/>
        <v>39</v>
      </c>
      <c r="CP42" s="40">
        <v>390</v>
      </c>
      <c r="CQ42" s="41" t="s">
        <v>3307</v>
      </c>
      <c r="CR42" s="41" t="s">
        <v>5159</v>
      </c>
      <c r="CS42" s="41">
        <v>300</v>
      </c>
      <c r="CT42" s="41">
        <v>3</v>
      </c>
      <c r="CU42" s="41">
        <v>25</v>
      </c>
      <c r="CV42" s="41">
        <v>5</v>
      </c>
      <c r="CW42" s="40"/>
      <c r="CX42" s="41" t="s">
        <v>4716</v>
      </c>
      <c r="CY42" s="40" t="s">
        <v>4717</v>
      </c>
      <c r="DB42" t="s">
        <v>170</v>
      </c>
      <c r="DC42" s="7">
        <f ca="1">DC6</f>
        <v>5</v>
      </c>
    </row>
    <row r="43" spans="4:117" ht="14.6">
      <c r="D43" s="6" t="str">
        <f t="shared" si="11"/>
        <v>家乡支援军-&gt;寒冰猎犬</v>
      </c>
      <c r="E43" s="6" t="str">
        <f t="shared" si="12"/>
        <v>#'2.2家乡支援军'!AN89:AU100</v>
      </c>
      <c r="F43" s="6" t="s">
        <v>912</v>
      </c>
      <c r="G43" s="6" t="s">
        <v>5160</v>
      </c>
      <c r="H43" s="6" t="s">
        <v>5148</v>
      </c>
      <c r="I43" s="7" t="s">
        <v>5085</v>
      </c>
      <c r="J43" s="7" t="s">
        <v>5155</v>
      </c>
      <c r="K43" s="7" t="s">
        <v>5161</v>
      </c>
      <c r="L43" s="7" t="s">
        <v>5056</v>
      </c>
      <c r="M43" s="7" t="s">
        <v>5031</v>
      </c>
      <c r="N43" s="7" t="s">
        <v>5032</v>
      </c>
      <c r="O43" s="7" t="s">
        <v>2760</v>
      </c>
      <c r="P43" s="7" t="s">
        <v>2044</v>
      </c>
      <c r="Q43" s="7" t="s">
        <v>5033</v>
      </c>
      <c r="R43" s="7" t="s">
        <v>4782</v>
      </c>
      <c r="S43" s="7">
        <f t="array" ref="S43">SUM(IFERROR(IF(MATCH(I43:R43,$F$4:$Q$4,0)&gt;0,1,0),0))</f>
        <v>0</v>
      </c>
      <c r="T43" s="7">
        <f t="shared" ca="1" si="18"/>
        <v>37</v>
      </c>
      <c r="U43" s="7">
        <f ca="1">T43+COUNTIF(T$5:$T42,T43)</f>
        <v>68</v>
      </c>
      <c r="Y43" s="12" t="s">
        <v>39</v>
      </c>
      <c r="Z43" s="7" t="str">
        <f t="shared" ca="1" si="17"/>
        <v>07_001</v>
      </c>
      <c r="AA43" t="s">
        <v>4783</v>
      </c>
      <c r="AB43" t="s">
        <v>4783</v>
      </c>
      <c r="AC43" t="s">
        <v>4783</v>
      </c>
      <c r="AD43" t="s">
        <v>4783</v>
      </c>
      <c r="AE43" t="s">
        <v>4834</v>
      </c>
      <c r="AF43" t="s">
        <v>4784</v>
      </c>
      <c r="AG43" t="s">
        <v>4785</v>
      </c>
      <c r="AH43" t="s">
        <v>4785</v>
      </c>
      <c r="AI43" t="s">
        <v>4873</v>
      </c>
      <c r="AJ43" t="s">
        <v>4941</v>
      </c>
      <c r="AK43" s="13" t="s">
        <v>5106</v>
      </c>
      <c r="AL43" s="13" t="s">
        <v>5106</v>
      </c>
      <c r="AM43" s="16" t="s">
        <v>5106</v>
      </c>
      <c r="AN43" s="16" t="s">
        <v>5106</v>
      </c>
      <c r="AO43" s="17" t="s">
        <v>5107</v>
      </c>
      <c r="AQ43" s="20">
        <v>43943</v>
      </c>
      <c r="AR43">
        <v>6</v>
      </c>
      <c r="AS43" t="s">
        <v>5017</v>
      </c>
      <c r="AT43">
        <v>4000</v>
      </c>
      <c r="AU43" t="s">
        <v>5162</v>
      </c>
      <c r="AX43" s="28">
        <v>50000</v>
      </c>
      <c r="AY43" s="28" t="s">
        <v>5163</v>
      </c>
      <c r="AZ43" s="28" t="s">
        <v>5164</v>
      </c>
      <c r="BA43" s="28" t="s">
        <v>4714</v>
      </c>
      <c r="BB43" s="28">
        <v>120</v>
      </c>
      <c r="BF43" s="29"/>
      <c r="BG43" s="29" t="s">
        <v>4825</v>
      </c>
      <c r="BH43" s="29">
        <f ca="1">BI36-OFFSET(BH36,BL41,BH44)*BH42</f>
        <v>0</v>
      </c>
      <c r="BI43" s="29">
        <f ca="1">BJ36-OFFSET(BH36,BL41,BI44)*BI42</f>
        <v>-125</v>
      </c>
      <c r="BJ43" s="29">
        <f ca="1">BK36-OFFSET(BH36,BL41,BJ44)*BJ42</f>
        <v>-1250</v>
      </c>
      <c r="BK43" s="29">
        <f ca="1">BL36-OFFSET(BH36,BL41,BK44)*BK42</f>
        <v>-12500</v>
      </c>
      <c r="BL43" s="29">
        <f ca="1">BM36-OFFSET(BH36,BL41,BL44)*BL42</f>
        <v>-136842.10526315798</v>
      </c>
      <c r="BM43" s="29">
        <f ca="1">BN36-OFFSET(BH36,BL41,BM44)*BM42</f>
        <v>-1250000</v>
      </c>
      <c r="BN43" s="29">
        <f ca="1">BM43</f>
        <v>-1250000</v>
      </c>
      <c r="CD43" s="38">
        <v>39</v>
      </c>
      <c r="CE43" s="38">
        <f t="shared" si="8"/>
        <v>2.8135495316292265</v>
      </c>
      <c r="CF43" s="38">
        <f t="shared" si="13"/>
        <v>40.184069999999998</v>
      </c>
      <c r="CG43" s="38">
        <f t="shared" si="2"/>
        <v>40</v>
      </c>
      <c r="CP43" s="40">
        <v>391</v>
      </c>
      <c r="CQ43" s="41" t="s">
        <v>3313</v>
      </c>
      <c r="CR43" s="41" t="s">
        <v>5165</v>
      </c>
      <c r="CS43" s="41">
        <v>300</v>
      </c>
      <c r="CT43" s="41">
        <v>3</v>
      </c>
      <c r="CU43" s="41">
        <v>25</v>
      </c>
      <c r="CV43" s="41">
        <v>5</v>
      </c>
      <c r="CW43" s="40"/>
      <c r="CX43" s="41" t="s">
        <v>4716</v>
      </c>
      <c r="CY43" s="40" t="s">
        <v>4717</v>
      </c>
      <c r="DC43" s="7"/>
    </row>
    <row r="44" spans="4:117" ht="14.6">
      <c r="D44" s="6" t="str">
        <f t="shared" si="11"/>
        <v>家乡支援军-&gt;攻城气球</v>
      </c>
      <c r="E44" s="6" t="str">
        <f t="shared" si="12"/>
        <v>#'2.2家乡支援军'!AD13:AL21</v>
      </c>
      <c r="F44" s="6" t="s">
        <v>769</v>
      </c>
      <c r="G44" s="6" t="s">
        <v>5166</v>
      </c>
      <c r="H44" s="6" t="s">
        <v>5148</v>
      </c>
      <c r="I44" s="7" t="s">
        <v>4801</v>
      </c>
      <c r="J44" s="7" t="s">
        <v>5167</v>
      </c>
      <c r="K44" s="7" t="s">
        <v>5168</v>
      </c>
      <c r="L44" s="7" t="s">
        <v>5022</v>
      </c>
      <c r="M44" s="7" t="s">
        <v>5023</v>
      </c>
      <c r="N44" s="7" t="s">
        <v>4859</v>
      </c>
      <c r="O44" s="7" t="s">
        <v>4782</v>
      </c>
      <c r="P44" s="7" t="s">
        <v>4782</v>
      </c>
      <c r="Q44" s="7" t="s">
        <v>4782</v>
      </c>
      <c r="R44" s="7" t="s">
        <v>4782</v>
      </c>
      <c r="S44" s="7">
        <f t="array" ref="S44">SUM(IFERROR(IF(MATCH(I44:R44,$F$4:$Q$4,0)&gt;0,1,0),0))</f>
        <v>0</v>
      </c>
      <c r="T44" s="7">
        <f t="shared" ca="1" si="18"/>
        <v>37</v>
      </c>
      <c r="U44" s="7">
        <f ca="1">T44+COUNTIF(T$5:$T43,T44)</f>
        <v>69</v>
      </c>
      <c r="Y44" s="12" t="s">
        <v>44</v>
      </c>
      <c r="Z44" s="7" t="str">
        <f t="shared" ca="1" si="17"/>
        <v>05_001</v>
      </c>
      <c r="AA44" t="s">
        <v>4783</v>
      </c>
      <c r="AB44" t="s">
        <v>4783</v>
      </c>
      <c r="AC44" t="s">
        <v>4783</v>
      </c>
      <c r="AD44" t="s">
        <v>4783</v>
      </c>
      <c r="AE44" t="s">
        <v>4783</v>
      </c>
      <c r="AF44" t="s">
        <v>4783</v>
      </c>
      <c r="AG44" t="s">
        <v>4783</v>
      </c>
      <c r="AH44" t="s">
        <v>4784</v>
      </c>
      <c r="AI44" t="s">
        <v>4873</v>
      </c>
      <c r="AJ44" t="s">
        <v>4941</v>
      </c>
      <c r="AK44" t="s">
        <v>4941</v>
      </c>
      <c r="AL44" t="s">
        <v>4941</v>
      </c>
      <c r="AM44" s="15" t="s">
        <v>4941</v>
      </c>
      <c r="AN44" s="15" t="s">
        <v>4941</v>
      </c>
      <c r="AO44" s="21" t="s">
        <v>4941</v>
      </c>
      <c r="AP44" s="7"/>
      <c r="AQ44" s="20">
        <v>43912</v>
      </c>
      <c r="AR44">
        <v>6</v>
      </c>
      <c r="AS44" t="s">
        <v>5017</v>
      </c>
      <c r="AT44">
        <v>4000</v>
      </c>
      <c r="AU44" t="s">
        <v>5169</v>
      </c>
      <c r="AX44" s="28">
        <v>3000</v>
      </c>
      <c r="AY44" s="28" t="s">
        <v>4794</v>
      </c>
      <c r="AZ44" s="28" t="s">
        <v>4877</v>
      </c>
      <c r="BA44" s="28" t="s">
        <v>4878</v>
      </c>
      <c r="BB44" s="28">
        <v>20</v>
      </c>
      <c r="BC44" s="15"/>
      <c r="BF44" s="29"/>
      <c r="BG44" s="29" t="s">
        <v>4846</v>
      </c>
      <c r="BH44" s="29">
        <v>1</v>
      </c>
      <c r="BI44" s="29">
        <v>2</v>
      </c>
      <c r="BJ44" s="29">
        <v>3</v>
      </c>
      <c r="BK44" s="29">
        <v>4</v>
      </c>
      <c r="BL44" s="29">
        <v>5</v>
      </c>
      <c r="BM44" s="29">
        <v>6</v>
      </c>
      <c r="BN44" s="29"/>
      <c r="CD44" s="38">
        <v>40</v>
      </c>
      <c r="CE44" s="38">
        <f t="shared" si="8"/>
        <v>2.8262077594773278</v>
      </c>
      <c r="CF44" s="38">
        <f t="shared" si="13"/>
        <v>41.180399999999999</v>
      </c>
      <c r="CG44" s="38">
        <f t="shared" si="2"/>
        <v>41</v>
      </c>
      <c r="CP44" s="40">
        <v>392</v>
      </c>
      <c r="CQ44" s="41" t="s">
        <v>3320</v>
      </c>
      <c r="CR44" s="41" t="s">
        <v>5170</v>
      </c>
      <c r="CS44" s="41">
        <v>300</v>
      </c>
      <c r="CT44" s="41">
        <v>3</v>
      </c>
      <c r="CU44" s="41">
        <v>25</v>
      </c>
      <c r="CV44" s="41">
        <v>5</v>
      </c>
      <c r="CW44" s="40"/>
      <c r="CX44" s="41" t="s">
        <v>4716</v>
      </c>
      <c r="CY44" s="40" t="s">
        <v>4717</v>
      </c>
      <c r="DB44" t="s">
        <v>14</v>
      </c>
      <c r="DC44" s="7" t="str">
        <f ca="1">IF($DC$6&gt;0,OFFSET(DD44,0,$DC$42-1),0)</f>
        <v>05_200</v>
      </c>
      <c r="DD44" t="s">
        <v>5171</v>
      </c>
      <c r="DE44" t="s">
        <v>5172</v>
      </c>
      <c r="DF44" t="s">
        <v>5173</v>
      </c>
      <c r="DG44" t="s">
        <v>5174</v>
      </c>
      <c r="DH44" t="s">
        <v>5175</v>
      </c>
    </row>
    <row r="45" spans="4:117" ht="14.6">
      <c r="D45" s="6" t="str">
        <f t="shared" si="11"/>
        <v>家乡支援军-&gt;滚木战车</v>
      </c>
      <c r="E45" s="6" t="str">
        <f t="shared" si="12"/>
        <v>#'2.2家乡支援军'!AD24:AL32</v>
      </c>
      <c r="F45" s="6" t="s">
        <v>779</v>
      </c>
      <c r="G45" s="6" t="s">
        <v>5176</v>
      </c>
      <c r="H45" s="6" t="s">
        <v>5148</v>
      </c>
      <c r="I45" s="7" t="s">
        <v>4801</v>
      </c>
      <c r="J45" s="7" t="s">
        <v>5167</v>
      </c>
      <c r="K45" s="7" t="s">
        <v>5168</v>
      </c>
      <c r="L45" s="7" t="s">
        <v>4970</v>
      </c>
      <c r="M45" s="7" t="s">
        <v>5177</v>
      </c>
      <c r="N45" s="7" t="s">
        <v>5178</v>
      </c>
      <c r="O45" s="7" t="s">
        <v>5179</v>
      </c>
      <c r="P45" s="7" t="s">
        <v>4782</v>
      </c>
      <c r="Q45" s="7" t="s">
        <v>4782</v>
      </c>
      <c r="R45" s="7" t="s">
        <v>4782</v>
      </c>
      <c r="S45" s="7">
        <f t="array" ref="S45">SUM(IFERROR(IF(MATCH(I45:R45,$F$4:$Q$4,0)&gt;0,1,0),0))</f>
        <v>0</v>
      </c>
      <c r="T45" s="7">
        <f t="shared" ca="1" si="18"/>
        <v>37</v>
      </c>
      <c r="U45" s="7">
        <f ca="1">T45+COUNTIF(T$5:$T44,T45)</f>
        <v>70</v>
      </c>
      <c r="Y45" s="12" t="s">
        <v>50</v>
      </c>
      <c r="Z45" s="7" t="str">
        <f t="shared" ca="1" si="17"/>
        <v>07_001</v>
      </c>
      <c r="AA45" t="s">
        <v>4783</v>
      </c>
      <c r="AB45" t="s">
        <v>4783</v>
      </c>
      <c r="AC45" t="s">
        <v>4783</v>
      </c>
      <c r="AD45" t="s">
        <v>4783</v>
      </c>
      <c r="AE45" t="s">
        <v>4783</v>
      </c>
      <c r="AF45" t="s">
        <v>4783</v>
      </c>
      <c r="AG45" t="s">
        <v>4783</v>
      </c>
      <c r="AH45" t="s">
        <v>4783</v>
      </c>
      <c r="AI45" t="s">
        <v>4783</v>
      </c>
      <c r="AJ45" t="s">
        <v>4783</v>
      </c>
      <c r="AK45" t="s">
        <v>4783</v>
      </c>
      <c r="AL45" t="s">
        <v>4785</v>
      </c>
      <c r="AM45" s="16" t="s">
        <v>4941</v>
      </c>
      <c r="AN45" s="16" t="s">
        <v>5180</v>
      </c>
      <c r="AO45" s="17" t="s">
        <v>5107</v>
      </c>
      <c r="AQ45" s="20">
        <v>43883</v>
      </c>
      <c r="AR45">
        <v>6</v>
      </c>
      <c r="AS45" t="s">
        <v>5017</v>
      </c>
      <c r="AT45">
        <v>4000</v>
      </c>
      <c r="AU45" t="s">
        <v>5181</v>
      </c>
      <c r="AX45" s="28">
        <v>7500</v>
      </c>
      <c r="AY45" s="28" t="s">
        <v>4712</v>
      </c>
      <c r="AZ45" s="28" t="s">
        <v>4713</v>
      </c>
      <c r="BA45" s="28" t="s">
        <v>4771</v>
      </c>
      <c r="BB45" s="28">
        <v>40</v>
      </c>
      <c r="BF45" s="29"/>
      <c r="BG45" s="29" t="s">
        <v>4856</v>
      </c>
      <c r="BH45" s="29">
        <f ca="1">OFFSET(BG42,0,BJ41)*BH41+OFFSET(BG43,0,BJ41)</f>
        <v>99999.999999999913</v>
      </c>
      <c r="BI45" s="29" t="s">
        <v>5182</v>
      </c>
      <c r="BJ45" s="29">
        <f ca="1">IF(BL41=2,INT(BH45/100),INT(BH45))</f>
        <v>99999</v>
      </c>
      <c r="BK45" s="29"/>
      <c r="BL45" s="29"/>
      <c r="BM45" s="29"/>
      <c r="BN45" s="29"/>
      <c r="CD45" s="38">
        <v>41</v>
      </c>
      <c r="CE45" s="38">
        <f t="shared" si="8"/>
        <v>2.8385534384896736</v>
      </c>
      <c r="CF45" s="38">
        <f t="shared" si="13"/>
        <v>42.176819999999999</v>
      </c>
      <c r="CG45" s="38">
        <f t="shared" si="2"/>
        <v>42</v>
      </c>
      <c r="CP45" s="40">
        <v>393</v>
      </c>
      <c r="CQ45" s="41" t="s">
        <v>3329</v>
      </c>
      <c r="CR45" s="41" t="s">
        <v>5183</v>
      </c>
      <c r="CS45" s="41">
        <v>250</v>
      </c>
      <c r="CT45" s="41">
        <v>3</v>
      </c>
      <c r="CU45" s="41">
        <v>50</v>
      </c>
      <c r="CV45" s="41">
        <v>5</v>
      </c>
      <c r="CW45" s="40"/>
      <c r="CX45" s="41" t="s">
        <v>4716</v>
      </c>
      <c r="CY45" s="40" t="s">
        <v>4717</v>
      </c>
      <c r="DB45" t="s">
        <v>2</v>
      </c>
      <c r="DC45" s="7" t="str">
        <f t="shared" ref="DC45:DC71" ca="1" si="19">IF($DC$6&gt;0,OFFSET(DD45,0,$DC$42-1),0)</f>
        <v>05_009</v>
      </c>
      <c r="DD45" t="s">
        <v>4895</v>
      </c>
      <c r="DE45" t="s">
        <v>5088</v>
      </c>
      <c r="DF45" t="s">
        <v>4991</v>
      </c>
      <c r="DG45" t="s">
        <v>5096</v>
      </c>
      <c r="DH45" t="s">
        <v>5068</v>
      </c>
    </row>
    <row r="46" spans="4:117" ht="14.6">
      <c r="D46" s="6" t="str">
        <f t="shared" si="11"/>
        <v>家乡支援军-&gt;攻城战车</v>
      </c>
      <c r="E46" s="6" t="str">
        <f t="shared" si="12"/>
        <v>#'2.2家乡支援军'!ad4:aL10</v>
      </c>
      <c r="F46" s="6" t="s">
        <v>753</v>
      </c>
      <c r="G46" s="6" t="s">
        <v>5184</v>
      </c>
      <c r="H46" s="6" t="s">
        <v>5148</v>
      </c>
      <c r="I46" s="7" t="s">
        <v>4801</v>
      </c>
      <c r="J46" s="7" t="s">
        <v>5167</v>
      </c>
      <c r="K46" s="7" t="s">
        <v>5168</v>
      </c>
      <c r="L46" s="7" t="s">
        <v>4970</v>
      </c>
      <c r="M46" s="7" t="s">
        <v>5177</v>
      </c>
      <c r="N46" s="7" t="s">
        <v>4782</v>
      </c>
      <c r="O46" s="7" t="s">
        <v>4782</v>
      </c>
      <c r="P46" s="7" t="s">
        <v>4782</v>
      </c>
      <c r="Q46" s="7" t="s">
        <v>4782</v>
      </c>
      <c r="R46" s="7" t="s">
        <v>4782</v>
      </c>
      <c r="S46" s="7">
        <f t="array" ref="S46">SUM(IFERROR(IF(MATCH(I46:R46,$F$4:$Q$4,0)&gt;0,1,0),0))</f>
        <v>0</v>
      </c>
      <c r="T46" s="7">
        <f t="shared" ca="1" si="18"/>
        <v>37</v>
      </c>
      <c r="U46" s="7">
        <f ca="1">T46+COUNTIF(T$5:$T45,T46)</f>
        <v>71</v>
      </c>
      <c r="Y46" s="12" t="s">
        <v>55</v>
      </c>
      <c r="Z46" s="7" t="str">
        <f t="shared" ca="1" si="17"/>
        <v>15_007</v>
      </c>
      <c r="AA46" t="s">
        <v>4784</v>
      </c>
      <c r="AB46" t="s">
        <v>4756</v>
      </c>
      <c r="AC46" t="s">
        <v>4758</v>
      </c>
      <c r="AD46" t="s">
        <v>4786</v>
      </c>
      <c r="AE46" t="s">
        <v>4761</v>
      </c>
      <c r="AF46" t="s">
        <v>5185</v>
      </c>
      <c r="AG46" t="s">
        <v>4787</v>
      </c>
      <c r="AH46" t="s">
        <v>5186</v>
      </c>
      <c r="AI46" t="s">
        <v>5187</v>
      </c>
      <c r="AJ46" t="s">
        <v>4788</v>
      </c>
      <c r="AK46" s="13" t="s">
        <v>5188</v>
      </c>
      <c r="AL46" s="16" t="s">
        <v>4764</v>
      </c>
      <c r="AM46" s="16" t="s">
        <v>4764</v>
      </c>
      <c r="AN46" s="16" t="s">
        <v>4764</v>
      </c>
      <c r="AO46" s="17" t="s">
        <v>4764</v>
      </c>
      <c r="AQ46" s="20">
        <v>43852</v>
      </c>
      <c r="AR46">
        <v>6</v>
      </c>
      <c r="AS46" t="s">
        <v>5017</v>
      </c>
      <c r="AT46">
        <v>4000</v>
      </c>
      <c r="AU46" t="s">
        <v>5189</v>
      </c>
      <c r="AX46" s="28">
        <v>12000</v>
      </c>
      <c r="AY46" s="28" t="s">
        <v>4747</v>
      </c>
      <c r="AZ46" s="28" t="s">
        <v>4737</v>
      </c>
      <c r="BA46" s="28" t="s">
        <v>4795</v>
      </c>
      <c r="BB46" s="28">
        <v>60</v>
      </c>
      <c r="BF46" s="29"/>
      <c r="BG46" s="29"/>
      <c r="BH46" s="29"/>
      <c r="BI46" s="29"/>
      <c r="BJ46" s="29"/>
      <c r="BK46" s="29"/>
      <c r="BL46" s="29"/>
      <c r="BM46" s="29"/>
      <c r="BN46" s="29"/>
      <c r="CD46" s="38">
        <v>42</v>
      </c>
      <c r="CE46" s="38">
        <f t="shared" si="8"/>
        <v>2.8506016312607581</v>
      </c>
      <c r="CF46" s="38">
        <f t="shared" si="13"/>
        <v>43.17333</v>
      </c>
      <c r="CG46" s="38">
        <f t="shared" si="2"/>
        <v>43</v>
      </c>
      <c r="CP46" s="40">
        <v>394</v>
      </c>
      <c r="CQ46" s="41" t="s">
        <v>3334</v>
      </c>
      <c r="CR46" s="41" t="s">
        <v>5190</v>
      </c>
      <c r="CS46" s="41">
        <v>300</v>
      </c>
      <c r="CT46" s="41">
        <v>3</v>
      </c>
      <c r="CU46" s="41">
        <v>50</v>
      </c>
      <c r="CV46" s="41">
        <v>5</v>
      </c>
      <c r="CW46" s="40"/>
      <c r="CX46" s="41" t="s">
        <v>4716</v>
      </c>
      <c r="CY46" s="40" t="s">
        <v>4717</v>
      </c>
      <c r="DB46" t="s">
        <v>177</v>
      </c>
      <c r="DC46" s="7" t="str">
        <f t="shared" ca="1" si="19"/>
        <v>05_009</v>
      </c>
      <c r="DD46" t="s">
        <v>4895</v>
      </c>
      <c r="DE46" t="s">
        <v>5088</v>
      </c>
      <c r="DF46" t="s">
        <v>4991</v>
      </c>
      <c r="DG46" t="s">
        <v>5096</v>
      </c>
      <c r="DH46" t="s">
        <v>5068</v>
      </c>
    </row>
    <row r="47" spans="4:117" ht="14.6">
      <c r="D47" s="6" t="str">
        <f t="shared" si="11"/>
        <v>家乡支援军-&gt;超级野蛮人</v>
      </c>
      <c r="E47" s="6" t="str">
        <f t="shared" si="12"/>
        <v>#'2.2家乡支援军'!AD47:AJ58</v>
      </c>
      <c r="F47" s="6" t="s">
        <v>885</v>
      </c>
      <c r="G47" s="6" t="s">
        <v>5191</v>
      </c>
      <c r="H47" s="6" t="s">
        <v>5148</v>
      </c>
      <c r="I47" s="7" t="s">
        <v>5085</v>
      </c>
      <c r="J47" s="7" t="s">
        <v>5155</v>
      </c>
      <c r="K47" s="7" t="s">
        <v>4829</v>
      </c>
      <c r="L47" s="7" t="s">
        <v>4830</v>
      </c>
      <c r="M47" s="7" t="s">
        <v>4831</v>
      </c>
      <c r="N47" s="7" t="s">
        <v>4801</v>
      </c>
      <c r="O47" s="7" t="s">
        <v>4782</v>
      </c>
      <c r="P47" s="7" t="s">
        <v>4782</v>
      </c>
      <c r="Q47" s="7" t="s">
        <v>4782</v>
      </c>
      <c r="R47" s="7" t="s">
        <v>4782</v>
      </c>
      <c r="S47" s="7">
        <f t="array" ref="S47">SUM(IFERROR(IF(MATCH(I47:R47,$F$4:$Q$4,0)&gt;0,1,0),0))</f>
        <v>0</v>
      </c>
      <c r="T47" s="7">
        <f t="shared" ca="1" si="18"/>
        <v>37</v>
      </c>
      <c r="U47" s="7">
        <f ca="1">T47+COUNTIF(T$5:$T46,T47)</f>
        <v>72</v>
      </c>
      <c r="Y47" s="12" t="s">
        <v>60</v>
      </c>
      <c r="Z47" s="7" t="str">
        <f t="shared" ca="1" si="17"/>
        <v>16_004</v>
      </c>
      <c r="AA47" t="s">
        <v>4834</v>
      </c>
      <c r="AB47" t="s">
        <v>4785</v>
      </c>
      <c r="AC47" t="s">
        <v>4874</v>
      </c>
      <c r="AD47" t="s">
        <v>4905</v>
      </c>
      <c r="AE47" t="s">
        <v>4906</v>
      </c>
      <c r="AF47" t="s">
        <v>4907</v>
      </c>
      <c r="AG47" t="s">
        <v>5192</v>
      </c>
      <c r="AH47" t="s">
        <v>5193</v>
      </c>
      <c r="AI47" t="s">
        <v>4853</v>
      </c>
      <c r="AJ47" t="s">
        <v>4853</v>
      </c>
      <c r="AK47" t="s">
        <v>4839</v>
      </c>
      <c r="AL47" t="s">
        <v>4840</v>
      </c>
      <c r="AM47" s="15" t="s">
        <v>4841</v>
      </c>
      <c r="AN47" s="15" t="s">
        <v>4842</v>
      </c>
      <c r="AO47" s="21" t="s">
        <v>5194</v>
      </c>
      <c r="AQ47" s="20">
        <v>43821</v>
      </c>
      <c r="AR47">
        <v>6</v>
      </c>
      <c r="AS47" t="s">
        <v>5017</v>
      </c>
      <c r="AT47">
        <v>4000</v>
      </c>
      <c r="AU47" t="s">
        <v>5195</v>
      </c>
      <c r="AX47" s="28">
        <v>18000</v>
      </c>
      <c r="AY47" s="28" t="s">
        <v>5002</v>
      </c>
      <c r="AZ47" s="28" t="s">
        <v>4855</v>
      </c>
      <c r="BA47" s="28" t="s">
        <v>4974</v>
      </c>
      <c r="BB47" s="28">
        <v>80</v>
      </c>
      <c r="BF47" s="29"/>
      <c r="BG47" s="29"/>
      <c r="BH47" s="29"/>
      <c r="BI47" s="29"/>
      <c r="BJ47" s="29"/>
      <c r="BK47" s="29"/>
      <c r="BL47" s="29"/>
      <c r="BM47" s="29"/>
      <c r="BN47" s="29"/>
      <c r="CD47" s="38">
        <v>43</v>
      </c>
      <c r="CE47" s="38">
        <f t="shared" si="8"/>
        <v>2.862366337143111</v>
      </c>
      <c r="CF47" s="38">
        <f t="shared" si="13"/>
        <v>44.169910000000002</v>
      </c>
      <c r="CG47" s="38">
        <f t="shared" si="2"/>
        <v>44</v>
      </c>
      <c r="CP47" s="40">
        <v>395</v>
      </c>
      <c r="CQ47" s="41" t="s">
        <v>3339</v>
      </c>
      <c r="CR47" s="41" t="s">
        <v>4238</v>
      </c>
      <c r="CS47" s="41">
        <v>500</v>
      </c>
      <c r="CT47" s="41">
        <v>8</v>
      </c>
      <c r="CU47" s="41">
        <v>25</v>
      </c>
      <c r="CV47" s="41">
        <v>10</v>
      </c>
      <c r="CW47" s="40"/>
      <c r="CX47" s="41" t="s">
        <v>5196</v>
      </c>
      <c r="CY47" s="40" t="s">
        <v>4717</v>
      </c>
      <c r="DB47" t="s">
        <v>26</v>
      </c>
      <c r="DC47" s="7" t="str">
        <f t="shared" ca="1" si="19"/>
        <v>05_007</v>
      </c>
      <c r="DD47" t="s">
        <v>4895</v>
      </c>
      <c r="DE47" t="s">
        <v>4896</v>
      </c>
      <c r="DF47" t="s">
        <v>4990</v>
      </c>
      <c r="DG47" t="s">
        <v>5059</v>
      </c>
      <c r="DH47" t="s">
        <v>5197</v>
      </c>
    </row>
    <row r="48" spans="4:117" ht="14.6">
      <c r="D48" s="6" t="str">
        <f t="shared" si="11"/>
        <v>家乡支援军-&gt;超级炸弹人</v>
      </c>
      <c r="E48" s="6" t="str">
        <f t="shared" si="12"/>
        <v>#'2.2家乡支援军'!AX47:BD58</v>
      </c>
      <c r="F48" s="6" t="s">
        <v>893</v>
      </c>
      <c r="G48" s="6" t="s">
        <v>5198</v>
      </c>
      <c r="H48" s="6" t="s">
        <v>5148</v>
      </c>
      <c r="I48" s="7" t="s">
        <v>5085</v>
      </c>
      <c r="J48" s="7" t="s">
        <v>5155</v>
      </c>
      <c r="K48" s="7" t="s">
        <v>5015</v>
      </c>
      <c r="L48" s="7" t="s">
        <v>5016</v>
      </c>
      <c r="M48" s="7" t="s">
        <v>4831</v>
      </c>
      <c r="N48" s="7" t="s">
        <v>4782</v>
      </c>
      <c r="O48" s="7" t="s">
        <v>4782</v>
      </c>
      <c r="P48" s="7" t="s">
        <v>4782</v>
      </c>
      <c r="Q48" s="7" t="s">
        <v>4782</v>
      </c>
      <c r="R48" s="7" t="s">
        <v>4782</v>
      </c>
      <c r="S48" s="7">
        <f t="array" ref="S48">SUM(IFERROR(IF(MATCH(I48:R48,$F$4:$Q$4,0)&gt;0,1,0),0))</f>
        <v>0</v>
      </c>
      <c r="T48" s="7">
        <f t="shared" ca="1" si="18"/>
        <v>37</v>
      </c>
      <c r="U48" s="7">
        <f ca="1">T48+COUNTIF(T$5:$T47,T48)</f>
        <v>73</v>
      </c>
      <c r="Y48" s="12" t="s">
        <v>64</v>
      </c>
      <c r="Z48" s="7" t="str">
        <f t="shared" ca="1" si="17"/>
        <v>15_007</v>
      </c>
      <c r="AA48" t="s">
        <v>4784</v>
      </c>
      <c r="AB48" t="s">
        <v>4756</v>
      </c>
      <c r="AC48" t="s">
        <v>4758</v>
      </c>
      <c r="AD48" t="s">
        <v>4786</v>
      </c>
      <c r="AE48" t="s">
        <v>4761</v>
      </c>
      <c r="AF48" t="s">
        <v>5185</v>
      </c>
      <c r="AG48" t="s">
        <v>4787</v>
      </c>
      <c r="AH48" t="s">
        <v>5186</v>
      </c>
      <c r="AI48" t="s">
        <v>5187</v>
      </c>
      <c r="AJ48" t="s">
        <v>4788</v>
      </c>
      <c r="AK48" s="13" t="s">
        <v>5188</v>
      </c>
      <c r="AL48" s="16" t="s">
        <v>4764</v>
      </c>
      <c r="AM48" s="16" t="s">
        <v>4764</v>
      </c>
      <c r="AN48" s="16" t="s">
        <v>4764</v>
      </c>
      <c r="AO48" s="17" t="s">
        <v>4764</v>
      </c>
      <c r="AQ48" s="20">
        <v>43791</v>
      </c>
      <c r="AR48">
        <v>6</v>
      </c>
      <c r="AS48" t="s">
        <v>5017</v>
      </c>
      <c r="AT48">
        <v>4000</v>
      </c>
      <c r="AU48" t="s">
        <v>5199</v>
      </c>
      <c r="AX48" s="28">
        <v>30000</v>
      </c>
      <c r="AY48" s="28" t="s">
        <v>4751</v>
      </c>
      <c r="AZ48" s="28" t="s">
        <v>4865</v>
      </c>
      <c r="BA48" s="28" t="s">
        <v>5200</v>
      </c>
      <c r="BB48" s="28">
        <v>100</v>
      </c>
      <c r="BF48" s="29"/>
      <c r="BG48" s="29"/>
      <c r="BH48" s="29"/>
      <c r="BI48" s="29"/>
      <c r="BJ48" s="29"/>
      <c r="BK48" s="29"/>
      <c r="BL48" s="29"/>
      <c r="BM48" s="29"/>
      <c r="BN48" s="29"/>
      <c r="CD48" s="38">
        <v>44</v>
      </c>
      <c r="CE48" s="38">
        <f t="shared" si="8"/>
        <v>2.8738605900166743</v>
      </c>
      <c r="CF48" s="38">
        <f t="shared" si="13"/>
        <v>45.166580000000003</v>
      </c>
      <c r="CG48" s="38">
        <f t="shared" si="2"/>
        <v>45</v>
      </c>
      <c r="CP48" s="40">
        <v>396</v>
      </c>
      <c r="CQ48" s="41" t="s">
        <v>3339</v>
      </c>
      <c r="CR48" s="41" t="s">
        <v>5201</v>
      </c>
      <c r="CS48" s="41">
        <v>800</v>
      </c>
      <c r="CT48" s="41">
        <v>24</v>
      </c>
      <c r="CU48" s="41">
        <v>25</v>
      </c>
      <c r="CV48" s="41">
        <v>15</v>
      </c>
      <c r="CW48" s="40"/>
      <c r="CX48" s="41" t="s">
        <v>5196</v>
      </c>
      <c r="CY48" s="40" t="s">
        <v>3104</v>
      </c>
      <c r="DB48" t="s">
        <v>178</v>
      </c>
      <c r="DC48" s="7" t="str">
        <f t="shared" ca="1" si="19"/>
        <v>05_006</v>
      </c>
      <c r="DD48" t="s">
        <v>4989</v>
      </c>
      <c r="DE48" t="s">
        <v>4754</v>
      </c>
      <c r="DF48" t="s">
        <v>4755</v>
      </c>
      <c r="DG48" t="s">
        <v>4898</v>
      </c>
      <c r="DH48" t="s">
        <v>4900</v>
      </c>
    </row>
    <row r="49" spans="4:112" ht="14.6">
      <c r="D49" s="6" t="str">
        <f t="shared" si="11"/>
        <v>家乡支援军-&gt;地狱飞龙</v>
      </c>
      <c r="E49" s="6" t="str">
        <f t="shared" si="12"/>
        <v>#'2.2家乡支援军'!AN61:AT72</v>
      </c>
      <c r="F49" s="6" t="s">
        <v>896</v>
      </c>
      <c r="G49" s="6" t="s">
        <v>5202</v>
      </c>
      <c r="H49" s="6" t="s">
        <v>5148</v>
      </c>
      <c r="I49" s="7" t="s">
        <v>5085</v>
      </c>
      <c r="J49" s="7" t="s">
        <v>4782</v>
      </c>
      <c r="K49" s="7" t="s">
        <v>5102</v>
      </c>
      <c r="L49" s="7" t="s">
        <v>5203</v>
      </c>
      <c r="M49" s="7" t="s">
        <v>4968</v>
      </c>
      <c r="N49" s="7" t="s">
        <v>5072</v>
      </c>
      <c r="O49" s="7" t="s">
        <v>5090</v>
      </c>
      <c r="P49" s="7" t="s">
        <v>4782</v>
      </c>
      <c r="Q49" s="7" t="s">
        <v>4782</v>
      </c>
      <c r="R49" s="7" t="s">
        <v>4782</v>
      </c>
      <c r="S49" s="7">
        <f t="array" ref="S49">SUM(IFERROR(IF(MATCH(I49:R49,$F$4:$Q$4,0)&gt;0,1,0),0))</f>
        <v>4</v>
      </c>
      <c r="T49" s="7">
        <f t="shared" ca="1" si="18"/>
        <v>1</v>
      </c>
      <c r="U49" s="7">
        <f ca="1">T49+COUNTIF(T$5:$T48,T49)</f>
        <v>1</v>
      </c>
      <c r="Y49" s="12" t="s">
        <v>68</v>
      </c>
      <c r="Z49" s="7" t="str">
        <f t="shared" ca="1" si="17"/>
        <v>16_004</v>
      </c>
      <c r="AA49" t="s">
        <v>4834</v>
      </c>
      <c r="AB49" t="s">
        <v>4785</v>
      </c>
      <c r="AC49" t="s">
        <v>4874</v>
      </c>
      <c r="AD49" t="s">
        <v>4905</v>
      </c>
      <c r="AE49" t="s">
        <v>4906</v>
      </c>
      <c r="AF49" t="s">
        <v>4907</v>
      </c>
      <c r="AG49" t="s">
        <v>5192</v>
      </c>
      <c r="AH49" t="s">
        <v>5193</v>
      </c>
      <c r="AI49" t="s">
        <v>4853</v>
      </c>
      <c r="AJ49" t="s">
        <v>4853</v>
      </c>
      <c r="AK49" t="s">
        <v>4839</v>
      </c>
      <c r="AL49" t="s">
        <v>4840</v>
      </c>
      <c r="AM49" s="15" t="s">
        <v>4841</v>
      </c>
      <c r="AN49" s="15" t="s">
        <v>4842</v>
      </c>
      <c r="AO49" s="21" t="s">
        <v>5194</v>
      </c>
      <c r="AQ49" s="20">
        <v>43760</v>
      </c>
      <c r="AR49">
        <v>6</v>
      </c>
      <c r="AS49" t="s">
        <v>5017</v>
      </c>
      <c r="AT49">
        <v>4000</v>
      </c>
      <c r="AU49" t="s">
        <v>5204</v>
      </c>
      <c r="AX49" s="28">
        <v>50000</v>
      </c>
      <c r="AY49" s="28" t="s">
        <v>4746</v>
      </c>
      <c r="AZ49" s="28" t="s">
        <v>5004</v>
      </c>
      <c r="BA49" s="28" t="s">
        <v>4745</v>
      </c>
      <c r="BB49" s="28">
        <v>120</v>
      </c>
      <c r="BF49" s="29"/>
      <c r="BG49" s="29"/>
      <c r="BH49" s="30" t="s">
        <v>2045</v>
      </c>
      <c r="BI49" s="31" t="s">
        <v>4911</v>
      </c>
      <c r="BJ49" s="31" t="s">
        <v>2919</v>
      </c>
      <c r="BK49" s="32" t="s">
        <v>2042</v>
      </c>
      <c r="BL49" s="29"/>
      <c r="BM49" s="29"/>
      <c r="BN49" s="29"/>
      <c r="CD49" s="38">
        <v>45</v>
      </c>
      <c r="CE49" s="38">
        <f t="shared" si="8"/>
        <v>2.8850965450728538</v>
      </c>
      <c r="CF49" s="38">
        <f t="shared" ref="CF49:CF80" si="20">MAX(CEILING($CC$4*(1-CE49*$CC$6)/$CC$8,1),0)+CD49+ROUND(MOD($CC$4*(1-CE49*$CC$6),$CC$8)/$CC$4,5)</f>
        <v>46.163319999999999</v>
      </c>
      <c r="CG49" s="38">
        <f t="shared" si="2"/>
        <v>46</v>
      </c>
      <c r="CP49" s="40">
        <v>397</v>
      </c>
      <c r="CQ49" s="41" t="s">
        <v>3344</v>
      </c>
      <c r="CR49" s="41" t="s">
        <v>5205</v>
      </c>
      <c r="CS49" s="41">
        <v>300</v>
      </c>
      <c r="CT49" s="41">
        <v>3</v>
      </c>
      <c r="CU49" s="41">
        <v>75</v>
      </c>
      <c r="CV49" s="41">
        <v>10</v>
      </c>
      <c r="CW49" s="40"/>
      <c r="CX49" s="41" t="s">
        <v>4716</v>
      </c>
      <c r="CY49" s="40" t="s">
        <v>4717</v>
      </c>
      <c r="DB49" t="s">
        <v>49</v>
      </c>
      <c r="DC49" s="7" t="str">
        <f t="shared" ca="1" si="19"/>
        <v>05_004</v>
      </c>
      <c r="DD49" t="s">
        <v>4989</v>
      </c>
      <c r="DE49" t="s">
        <v>5206</v>
      </c>
      <c r="DF49" t="s">
        <v>5073</v>
      </c>
      <c r="DG49" t="s">
        <v>5050</v>
      </c>
      <c r="DH49" t="s">
        <v>4921</v>
      </c>
    </row>
    <row r="50" spans="4:112" ht="14.6">
      <c r="D50" s="6" t="str">
        <f t="shared" si="11"/>
        <v>家乡支援军-&gt;超级弓箭手</v>
      </c>
      <c r="E50" s="6" t="str">
        <f t="shared" si="12"/>
        <v>#'2.2家乡支援军'!AD75:AI86</v>
      </c>
      <c r="F50" s="6" t="s">
        <v>901</v>
      </c>
      <c r="G50" s="6" t="s">
        <v>5207</v>
      </c>
      <c r="H50" s="6" t="s">
        <v>5148</v>
      </c>
      <c r="I50" s="7" t="s">
        <v>5085</v>
      </c>
      <c r="J50" s="7" t="s">
        <v>5155</v>
      </c>
      <c r="K50" s="7" t="s">
        <v>4869</v>
      </c>
      <c r="L50" s="7" t="s">
        <v>4870</v>
      </c>
      <c r="M50" s="7" t="s">
        <v>4890</v>
      </c>
      <c r="N50" s="7" t="s">
        <v>4782</v>
      </c>
      <c r="O50" s="7" t="s">
        <v>4782</v>
      </c>
      <c r="P50" s="7" t="s">
        <v>4782</v>
      </c>
      <c r="Q50" s="7" t="s">
        <v>4782</v>
      </c>
      <c r="R50" s="7" t="s">
        <v>4782</v>
      </c>
      <c r="S50" s="7">
        <f t="array" ref="S50">SUM(IFERROR(IF(MATCH(I50:R50,$F$4:$Q$4,0)&gt;0,1,0),0))</f>
        <v>0</v>
      </c>
      <c r="T50" s="7">
        <f t="shared" ca="1" si="18"/>
        <v>37</v>
      </c>
      <c r="U50" s="7">
        <f ca="1">T50+COUNTIF(T$5:$T49,T50)</f>
        <v>74</v>
      </c>
      <c r="Y50" s="12" t="s">
        <v>74</v>
      </c>
      <c r="Z50" s="7" t="str">
        <f t="shared" ca="1" si="17"/>
        <v>09_003</v>
      </c>
      <c r="AA50" t="s">
        <v>4783</v>
      </c>
      <c r="AB50" t="s">
        <v>4783</v>
      </c>
      <c r="AC50" t="s">
        <v>4783</v>
      </c>
      <c r="AD50" t="s">
        <v>4783</v>
      </c>
      <c r="AE50" t="s">
        <v>4783</v>
      </c>
      <c r="AF50" t="s">
        <v>4783</v>
      </c>
      <c r="AG50" t="s">
        <v>4785</v>
      </c>
      <c r="AH50" t="s">
        <v>4755</v>
      </c>
      <c r="AI50" s="13" t="s">
        <v>4758</v>
      </c>
      <c r="AJ50" t="s">
        <v>4759</v>
      </c>
      <c r="AK50" s="13" t="s">
        <v>4930</v>
      </c>
      <c r="AL50" s="16" t="s">
        <v>4931</v>
      </c>
      <c r="AM50" s="16" t="s">
        <v>4931</v>
      </c>
      <c r="AN50" s="16" t="s">
        <v>4931</v>
      </c>
      <c r="AO50" s="17" t="s">
        <v>4931</v>
      </c>
      <c r="AQ50" s="20">
        <v>43730</v>
      </c>
      <c r="AR50">
        <v>6</v>
      </c>
      <c r="AS50" t="s">
        <v>5017</v>
      </c>
      <c r="AT50">
        <v>4000</v>
      </c>
      <c r="AU50" t="s">
        <v>5208</v>
      </c>
      <c r="AX50" s="28">
        <v>3000</v>
      </c>
      <c r="AY50" s="28" t="s">
        <v>4794</v>
      </c>
      <c r="AZ50" s="28" t="s">
        <v>4877</v>
      </c>
      <c r="BA50" s="28" t="s">
        <v>4878</v>
      </c>
      <c r="BB50" s="28">
        <v>20</v>
      </c>
      <c r="BF50" s="29"/>
      <c r="BG50" s="29"/>
      <c r="BH50" s="33">
        <v>1</v>
      </c>
      <c r="BI50" s="34">
        <v>60</v>
      </c>
      <c r="BJ50" s="34">
        <v>3600</v>
      </c>
      <c r="BK50" s="35">
        <v>86400</v>
      </c>
      <c r="BL50" s="29"/>
      <c r="BM50" s="29"/>
      <c r="BN50" s="29"/>
      <c r="CD50" s="38">
        <v>46</v>
      </c>
      <c r="CE50" s="38">
        <f t="shared" si="8"/>
        <v>2.8960855560618648</v>
      </c>
      <c r="CF50" s="38">
        <f t="shared" si="20"/>
        <v>47.160139999999998</v>
      </c>
      <c r="CG50" s="38">
        <f t="shared" si="2"/>
        <v>47</v>
      </c>
      <c r="CP50" s="40">
        <v>398</v>
      </c>
      <c r="CQ50" s="41" t="s">
        <v>3349</v>
      </c>
      <c r="CR50" s="41" t="s">
        <v>5209</v>
      </c>
      <c r="CS50" s="41">
        <v>150</v>
      </c>
      <c r="CT50" s="41">
        <v>8</v>
      </c>
      <c r="CU50" s="41">
        <v>70</v>
      </c>
      <c r="CV50" s="41">
        <v>10</v>
      </c>
      <c r="CW50" s="40"/>
      <c r="CX50" s="41" t="s">
        <v>5210</v>
      </c>
      <c r="CY50" s="40" t="s">
        <v>4717</v>
      </c>
      <c r="DB50" t="s">
        <v>156</v>
      </c>
      <c r="DC50" s="7" t="str">
        <f t="shared" ca="1" si="19"/>
        <v>05_004</v>
      </c>
      <c r="DD50" t="s">
        <v>4989</v>
      </c>
      <c r="DE50" t="s">
        <v>4754</v>
      </c>
      <c r="DF50" t="s">
        <v>4755</v>
      </c>
      <c r="DG50" t="s">
        <v>4920</v>
      </c>
      <c r="DH50" t="s">
        <v>4921</v>
      </c>
    </row>
    <row r="51" spans="4:112" ht="14.6">
      <c r="D51" s="6" t="str">
        <f t="shared" si="11"/>
        <v>家乡支援军-&gt;超级法师</v>
      </c>
      <c r="E51" s="6" t="str">
        <f t="shared" si="12"/>
        <v>#'2.2家乡支援军'!AD89:AK100</v>
      </c>
      <c r="F51" s="6" t="s">
        <v>908</v>
      </c>
      <c r="G51" s="6" t="s">
        <v>5211</v>
      </c>
      <c r="H51" s="6" t="s">
        <v>5148</v>
      </c>
      <c r="I51" s="7" t="s">
        <v>5085</v>
      </c>
      <c r="J51" s="7" t="s">
        <v>5155</v>
      </c>
      <c r="K51" s="7" t="s">
        <v>5037</v>
      </c>
      <c r="L51" s="7" t="s">
        <v>5038</v>
      </c>
      <c r="M51" s="7" t="s">
        <v>4782</v>
      </c>
      <c r="N51" s="7" t="s">
        <v>4782</v>
      </c>
      <c r="O51" s="7" t="s">
        <v>4782</v>
      </c>
      <c r="P51" s="7" t="s">
        <v>4782</v>
      </c>
      <c r="Q51" s="7" t="s">
        <v>4782</v>
      </c>
      <c r="R51" s="7" t="s">
        <v>4782</v>
      </c>
      <c r="S51" s="7">
        <f t="array" ref="S51">SUM(IFERROR(IF(MATCH(I51:R51,$F$4:$Q$4,0)&gt;0,1,0),0))</f>
        <v>0</v>
      </c>
      <c r="T51" s="7">
        <f t="shared" ca="1" si="18"/>
        <v>37</v>
      </c>
      <c r="U51" s="7">
        <f ca="1">T51+COUNTIF(T$5:$T50,T51)</f>
        <v>75</v>
      </c>
      <c r="Y51" s="12" t="s">
        <v>79</v>
      </c>
      <c r="Z51" s="7" t="str">
        <f t="shared" ca="1" si="17"/>
        <v>10_001</v>
      </c>
      <c r="AA51" t="s">
        <v>4783</v>
      </c>
      <c r="AB51" t="s">
        <v>4783</v>
      </c>
      <c r="AC51" t="s">
        <v>4783</v>
      </c>
      <c r="AD51" t="s">
        <v>4783</v>
      </c>
      <c r="AE51" t="s">
        <v>4783</v>
      </c>
      <c r="AF51" t="s">
        <v>4783</v>
      </c>
      <c r="AG51" t="s">
        <v>4784</v>
      </c>
      <c r="AH51" t="s">
        <v>4873</v>
      </c>
      <c r="AI51" t="s">
        <v>5106</v>
      </c>
      <c r="AJ51" t="s">
        <v>5106</v>
      </c>
      <c r="AK51" t="s">
        <v>5106</v>
      </c>
      <c r="AL51" t="s">
        <v>5107</v>
      </c>
      <c r="AM51" s="15" t="s">
        <v>5108</v>
      </c>
      <c r="AN51" s="15" t="s">
        <v>5109</v>
      </c>
      <c r="AO51" s="21" t="s">
        <v>5110</v>
      </c>
      <c r="AQ51" s="20">
        <v>43699</v>
      </c>
      <c r="AR51">
        <v>6</v>
      </c>
      <c r="AS51" t="s">
        <v>5017</v>
      </c>
      <c r="AT51">
        <v>5000</v>
      </c>
      <c r="AU51" t="s">
        <v>5212</v>
      </c>
      <c r="AX51" s="28">
        <v>7500</v>
      </c>
      <c r="AY51" s="28" t="s">
        <v>4712</v>
      </c>
      <c r="AZ51" s="28" t="s">
        <v>4713</v>
      </c>
      <c r="BA51" s="28" t="s">
        <v>4771</v>
      </c>
      <c r="BB51" s="28">
        <v>40</v>
      </c>
      <c r="BF51" s="29"/>
      <c r="BG51" s="29" t="s">
        <v>4935</v>
      </c>
      <c r="BH51" s="29">
        <v>0</v>
      </c>
      <c r="BI51" s="29">
        <v>60</v>
      </c>
      <c r="BJ51" s="29">
        <v>3600</v>
      </c>
      <c r="BK51" s="29">
        <v>86400</v>
      </c>
      <c r="BL51" s="29">
        <v>604800</v>
      </c>
      <c r="BM51" s="29" t="s">
        <v>4936</v>
      </c>
      <c r="BN51" s="29"/>
      <c r="CD51" s="38">
        <v>47</v>
      </c>
      <c r="CE51" s="38">
        <f t="shared" si="8"/>
        <v>2.9068382442339078</v>
      </c>
      <c r="CF51" s="38">
        <f t="shared" si="20"/>
        <v>48.157020000000003</v>
      </c>
      <c r="CG51" s="38">
        <f t="shared" si="2"/>
        <v>48</v>
      </c>
      <c r="CP51" s="40">
        <v>399</v>
      </c>
      <c r="CQ51" s="41" t="s">
        <v>3349</v>
      </c>
      <c r="CR51" s="41" t="s">
        <v>5209</v>
      </c>
      <c r="CS51" s="41">
        <v>300</v>
      </c>
      <c r="CT51" s="41">
        <v>24</v>
      </c>
      <c r="CU51" s="41">
        <v>35</v>
      </c>
      <c r="CV51" s="41">
        <v>10</v>
      </c>
      <c r="CW51" s="40"/>
      <c r="CX51" s="41" t="s">
        <v>5210</v>
      </c>
      <c r="CY51" s="40" t="s">
        <v>3104</v>
      </c>
      <c r="DB51" t="s">
        <v>153</v>
      </c>
      <c r="DC51" s="7" t="str">
        <f t="shared" ca="1" si="19"/>
        <v>05_003</v>
      </c>
      <c r="DD51" t="s">
        <v>5213</v>
      </c>
      <c r="DE51" t="s">
        <v>4754</v>
      </c>
      <c r="DF51" t="s">
        <v>4755</v>
      </c>
      <c r="DG51" t="s">
        <v>4920</v>
      </c>
      <c r="DH51" t="s">
        <v>4835</v>
      </c>
    </row>
    <row r="52" spans="4:112" ht="14.6">
      <c r="D52" s="6" t="str">
        <f t="shared" si="11"/>
        <v>家乡支援军-&gt;攻城训练营</v>
      </c>
      <c r="E52" s="6" t="str">
        <f t="shared" si="12"/>
        <v>#'2.2家乡支援军'!AN13:AU20</v>
      </c>
      <c r="F52" s="6" t="s">
        <v>774</v>
      </c>
      <c r="G52" s="6" t="s">
        <v>5214</v>
      </c>
      <c r="H52" s="6" t="s">
        <v>5148</v>
      </c>
      <c r="I52" s="7" t="s">
        <v>4801</v>
      </c>
      <c r="J52" s="7" t="s">
        <v>5167</v>
      </c>
      <c r="K52" s="7" t="s">
        <v>5168</v>
      </c>
      <c r="L52" s="7" t="s">
        <v>5215</v>
      </c>
      <c r="M52" s="7" t="s">
        <v>5216</v>
      </c>
      <c r="N52" s="7" t="s">
        <v>5217</v>
      </c>
      <c r="O52" s="7" t="s">
        <v>5218</v>
      </c>
      <c r="P52" s="7" t="s">
        <v>4782</v>
      </c>
      <c r="Q52" s="7" t="s">
        <v>4782</v>
      </c>
      <c r="R52" s="7" t="s">
        <v>4782</v>
      </c>
      <c r="S52" s="7">
        <f t="array" ref="S52">SUM(IFERROR(IF(MATCH(I52:R52,$F$4:$Q$4,0)&gt;0,1,0),0))</f>
        <v>0</v>
      </c>
      <c r="T52" s="7">
        <f t="shared" ca="1" si="18"/>
        <v>37</v>
      </c>
      <c r="U52" s="7">
        <f ca="1">T52+COUNTIF(T$5:$T51,T52)</f>
        <v>76</v>
      </c>
      <c r="Y52" t="s">
        <v>82</v>
      </c>
      <c r="Z52" s="7" t="str">
        <f t="shared" ca="1" si="17"/>
        <v>08_001</v>
      </c>
      <c r="AA52" t="s">
        <v>5011</v>
      </c>
      <c r="AB52" t="s">
        <v>4783</v>
      </c>
      <c r="AC52" t="s">
        <v>4783</v>
      </c>
      <c r="AD52" t="s">
        <v>4783</v>
      </c>
      <c r="AE52" t="s">
        <v>4783</v>
      </c>
      <c r="AF52" t="s">
        <v>4783</v>
      </c>
      <c r="AG52" t="s">
        <v>4783</v>
      </c>
      <c r="AH52" t="s">
        <v>4783</v>
      </c>
      <c r="AI52" t="s">
        <v>4783</v>
      </c>
      <c r="AJ52" t="s">
        <v>4783</v>
      </c>
      <c r="AK52" t="s">
        <v>4783</v>
      </c>
      <c r="AL52" t="s">
        <v>4783</v>
      </c>
      <c r="AM52" t="s">
        <v>4783</v>
      </c>
      <c r="AN52" t="s">
        <v>4873</v>
      </c>
      <c r="AO52" s="25" t="s">
        <v>5108</v>
      </c>
      <c r="AQ52" s="20">
        <v>43668</v>
      </c>
      <c r="AR52">
        <v>6</v>
      </c>
      <c r="AS52" t="s">
        <v>5017</v>
      </c>
      <c r="AT52">
        <v>4000</v>
      </c>
      <c r="AU52" t="s">
        <v>5219</v>
      </c>
      <c r="AX52" s="28">
        <v>12000</v>
      </c>
      <c r="AY52" s="28" t="s">
        <v>4747</v>
      </c>
      <c r="AZ52" s="28" t="s">
        <v>4737</v>
      </c>
      <c r="BA52" s="28" t="s">
        <v>4795</v>
      </c>
      <c r="BB52" s="28">
        <v>60</v>
      </c>
      <c r="BF52" s="29"/>
      <c r="BG52" s="29" t="s">
        <v>2918</v>
      </c>
      <c r="BH52" s="29">
        <v>0</v>
      </c>
      <c r="BI52" s="29">
        <v>1</v>
      </c>
      <c r="BJ52" s="29">
        <v>20</v>
      </c>
      <c r="BK52" s="29">
        <v>260</v>
      </c>
      <c r="BL52" s="29">
        <v>1000</v>
      </c>
      <c r="BM52" s="29"/>
      <c r="BN52" s="29"/>
      <c r="CD52" s="38">
        <v>48</v>
      </c>
      <c r="CE52" s="38">
        <f t="shared" si="8"/>
        <v>2.9173645600233815</v>
      </c>
      <c r="CF52" s="38">
        <f t="shared" si="20"/>
        <v>49.153959999999998</v>
      </c>
      <c r="CG52" s="38">
        <f t="shared" si="2"/>
        <v>49</v>
      </c>
      <c r="CP52" s="40">
        <v>400</v>
      </c>
      <c r="CQ52" s="41" t="s">
        <v>3354</v>
      </c>
      <c r="CR52" s="41" t="s">
        <v>5220</v>
      </c>
      <c r="CS52" s="41">
        <v>150</v>
      </c>
      <c r="CT52" s="41">
        <v>8</v>
      </c>
      <c r="CU52" s="41">
        <v>100</v>
      </c>
      <c r="CV52" s="41">
        <v>10</v>
      </c>
      <c r="CW52" s="40"/>
      <c r="CX52" s="41" t="s">
        <v>5210</v>
      </c>
      <c r="CY52" s="40" t="s">
        <v>4717</v>
      </c>
      <c r="DB52" t="s">
        <v>181</v>
      </c>
      <c r="DC52" s="7" t="str">
        <f t="shared" ca="1" si="19"/>
        <v>05_004</v>
      </c>
      <c r="DD52" t="s">
        <v>5213</v>
      </c>
      <c r="DE52" t="s">
        <v>5213</v>
      </c>
      <c r="DF52" t="s">
        <v>4755</v>
      </c>
      <c r="DG52" t="s">
        <v>4920</v>
      </c>
      <c r="DH52" t="s">
        <v>4921</v>
      </c>
    </row>
    <row r="53" spans="4:112" ht="14.6">
      <c r="D53" s="6" t="str">
        <f t="shared" si="11"/>
        <v>家乡支援军-&gt;攻城飞艇</v>
      </c>
      <c r="E53" s="6" t="str">
        <f t="shared" si="12"/>
        <v>#'2.2家乡支援军'!AN4:AU11</v>
      </c>
      <c r="F53" s="6" t="s">
        <v>760</v>
      </c>
      <c r="G53" s="6" t="s">
        <v>5221</v>
      </c>
      <c r="H53" s="6" t="s">
        <v>5148</v>
      </c>
      <c r="I53" s="7" t="s">
        <v>4801</v>
      </c>
      <c r="J53" s="7" t="s">
        <v>5167</v>
      </c>
      <c r="K53" s="7" t="s">
        <v>5168</v>
      </c>
      <c r="L53" s="7" t="s">
        <v>4968</v>
      </c>
      <c r="M53" s="7" t="s">
        <v>5222</v>
      </c>
      <c r="N53" s="7" t="s">
        <v>5223</v>
      </c>
      <c r="O53" s="7" t="s">
        <v>5218</v>
      </c>
      <c r="P53" s="7" t="s">
        <v>4782</v>
      </c>
      <c r="Q53" s="7" t="s">
        <v>4782</v>
      </c>
      <c r="R53" s="7" t="s">
        <v>4782</v>
      </c>
      <c r="S53" s="7">
        <f t="array" ref="S53">SUM(IFERROR(IF(MATCH(I53:R53,$F$4:$Q$4,0)&gt;0,1,0),0))</f>
        <v>1</v>
      </c>
      <c r="T53" s="7">
        <f t="shared" ca="1" si="18"/>
        <v>20</v>
      </c>
      <c r="U53" s="7">
        <f ca="1">T53+COUNTIF(T$5:$T52,T53)</f>
        <v>22</v>
      </c>
      <c r="AO53" s="25"/>
      <c r="AQ53" s="20">
        <v>43638</v>
      </c>
      <c r="AR53">
        <v>6</v>
      </c>
      <c r="AS53" t="s">
        <v>5017</v>
      </c>
      <c r="AT53">
        <v>4000</v>
      </c>
      <c r="AU53" t="s">
        <v>5224</v>
      </c>
      <c r="AX53" s="28">
        <v>18000</v>
      </c>
      <c r="AY53" s="28" t="s">
        <v>4865</v>
      </c>
      <c r="AZ53" s="28" t="s">
        <v>4855</v>
      </c>
      <c r="BA53" s="28" t="s">
        <v>4974</v>
      </c>
      <c r="BB53" s="28">
        <v>80</v>
      </c>
      <c r="BF53" s="29"/>
      <c r="BG53" s="29" t="s">
        <v>4954</v>
      </c>
      <c r="BH53" s="29">
        <v>0</v>
      </c>
      <c r="BI53" s="29">
        <v>1</v>
      </c>
      <c r="BJ53" s="29">
        <v>50</v>
      </c>
      <c r="BK53" s="29">
        <v>500</v>
      </c>
      <c r="BL53" s="29">
        <v>2000</v>
      </c>
      <c r="BM53" s="29"/>
      <c r="BN53" s="29"/>
      <c r="CD53" s="38">
        <v>49</v>
      </c>
      <c r="CE53" s="38">
        <f t="shared" si="8"/>
        <v>2.9276738383738969</v>
      </c>
      <c r="CF53" s="38">
        <f t="shared" si="20"/>
        <v>50.150970000000001</v>
      </c>
      <c r="CG53" s="38">
        <f t="shared" si="2"/>
        <v>50</v>
      </c>
      <c r="CP53" s="40">
        <v>401</v>
      </c>
      <c r="CQ53" s="41" t="s">
        <v>3354</v>
      </c>
      <c r="CR53" s="41" t="s">
        <v>5220</v>
      </c>
      <c r="CS53" s="41">
        <v>300</v>
      </c>
      <c r="CT53" s="41">
        <v>24</v>
      </c>
      <c r="CU53" s="41">
        <v>50</v>
      </c>
      <c r="CV53" s="41">
        <v>10</v>
      </c>
      <c r="CW53" s="40"/>
      <c r="CX53" s="41" t="s">
        <v>5210</v>
      </c>
      <c r="CY53" s="40" t="s">
        <v>3104</v>
      </c>
      <c r="DB53" t="s">
        <v>180</v>
      </c>
      <c r="DC53" s="7" t="str">
        <f t="shared" ca="1" si="19"/>
        <v>05_004</v>
      </c>
      <c r="DD53" t="s">
        <v>5213</v>
      </c>
      <c r="DE53" t="s">
        <v>5213</v>
      </c>
      <c r="DF53" t="s">
        <v>4755</v>
      </c>
      <c r="DG53" t="s">
        <v>4920</v>
      </c>
      <c r="DH53" t="s">
        <v>4921</v>
      </c>
    </row>
    <row r="54" spans="4:112" ht="14.6">
      <c r="D54" s="6" t="str">
        <f t="shared" si="11"/>
        <v>家乡支援军-&gt;隐秘哥布林</v>
      </c>
      <c r="E54" s="6" t="str">
        <f t="shared" si="12"/>
        <v>#'2.2家乡支援军'!AN47:AT58</v>
      </c>
      <c r="F54" s="6" t="s">
        <v>891</v>
      </c>
      <c r="G54" s="6" t="s">
        <v>5225</v>
      </c>
      <c r="H54" s="6" t="s">
        <v>5148</v>
      </c>
      <c r="I54" s="7" t="s">
        <v>5085</v>
      </c>
      <c r="J54" s="7" t="s">
        <v>5155</v>
      </c>
      <c r="K54" s="7" t="s">
        <v>4995</v>
      </c>
      <c r="L54" s="7" t="s">
        <v>4996</v>
      </c>
      <c r="M54" s="7" t="s">
        <v>4997</v>
      </c>
      <c r="N54" s="7" t="s">
        <v>5226</v>
      </c>
      <c r="O54" s="7" t="s">
        <v>5227</v>
      </c>
      <c r="P54" s="7" t="s">
        <v>4782</v>
      </c>
      <c r="Q54" s="7" t="s">
        <v>4782</v>
      </c>
      <c r="R54" s="7" t="s">
        <v>4782</v>
      </c>
      <c r="S54" s="7">
        <f t="array" ref="S54">SUM(IFERROR(IF(MATCH(I54:R54,$F$4:$Q$4,0)&gt;0,1,0),0))</f>
        <v>0</v>
      </c>
      <c r="T54" s="7">
        <f t="shared" ca="1" si="18"/>
        <v>37</v>
      </c>
      <c r="U54" s="7">
        <f ca="1">T54+COUNTIF(T$5:$T53,T54)</f>
        <v>77</v>
      </c>
      <c r="AO54" s="25"/>
      <c r="AQ54" s="20">
        <v>43607</v>
      </c>
      <c r="AR54">
        <v>6</v>
      </c>
      <c r="AS54" t="s">
        <v>5017</v>
      </c>
      <c r="AT54">
        <v>4000</v>
      </c>
      <c r="AU54" t="s">
        <v>5228</v>
      </c>
      <c r="AX54" s="28">
        <v>30000</v>
      </c>
      <c r="AY54" s="28" t="s">
        <v>4746</v>
      </c>
      <c r="AZ54" s="28" t="s">
        <v>4945</v>
      </c>
      <c r="BA54" s="28" t="s">
        <v>4933</v>
      </c>
      <c r="BB54" s="28">
        <v>100</v>
      </c>
      <c r="BF54" s="29"/>
      <c r="BG54" s="29" t="s">
        <v>4964</v>
      </c>
      <c r="BH54" s="29">
        <v>0</v>
      </c>
      <c r="BI54" s="29">
        <v>4</v>
      </c>
      <c r="BJ54" s="29">
        <v>80</v>
      </c>
      <c r="BK54" s="29">
        <v>1040</v>
      </c>
      <c r="BL54" s="29">
        <v>4000</v>
      </c>
      <c r="BM54" s="29"/>
      <c r="BN54" s="29"/>
      <c r="CD54" s="38">
        <v>50</v>
      </c>
      <c r="CE54" s="38">
        <f t="shared" si="8"/>
        <v>2.9377748484749069</v>
      </c>
      <c r="CF54" s="38">
        <f t="shared" si="20"/>
        <v>51.148049999999998</v>
      </c>
      <c r="CG54" s="38">
        <f t="shared" si="2"/>
        <v>51</v>
      </c>
      <c r="CP54" s="40">
        <v>402</v>
      </c>
      <c r="CQ54" s="41" t="s">
        <v>3362</v>
      </c>
      <c r="CR54" s="41" t="s">
        <v>5229</v>
      </c>
      <c r="CS54" s="41">
        <v>150</v>
      </c>
      <c r="CT54" s="41">
        <v>8</v>
      </c>
      <c r="CU54" s="41">
        <v>100</v>
      </c>
      <c r="CV54" s="41">
        <v>10</v>
      </c>
      <c r="CW54" s="40"/>
      <c r="CX54" s="41" t="s">
        <v>5210</v>
      </c>
      <c r="CY54" s="40" t="s">
        <v>4717</v>
      </c>
      <c r="DB54" t="s">
        <v>182</v>
      </c>
      <c r="DC54" s="7" t="str">
        <f t="shared" ca="1" si="19"/>
        <v>05_002</v>
      </c>
      <c r="DD54" t="s">
        <v>5213</v>
      </c>
      <c r="DE54" t="s">
        <v>5213</v>
      </c>
      <c r="DF54" t="s">
        <v>4785</v>
      </c>
      <c r="DG54" t="s">
        <v>4756</v>
      </c>
      <c r="DH54" t="s">
        <v>4757</v>
      </c>
    </row>
    <row r="55" spans="4:112" ht="14.6">
      <c r="D55" s="6" t="str">
        <f t="shared" si="11"/>
        <v>家乡支援军-&gt;超级巨人</v>
      </c>
      <c r="E55" s="6" t="str">
        <f t="shared" si="12"/>
        <v>#'2.2家乡支援军'!AD61:AJ72</v>
      </c>
      <c r="F55" s="6" t="s">
        <v>894</v>
      </c>
      <c r="G55" s="6" t="s">
        <v>5230</v>
      </c>
      <c r="H55" s="6" t="s">
        <v>5148</v>
      </c>
      <c r="I55" s="7" t="s">
        <v>5085</v>
      </c>
      <c r="J55" s="7" t="s">
        <v>5155</v>
      </c>
      <c r="K55" s="7" t="s">
        <v>4927</v>
      </c>
      <c r="L55" s="7" t="s">
        <v>4831</v>
      </c>
      <c r="M55" s="7" t="s">
        <v>4782</v>
      </c>
      <c r="N55" s="7" t="s">
        <v>4782</v>
      </c>
      <c r="O55" s="7" t="s">
        <v>4782</v>
      </c>
      <c r="P55" s="7" t="s">
        <v>4782</v>
      </c>
      <c r="Q55" s="7" t="s">
        <v>4782</v>
      </c>
      <c r="R55" s="7" t="s">
        <v>4782</v>
      </c>
      <c r="S55" s="7">
        <f t="array" ref="S55">SUM(IFERROR(IF(MATCH(I55:R55,$F$4:$Q$4,0)&gt;0,1,0),0))</f>
        <v>0</v>
      </c>
      <c r="T55" s="7">
        <f t="shared" ca="1" si="18"/>
        <v>37</v>
      </c>
      <c r="U55" s="7">
        <f ca="1">T55+COUNTIF(T$5:$T54,T55)</f>
        <v>78</v>
      </c>
      <c r="Y55" s="12" t="s">
        <v>4</v>
      </c>
      <c r="Z55" s="7">
        <f t="shared" ref="Z55:Z70" ca="1" si="21">OFFSET(AA55,0,$Z$5-1)</f>
        <v>11</v>
      </c>
      <c r="AA55">
        <v>1</v>
      </c>
      <c r="AB55">
        <v>1</v>
      </c>
      <c r="AC55">
        <v>2</v>
      </c>
      <c r="AD55">
        <v>2</v>
      </c>
      <c r="AE55">
        <v>3</v>
      </c>
      <c r="AF55">
        <v>3</v>
      </c>
      <c r="AG55">
        <v>4</v>
      </c>
      <c r="AH55">
        <v>5</v>
      </c>
      <c r="AI55">
        <v>6</v>
      </c>
      <c r="AJ55">
        <v>7</v>
      </c>
      <c r="AK55">
        <v>8</v>
      </c>
      <c r="AL55">
        <v>9</v>
      </c>
      <c r="AM55" s="15">
        <v>9</v>
      </c>
      <c r="AN55" s="15">
        <v>10</v>
      </c>
      <c r="AO55" s="21">
        <v>11</v>
      </c>
      <c r="AQ55" s="26">
        <v>43568</v>
      </c>
      <c r="AR55">
        <v>6</v>
      </c>
      <c r="AS55" t="s">
        <v>5017</v>
      </c>
      <c r="AT55">
        <v>4000</v>
      </c>
      <c r="AU55" t="s">
        <v>5231</v>
      </c>
      <c r="AX55" s="28">
        <v>50000</v>
      </c>
      <c r="AY55" s="28" t="s">
        <v>4750</v>
      </c>
      <c r="AZ55" s="28" t="s">
        <v>5004</v>
      </c>
      <c r="BA55" s="28" t="s">
        <v>5062</v>
      </c>
      <c r="BB55" s="28">
        <v>120</v>
      </c>
      <c r="BF55" s="29"/>
      <c r="BG55" s="29" t="s">
        <v>4975</v>
      </c>
      <c r="BH55" s="29">
        <v>0</v>
      </c>
      <c r="BI55" s="29">
        <v>3</v>
      </c>
      <c r="BJ55" s="29">
        <v>60</v>
      </c>
      <c r="BK55" s="29">
        <v>780</v>
      </c>
      <c r="BL55" s="29">
        <v>3000</v>
      </c>
      <c r="BM55" s="29"/>
      <c r="BN55" s="29"/>
      <c r="CD55" s="38">
        <v>51</v>
      </c>
      <c r="CE55" s="38">
        <f t="shared" si="8"/>
        <v>2.9476758385739168</v>
      </c>
      <c r="CF55" s="38">
        <f t="shared" si="20"/>
        <v>52.14517</v>
      </c>
      <c r="CG55" s="38">
        <f t="shared" si="2"/>
        <v>52</v>
      </c>
      <c r="CP55" s="40">
        <v>403</v>
      </c>
      <c r="CQ55" s="41" t="s">
        <v>3362</v>
      </c>
      <c r="CR55" s="41" t="s">
        <v>5229</v>
      </c>
      <c r="CS55" s="41">
        <v>300</v>
      </c>
      <c r="CT55" s="41">
        <v>24</v>
      </c>
      <c r="CU55" s="41">
        <v>50</v>
      </c>
      <c r="CV55" s="41">
        <v>10</v>
      </c>
      <c r="CW55" s="40"/>
      <c r="CX55" s="41" t="s">
        <v>5210</v>
      </c>
      <c r="CY55" s="40" t="s">
        <v>3104</v>
      </c>
      <c r="DB55" t="s">
        <v>186</v>
      </c>
      <c r="DC55" s="7" t="str">
        <f t="shared" ca="1" si="19"/>
        <v>05_002</v>
      </c>
      <c r="DD55" t="s">
        <v>5213</v>
      </c>
      <c r="DE55" t="s">
        <v>5213</v>
      </c>
      <c r="DF55" t="s">
        <v>4785</v>
      </c>
      <c r="DG55" t="s">
        <v>4873</v>
      </c>
      <c r="DH55" t="s">
        <v>4757</v>
      </c>
    </row>
    <row r="56" spans="4:112" ht="14.6">
      <c r="D56" s="6" t="str">
        <f t="shared" si="11"/>
        <v>家乡支援军-&gt;超级女巫</v>
      </c>
      <c r="E56" s="6" t="str">
        <f t="shared" si="12"/>
        <v>#'2.2家乡支援军'!AX61:BD72</v>
      </c>
      <c r="F56" s="6" t="s">
        <v>899</v>
      </c>
      <c r="G56" s="6" t="s">
        <v>5232</v>
      </c>
      <c r="H56" s="6" t="s">
        <v>5148</v>
      </c>
      <c r="I56" s="7" t="s">
        <v>5085</v>
      </c>
      <c r="J56" s="7" t="s">
        <v>5155</v>
      </c>
      <c r="K56" s="7" t="s">
        <v>4871</v>
      </c>
      <c r="L56" s="7" t="s">
        <v>5008</v>
      </c>
      <c r="M56" s="7" t="s">
        <v>5009</v>
      </c>
      <c r="N56" s="7" t="s">
        <v>5010</v>
      </c>
      <c r="O56" s="7" t="s">
        <v>4927</v>
      </c>
      <c r="P56" s="7" t="s">
        <v>5233</v>
      </c>
      <c r="Q56" s="7" t="s">
        <v>5010</v>
      </c>
      <c r="R56" s="7" t="s">
        <v>5234</v>
      </c>
      <c r="S56" s="7">
        <f t="array" ref="S56">SUM(IFERROR(IF(MATCH(I56:R56,$F$4:$Q$4,0)&gt;0,1,0),0))</f>
        <v>0</v>
      </c>
      <c r="T56" s="7">
        <f t="shared" ca="1" si="18"/>
        <v>37</v>
      </c>
      <c r="U56" s="7">
        <f ca="1">T56+COUNTIF(T$5:$T55,T56)</f>
        <v>79</v>
      </c>
      <c r="Y56" s="12" t="s">
        <v>11</v>
      </c>
      <c r="Z56" s="7">
        <f t="shared" ca="1" si="21"/>
        <v>11</v>
      </c>
      <c r="AA56">
        <v>1</v>
      </c>
      <c r="AB56">
        <v>1</v>
      </c>
      <c r="AC56">
        <v>2</v>
      </c>
      <c r="AD56">
        <v>2</v>
      </c>
      <c r="AE56">
        <v>3</v>
      </c>
      <c r="AF56">
        <v>3</v>
      </c>
      <c r="AG56">
        <v>4</v>
      </c>
      <c r="AH56">
        <v>5</v>
      </c>
      <c r="AI56">
        <v>6</v>
      </c>
      <c r="AJ56">
        <v>7</v>
      </c>
      <c r="AK56">
        <v>8</v>
      </c>
      <c r="AL56">
        <v>9</v>
      </c>
      <c r="AM56" s="15">
        <v>9</v>
      </c>
      <c r="AN56" s="15">
        <v>10</v>
      </c>
      <c r="AO56" s="21">
        <v>11</v>
      </c>
      <c r="AQ56" s="27">
        <v>43537</v>
      </c>
      <c r="AR56">
        <v>6</v>
      </c>
      <c r="AS56" t="s">
        <v>5017</v>
      </c>
      <c r="AT56">
        <v>4000</v>
      </c>
      <c r="AU56" t="s">
        <v>5235</v>
      </c>
      <c r="AX56" s="28">
        <v>3000</v>
      </c>
      <c r="AY56" s="28" t="s">
        <v>4794</v>
      </c>
      <c r="AZ56" s="28" t="s">
        <v>4877</v>
      </c>
      <c r="BA56" s="28" t="s">
        <v>4878</v>
      </c>
      <c r="BB56" s="28">
        <v>20</v>
      </c>
      <c r="BF56" s="29"/>
      <c r="BG56" s="29" t="s">
        <v>4985</v>
      </c>
      <c r="BH56" s="29">
        <v>0</v>
      </c>
      <c r="BI56" s="29">
        <v>6</v>
      </c>
      <c r="BJ56" s="29">
        <v>120</v>
      </c>
      <c r="BK56" s="29">
        <v>1560</v>
      </c>
      <c r="BL56" s="29">
        <v>6000</v>
      </c>
      <c r="BM56" s="29"/>
      <c r="BN56" s="29"/>
      <c r="CD56" s="38">
        <v>52</v>
      </c>
      <c r="CE56" s="38">
        <f t="shared" si="8"/>
        <v>2.9573845764379945</v>
      </c>
      <c r="CF56" s="38">
        <f t="shared" si="20"/>
        <v>53.142359999999996</v>
      </c>
      <c r="CG56" s="38">
        <f t="shared" si="2"/>
        <v>53</v>
      </c>
      <c r="CP56" s="40">
        <v>404</v>
      </c>
      <c r="CQ56" s="41" t="s">
        <v>3367</v>
      </c>
      <c r="CR56" s="41" t="s">
        <v>5236</v>
      </c>
      <c r="CS56" s="41">
        <v>150</v>
      </c>
      <c r="CT56" s="41">
        <v>8</v>
      </c>
      <c r="CU56" s="41">
        <v>70</v>
      </c>
      <c r="CV56" s="41">
        <v>10</v>
      </c>
      <c r="CW56" s="40"/>
      <c r="CX56" s="41" t="s">
        <v>4716</v>
      </c>
      <c r="CY56" s="40" t="s">
        <v>4717</v>
      </c>
      <c r="DB56" t="s">
        <v>188</v>
      </c>
      <c r="DC56" s="7" t="str">
        <f t="shared" ca="1" si="19"/>
        <v>05_003</v>
      </c>
      <c r="DD56" t="s">
        <v>5213</v>
      </c>
      <c r="DE56" t="s">
        <v>4784</v>
      </c>
      <c r="DF56" t="s">
        <v>4755</v>
      </c>
      <c r="DG56" t="s">
        <v>4756</v>
      </c>
      <c r="DH56" t="s">
        <v>4835</v>
      </c>
    </row>
    <row r="57" spans="4:112" ht="14.6">
      <c r="D57" s="6" t="str">
        <f t="shared" si="11"/>
        <v>家乡支援军-&gt;超级武神</v>
      </c>
      <c r="E57" s="6" t="str">
        <f t="shared" si="12"/>
        <v>#'2.2家乡支援军'!AN75:AT86</v>
      </c>
      <c r="F57" s="6" t="s">
        <v>904</v>
      </c>
      <c r="G57" s="6" t="s">
        <v>5237</v>
      </c>
      <c r="H57" s="6" t="s">
        <v>5148</v>
      </c>
      <c r="I57" s="7" t="s">
        <v>5085</v>
      </c>
      <c r="J57" s="7" t="s">
        <v>5155</v>
      </c>
      <c r="K57" s="7" t="s">
        <v>4948</v>
      </c>
      <c r="L57" s="7" t="s">
        <v>4949</v>
      </c>
      <c r="M57" s="7" t="s">
        <v>4950</v>
      </c>
      <c r="N57" s="7" t="s">
        <v>4951</v>
      </c>
      <c r="O57" s="7" t="s">
        <v>4782</v>
      </c>
      <c r="P57" s="7" t="s">
        <v>4782</v>
      </c>
      <c r="Q57" s="7" t="s">
        <v>4782</v>
      </c>
      <c r="R57" s="7" t="s">
        <v>4782</v>
      </c>
      <c r="S57" s="7">
        <f t="array" ref="S57">SUM(IFERROR(IF(MATCH(I57:R57,$F$4:$Q$4,0)&gt;0,1,0),0))</f>
        <v>0</v>
      </c>
      <c r="T57" s="7">
        <f t="shared" ca="1" si="18"/>
        <v>37</v>
      </c>
      <c r="U57" s="7">
        <f ca="1">T57+COUNTIF(T$5:$T56,T57)</f>
        <v>80</v>
      </c>
      <c r="Y57" s="12" t="s">
        <v>16</v>
      </c>
      <c r="Z57" s="7">
        <f t="shared" ca="1" si="21"/>
        <v>11</v>
      </c>
      <c r="AA57">
        <v>0</v>
      </c>
      <c r="AB57">
        <v>1</v>
      </c>
      <c r="AC57">
        <v>1</v>
      </c>
      <c r="AD57">
        <v>2</v>
      </c>
      <c r="AE57">
        <v>2</v>
      </c>
      <c r="AF57">
        <v>3</v>
      </c>
      <c r="AG57">
        <v>4</v>
      </c>
      <c r="AH57">
        <v>5</v>
      </c>
      <c r="AI57">
        <v>6</v>
      </c>
      <c r="AJ57">
        <v>7</v>
      </c>
      <c r="AK57">
        <v>8</v>
      </c>
      <c r="AL57">
        <v>9</v>
      </c>
      <c r="AM57" s="15">
        <v>10</v>
      </c>
      <c r="AN57" s="15">
        <v>10</v>
      </c>
      <c r="AO57" s="21">
        <v>11</v>
      </c>
      <c r="AQ57" s="27">
        <v>43507</v>
      </c>
      <c r="AR57">
        <v>6</v>
      </c>
      <c r="AS57" t="s">
        <v>5238</v>
      </c>
      <c r="AT57">
        <v>4000</v>
      </c>
      <c r="AU57" t="s">
        <v>5239</v>
      </c>
      <c r="AX57" s="28">
        <v>7500</v>
      </c>
      <c r="AY57" s="28" t="s">
        <v>4712</v>
      </c>
      <c r="AZ57" s="28" t="s">
        <v>4713</v>
      </c>
      <c r="BA57" s="28" t="s">
        <v>4771</v>
      </c>
      <c r="BB57" s="28">
        <v>40</v>
      </c>
      <c r="BF57" s="29"/>
      <c r="BG57" s="29" t="s">
        <v>5005</v>
      </c>
      <c r="BH57" s="29">
        <v>0</v>
      </c>
      <c r="BI57" s="29">
        <f t="shared" ref="BI57:BL57" si="22">BI52*0.86</f>
        <v>0.86</v>
      </c>
      <c r="BJ57" s="29">
        <f t="shared" si="22"/>
        <v>17.2</v>
      </c>
      <c r="BK57" s="29">
        <f t="shared" si="22"/>
        <v>223.6</v>
      </c>
      <c r="BL57" s="29">
        <f t="shared" si="22"/>
        <v>860</v>
      </c>
      <c r="BM57" s="29"/>
      <c r="BN57" s="29"/>
      <c r="CD57" s="38">
        <v>53</v>
      </c>
      <c r="CE57" s="38">
        <f t="shared" si="8"/>
        <v>2.966908385961804</v>
      </c>
      <c r="CF57" s="38">
        <f t="shared" si="20"/>
        <v>54.139600000000002</v>
      </c>
      <c r="CG57" s="38">
        <f t="shared" si="2"/>
        <v>54</v>
      </c>
      <c r="CP57" s="40">
        <v>405</v>
      </c>
      <c r="CQ57" s="41" t="s">
        <v>3367</v>
      </c>
      <c r="CR57" s="41" t="s">
        <v>5240</v>
      </c>
      <c r="CS57" s="41">
        <v>300</v>
      </c>
      <c r="CT57" s="41">
        <v>24</v>
      </c>
      <c r="CU57" s="41">
        <v>35</v>
      </c>
      <c r="CV57" s="41">
        <v>10</v>
      </c>
      <c r="CW57" s="40"/>
      <c r="CX57" s="41" t="s">
        <v>4716</v>
      </c>
      <c r="CY57" s="40" t="s">
        <v>3104</v>
      </c>
      <c r="DC57" s="7">
        <f t="shared" ca="1" si="19"/>
        <v>0</v>
      </c>
    </row>
    <row r="58" spans="4:112" ht="14.6">
      <c r="D58" s="6" t="str">
        <f t="shared" si="11"/>
        <v>家乡支援军-&gt;狂暴法术</v>
      </c>
      <c r="E58" s="6" t="str">
        <f t="shared" si="12"/>
        <v>#'2.2家乡支援军'!F19:L28</v>
      </c>
      <c r="F58" s="6" t="s">
        <v>762</v>
      </c>
      <c r="G58" s="6" t="s">
        <v>5241</v>
      </c>
      <c r="H58" s="6" t="s">
        <v>5148</v>
      </c>
      <c r="I58" s="7" t="s">
        <v>4801</v>
      </c>
      <c r="J58" s="7" t="s">
        <v>5242</v>
      </c>
      <c r="K58" s="7" t="s">
        <v>5243</v>
      </c>
      <c r="L58" s="7" t="s">
        <v>5037</v>
      </c>
      <c r="M58" s="7" t="s">
        <v>5244</v>
      </c>
      <c r="N58" s="7" t="s">
        <v>4782</v>
      </c>
      <c r="O58" s="7" t="s">
        <v>4782</v>
      </c>
      <c r="P58" s="7" t="s">
        <v>4782</v>
      </c>
      <c r="Q58" s="7" t="s">
        <v>4782</v>
      </c>
      <c r="R58" s="7" t="s">
        <v>4782</v>
      </c>
      <c r="S58" s="7">
        <f t="array" ref="S58">SUM(IFERROR(IF(MATCH(I58:R58,$F$4:$Q$4,0)&gt;0,1,0),0))</f>
        <v>0</v>
      </c>
      <c r="T58" s="7">
        <f t="shared" ca="1" si="18"/>
        <v>37</v>
      </c>
      <c r="U58" s="7">
        <f ca="1">T58+COUNTIF(T$5:$T57,T58)</f>
        <v>81</v>
      </c>
      <c r="Y58" s="12" t="s">
        <v>22</v>
      </c>
      <c r="Z58" s="7">
        <f t="shared" ca="1" si="21"/>
        <v>8</v>
      </c>
      <c r="AA58">
        <v>0</v>
      </c>
      <c r="AB58">
        <v>1</v>
      </c>
      <c r="AC58">
        <v>2</v>
      </c>
      <c r="AD58">
        <v>2</v>
      </c>
      <c r="AE58">
        <v>3</v>
      </c>
      <c r="AF58">
        <v>3</v>
      </c>
      <c r="AG58">
        <v>4</v>
      </c>
      <c r="AH58">
        <v>5</v>
      </c>
      <c r="AI58">
        <v>6</v>
      </c>
      <c r="AJ58">
        <v>7</v>
      </c>
      <c r="AK58">
        <v>7</v>
      </c>
      <c r="AL58">
        <v>8</v>
      </c>
      <c r="AM58" s="15">
        <v>8</v>
      </c>
      <c r="AN58" s="15">
        <v>8</v>
      </c>
      <c r="AO58" s="21">
        <v>8</v>
      </c>
      <c r="AQ58" s="27">
        <v>43483</v>
      </c>
      <c r="AR58">
        <v>6</v>
      </c>
      <c r="AS58" t="s">
        <v>5245</v>
      </c>
      <c r="AT58">
        <v>4000</v>
      </c>
      <c r="AU58" t="s">
        <v>5246</v>
      </c>
      <c r="AX58" s="28">
        <v>12000</v>
      </c>
      <c r="AY58" s="28" t="s">
        <v>4747</v>
      </c>
      <c r="AZ58" s="28" t="s">
        <v>4737</v>
      </c>
      <c r="BA58" s="28" t="s">
        <v>4795</v>
      </c>
      <c r="BB58" s="28">
        <v>60</v>
      </c>
      <c r="BF58" s="29"/>
      <c r="BG58" s="29"/>
      <c r="BH58" s="29"/>
      <c r="BI58" s="29"/>
      <c r="BJ58" s="29"/>
      <c r="BK58" s="29"/>
      <c r="BL58" s="29"/>
      <c r="BM58" s="29"/>
      <c r="BN58" s="29"/>
      <c r="CD58" s="38">
        <v>54</v>
      </c>
      <c r="CE58" s="38">
        <f t="shared" si="8"/>
        <v>2.9762541803543274</v>
      </c>
      <c r="CF58" s="38">
        <f t="shared" si="20"/>
        <v>55.136890000000001</v>
      </c>
      <c r="CG58" s="38">
        <f t="shared" si="2"/>
        <v>55</v>
      </c>
      <c r="CP58" s="40">
        <v>406</v>
      </c>
      <c r="CQ58" s="41" t="s">
        <v>3373</v>
      </c>
      <c r="CR58" s="41" t="s">
        <v>5247</v>
      </c>
      <c r="CS58" s="41">
        <v>150</v>
      </c>
      <c r="CT58" s="41">
        <v>8</v>
      </c>
      <c r="CU58" s="41">
        <v>100</v>
      </c>
      <c r="CV58" s="41">
        <v>10</v>
      </c>
      <c r="CW58" s="40"/>
      <c r="CX58" s="41" t="s">
        <v>4716</v>
      </c>
      <c r="CY58" s="40" t="s">
        <v>4717</v>
      </c>
      <c r="DB58" t="s">
        <v>33</v>
      </c>
      <c r="DC58" s="7" t="str">
        <f t="shared" ca="1" si="19"/>
        <v>05_003</v>
      </c>
      <c r="DD58" t="s">
        <v>5248</v>
      </c>
      <c r="DE58" t="s">
        <v>5206</v>
      </c>
      <c r="DF58" t="s">
        <v>5073</v>
      </c>
      <c r="DG58" t="s">
        <v>4920</v>
      </c>
      <c r="DH58" t="s">
        <v>4835</v>
      </c>
    </row>
    <row r="59" spans="4:112" ht="14.6">
      <c r="D59" s="6" t="str">
        <f t="shared" si="11"/>
        <v>家乡支援军-&gt;冰冻法术</v>
      </c>
      <c r="E59" s="6" t="str">
        <f t="shared" si="12"/>
        <v>#'2.2家乡支援军'!F32:L41</v>
      </c>
      <c r="F59" s="6" t="s">
        <v>776</v>
      </c>
      <c r="G59" s="6" t="s">
        <v>5249</v>
      </c>
      <c r="H59" s="6" t="s">
        <v>5148</v>
      </c>
      <c r="I59" s="7" t="s">
        <v>4801</v>
      </c>
      <c r="J59" s="7" t="s">
        <v>5056</v>
      </c>
      <c r="K59" s="7" t="s">
        <v>5250</v>
      </c>
      <c r="L59" s="7" t="s">
        <v>5037</v>
      </c>
      <c r="M59" s="7" t="s">
        <v>5244</v>
      </c>
      <c r="N59" s="7" t="s">
        <v>4782</v>
      </c>
      <c r="O59" s="7" t="s">
        <v>4782</v>
      </c>
      <c r="P59" s="7" t="s">
        <v>4782</v>
      </c>
      <c r="Q59" s="7" t="s">
        <v>4782</v>
      </c>
      <c r="R59" s="7" t="s">
        <v>4782</v>
      </c>
      <c r="S59" s="7">
        <f t="array" ref="S59">SUM(IFERROR(IF(MATCH(I59:R59,$F$4:$Q$4,0)&gt;0,1,0),0))</f>
        <v>0</v>
      </c>
      <c r="T59" s="7">
        <f t="shared" ca="1" si="18"/>
        <v>37</v>
      </c>
      <c r="U59" s="7">
        <f ca="1">T59+COUNTIF(T$5:$T58,T59)</f>
        <v>82</v>
      </c>
      <c r="Y59" s="12" t="s">
        <v>28</v>
      </c>
      <c r="Z59" s="7">
        <f t="shared" ca="1" si="21"/>
        <v>11</v>
      </c>
      <c r="AA59">
        <v>0</v>
      </c>
      <c r="AB59">
        <v>0</v>
      </c>
      <c r="AC59">
        <v>1</v>
      </c>
      <c r="AD59">
        <v>2</v>
      </c>
      <c r="AE59">
        <v>2</v>
      </c>
      <c r="AF59">
        <v>3</v>
      </c>
      <c r="AG59">
        <v>4</v>
      </c>
      <c r="AH59">
        <v>5</v>
      </c>
      <c r="AI59">
        <v>5</v>
      </c>
      <c r="AJ59">
        <v>6</v>
      </c>
      <c r="AK59">
        <v>7</v>
      </c>
      <c r="AL59">
        <v>8</v>
      </c>
      <c r="AM59" s="15">
        <v>9</v>
      </c>
      <c r="AN59" s="15">
        <v>10</v>
      </c>
      <c r="AO59" s="21">
        <v>11</v>
      </c>
      <c r="AQ59" s="27">
        <v>43457</v>
      </c>
      <c r="AR59">
        <v>7</v>
      </c>
      <c r="AS59" t="s">
        <v>5251</v>
      </c>
      <c r="AT59">
        <v>4000</v>
      </c>
      <c r="AU59" t="s">
        <v>5252</v>
      </c>
      <c r="AX59" s="28">
        <v>18000</v>
      </c>
      <c r="AY59" s="28" t="s">
        <v>5002</v>
      </c>
      <c r="AZ59" s="28" t="s">
        <v>4855</v>
      </c>
      <c r="BA59" s="28" t="s">
        <v>4974</v>
      </c>
      <c r="BB59" s="28">
        <v>80</v>
      </c>
      <c r="BF59" s="29"/>
      <c r="BG59" s="29" t="s">
        <v>5253</v>
      </c>
      <c r="BH59" s="29">
        <f>'5.3小工具'!I64</f>
        <v>975</v>
      </c>
      <c r="BI59" s="29" t="s">
        <v>4773</v>
      </c>
      <c r="BJ59" s="36">
        <f ca="1">MATCH(BH59,OFFSET(BH51,BL59,0,1,7),1)</f>
        <v>4</v>
      </c>
      <c r="BK59" s="29" t="s">
        <v>4774</v>
      </c>
      <c r="BL59" s="36">
        <f>VALUE(LEFT('5.3小工具'!I65,1))</f>
        <v>1</v>
      </c>
      <c r="BM59" s="29"/>
      <c r="BN59" s="29"/>
      <c r="CD59" s="38">
        <v>55</v>
      </c>
      <c r="CE59" s="38">
        <f t="shared" si="8"/>
        <v>2.9854284922809331</v>
      </c>
      <c r="CF59" s="38">
        <f t="shared" si="20"/>
        <v>56.134230000000002</v>
      </c>
      <c r="CG59" s="38">
        <f t="shared" si="2"/>
        <v>56</v>
      </c>
      <c r="CP59" s="40">
        <v>407</v>
      </c>
      <c r="CQ59" s="41" t="s">
        <v>3373</v>
      </c>
      <c r="CR59" s="41" t="s">
        <v>5254</v>
      </c>
      <c r="CS59" s="41">
        <v>300</v>
      </c>
      <c r="CT59" s="41">
        <v>24</v>
      </c>
      <c r="CU59" s="41">
        <v>50</v>
      </c>
      <c r="CV59" s="41">
        <v>10</v>
      </c>
      <c r="CW59" s="40"/>
      <c r="CX59" s="41" t="s">
        <v>4716</v>
      </c>
      <c r="CY59" s="40" t="s">
        <v>3104</v>
      </c>
      <c r="DB59" t="s">
        <v>194</v>
      </c>
      <c r="DC59" s="7" t="str">
        <f t="shared" ca="1" si="19"/>
        <v>05_001</v>
      </c>
      <c r="DD59" t="s">
        <v>4834</v>
      </c>
      <c r="DE59" t="s">
        <v>4784</v>
      </c>
      <c r="DF59" t="s">
        <v>4785</v>
      </c>
      <c r="DG59" t="s">
        <v>4873</v>
      </c>
      <c r="DH59" t="s">
        <v>4941</v>
      </c>
    </row>
    <row r="60" spans="4:112" ht="14.6">
      <c r="D60" s="6" t="str">
        <f t="shared" si="11"/>
        <v>家乡支援军-&gt;雷电法术</v>
      </c>
      <c r="E60" s="6" t="str">
        <f t="shared" si="12"/>
        <v>#'2.2家乡支援军'!F5:M17</v>
      </c>
      <c r="F60" s="6" t="s">
        <v>752</v>
      </c>
      <c r="G60" s="6" t="s">
        <v>5255</v>
      </c>
      <c r="H60" s="6" t="s">
        <v>5148</v>
      </c>
      <c r="I60" s="7" t="s">
        <v>4801</v>
      </c>
      <c r="J60" s="7" t="s">
        <v>5120</v>
      </c>
      <c r="K60" s="7" t="s">
        <v>5121</v>
      </c>
      <c r="L60" s="7" t="s">
        <v>5037</v>
      </c>
      <c r="M60" s="7" t="s">
        <v>5244</v>
      </c>
      <c r="N60" s="7" t="s">
        <v>4939</v>
      </c>
      <c r="O60" s="7" t="s">
        <v>4782</v>
      </c>
      <c r="P60" s="7" t="s">
        <v>4782</v>
      </c>
      <c r="Q60" s="7" t="s">
        <v>4782</v>
      </c>
      <c r="R60" s="7" t="s">
        <v>4782</v>
      </c>
      <c r="S60" s="7">
        <f t="array" ref="S60">SUM(IFERROR(IF(MATCH(I60:R60,$F$4:$Q$4,0)&gt;0,1,0),0))</f>
        <v>0</v>
      </c>
      <c r="T60" s="7">
        <f t="shared" ca="1" si="18"/>
        <v>37</v>
      </c>
      <c r="U60" s="7">
        <f ca="1">T60+COUNTIF(T$5:$T59,T60)</f>
        <v>83</v>
      </c>
      <c r="Y60" s="12" t="s">
        <v>34</v>
      </c>
      <c r="Z60" s="7">
        <f t="shared" ca="1" si="21"/>
        <v>10</v>
      </c>
      <c r="AA60">
        <v>0</v>
      </c>
      <c r="AB60">
        <v>0</v>
      </c>
      <c r="AC60">
        <v>0</v>
      </c>
      <c r="AD60">
        <v>2</v>
      </c>
      <c r="AE60">
        <v>2</v>
      </c>
      <c r="AF60">
        <v>3</v>
      </c>
      <c r="AG60">
        <v>4</v>
      </c>
      <c r="AH60">
        <v>5</v>
      </c>
      <c r="AI60">
        <v>6</v>
      </c>
      <c r="AJ60">
        <v>6</v>
      </c>
      <c r="AK60">
        <v>7</v>
      </c>
      <c r="AL60">
        <v>8</v>
      </c>
      <c r="AM60" s="15">
        <v>9</v>
      </c>
      <c r="AN60" s="15">
        <v>10</v>
      </c>
      <c r="AO60" s="21">
        <v>10</v>
      </c>
      <c r="AQ60" s="27">
        <v>43440.666666666701</v>
      </c>
      <c r="AR60">
        <v>6</v>
      </c>
      <c r="AS60" t="s">
        <v>5256</v>
      </c>
      <c r="AT60">
        <v>4000</v>
      </c>
      <c r="AU60" t="s">
        <v>5257</v>
      </c>
      <c r="AX60" s="28">
        <v>30000</v>
      </c>
      <c r="AY60" s="28" t="s">
        <v>4751</v>
      </c>
      <c r="AZ60" s="28" t="s">
        <v>4945</v>
      </c>
      <c r="BA60" s="28" t="s">
        <v>4933</v>
      </c>
      <c r="BB60" s="28">
        <v>100</v>
      </c>
      <c r="BF60" s="29"/>
      <c r="BG60" s="29" t="s">
        <v>4796</v>
      </c>
      <c r="BH60" s="29">
        <f ca="1">(BI51-BH51)/(OFFSET(BG51,BL59,BH62+1)-OFFSET(BG51,BL59,BH62))</f>
        <v>60</v>
      </c>
      <c r="BI60" s="29">
        <f ca="1">(BJ51-BI51)/(OFFSET(BG51,BL59,BI62+1)-OFFSET(BG51,BL59,BI62))</f>
        <v>186.31578947368422</v>
      </c>
      <c r="BJ60" s="29">
        <f ca="1">(BK51-BJ51)/(OFFSET(BG51,BL59,BJ62+1)-OFFSET(BG51,BL59,BJ62))</f>
        <v>345</v>
      </c>
      <c r="BK60" s="29">
        <f ca="1">(BL51-BK51)/(OFFSET(BG51,BL59,BK62+1)-OFFSET(BG51,BL59,BK62))</f>
        <v>700.54054054054052</v>
      </c>
      <c r="BL60" s="29">
        <f ca="1">BK60</f>
        <v>700.54054054054052</v>
      </c>
      <c r="BM60" s="29"/>
      <c r="BN60" s="29"/>
      <c r="CD60" s="38">
        <v>56</v>
      </c>
      <c r="CE60" s="38">
        <f t="shared" si="8"/>
        <v>2.994437501289942</v>
      </c>
      <c r="CF60" s="38">
        <f t="shared" si="20"/>
        <v>57.131610000000002</v>
      </c>
      <c r="CG60" s="38">
        <f t="shared" si="2"/>
        <v>57</v>
      </c>
      <c r="CP60" s="40">
        <v>408</v>
      </c>
      <c r="CQ60" s="41" t="s">
        <v>3378</v>
      </c>
      <c r="CR60" s="41" t="s">
        <v>5258</v>
      </c>
      <c r="CS60" s="41">
        <v>150</v>
      </c>
      <c r="CT60" s="41">
        <v>8</v>
      </c>
      <c r="CU60" s="41">
        <v>100</v>
      </c>
      <c r="CV60" s="41">
        <v>10</v>
      </c>
      <c r="CW60" s="40"/>
      <c r="CX60" s="41" t="s">
        <v>4716</v>
      </c>
      <c r="CY60" s="40" t="s">
        <v>4717</v>
      </c>
      <c r="DB60" t="s">
        <v>199</v>
      </c>
      <c r="DC60" s="7" t="str">
        <f t="shared" ca="1" si="19"/>
        <v>05_001</v>
      </c>
      <c r="DD60" t="s">
        <v>4834</v>
      </c>
      <c r="DE60" t="s">
        <v>4784</v>
      </c>
      <c r="DF60" t="s">
        <v>4785</v>
      </c>
      <c r="DG60" t="s">
        <v>4873</v>
      </c>
      <c r="DH60" t="s">
        <v>4941</v>
      </c>
    </row>
    <row r="61" spans="4:112" ht="14.6">
      <c r="D61" s="6" t="str">
        <f t="shared" si="11"/>
        <v>家乡支援军-&gt;毒药法术</v>
      </c>
      <c r="E61" s="6" t="str">
        <f t="shared" si="12"/>
        <v>#'2.2家乡支援军'!F58:M70</v>
      </c>
      <c r="F61" s="6" t="s">
        <v>911</v>
      </c>
      <c r="G61" s="6" t="s">
        <v>5259</v>
      </c>
      <c r="H61" s="6" t="s">
        <v>5148</v>
      </c>
      <c r="I61" s="7" t="s">
        <v>4801</v>
      </c>
      <c r="J61" s="7" t="s">
        <v>5260</v>
      </c>
      <c r="K61" s="7" t="s">
        <v>5261</v>
      </c>
      <c r="L61" s="7" t="s">
        <v>5037</v>
      </c>
      <c r="M61" s="7" t="s">
        <v>5244</v>
      </c>
      <c r="N61" s="7" t="s">
        <v>5262</v>
      </c>
      <c r="O61" s="7" t="s">
        <v>5263</v>
      </c>
      <c r="P61" s="7" t="s">
        <v>4782</v>
      </c>
      <c r="Q61" s="7" t="s">
        <v>4782</v>
      </c>
      <c r="R61" s="7" t="s">
        <v>4782</v>
      </c>
      <c r="S61" s="7">
        <f t="array" ref="S61">SUM(IFERROR(IF(MATCH(I61:R61,$F$4:$Q$4,0)&gt;0,1,0),0))</f>
        <v>0</v>
      </c>
      <c r="T61" s="7">
        <f t="shared" ca="1" si="18"/>
        <v>37</v>
      </c>
      <c r="U61" s="7">
        <f ca="1">T61+COUNTIF(T$5:$T60,T61)</f>
        <v>84</v>
      </c>
      <c r="Y61" s="12" t="s">
        <v>40</v>
      </c>
      <c r="Z61" s="7">
        <f t="shared" ca="1" si="21"/>
        <v>11</v>
      </c>
      <c r="AA61">
        <v>0</v>
      </c>
      <c r="AB61">
        <v>0</v>
      </c>
      <c r="AC61">
        <v>0</v>
      </c>
      <c r="AD61">
        <v>0</v>
      </c>
      <c r="AE61">
        <v>2</v>
      </c>
      <c r="AF61">
        <v>3</v>
      </c>
      <c r="AG61">
        <v>4</v>
      </c>
      <c r="AH61">
        <v>5</v>
      </c>
      <c r="AI61">
        <v>6</v>
      </c>
      <c r="AJ61">
        <v>7</v>
      </c>
      <c r="AK61">
        <v>8</v>
      </c>
      <c r="AL61">
        <v>9</v>
      </c>
      <c r="AM61" s="15">
        <v>10</v>
      </c>
      <c r="AN61" s="15">
        <v>10</v>
      </c>
      <c r="AO61" s="21">
        <v>11</v>
      </c>
      <c r="AQ61" s="27">
        <v>43427.666666666701</v>
      </c>
      <c r="AR61">
        <v>6</v>
      </c>
      <c r="AS61" t="s">
        <v>5264</v>
      </c>
      <c r="AT61">
        <v>4000</v>
      </c>
      <c r="AU61" t="s">
        <v>5265</v>
      </c>
      <c r="AX61" s="28">
        <v>50000</v>
      </c>
      <c r="AY61" s="28" t="s">
        <v>4745</v>
      </c>
      <c r="AZ61" s="28" t="s">
        <v>5004</v>
      </c>
      <c r="BA61" s="28" t="s">
        <v>5062</v>
      </c>
      <c r="BB61" s="28">
        <v>120</v>
      </c>
      <c r="BF61" s="29"/>
      <c r="BG61" s="29" t="s">
        <v>4825</v>
      </c>
      <c r="BH61" s="29">
        <f ca="1">BI51-OFFSET(BH51,BL59,BH62)*BH60</f>
        <v>0</v>
      </c>
      <c r="BI61" s="29">
        <f ca="1">BJ51-OFFSET(BH51,BL59,BI62)*BI60</f>
        <v>-126.31578947368416</v>
      </c>
      <c r="BJ61" s="29">
        <f ca="1">BK51-OFFSET(BH51,BL59,BJ62)*BJ60</f>
        <v>-3300</v>
      </c>
      <c r="BK61" s="29">
        <f ca="1">BL51-OFFSET(BH51,BL59,BK62)*BK60</f>
        <v>-95740.540540540474</v>
      </c>
      <c r="BL61" s="29">
        <f ca="1">BK61</f>
        <v>-95740.540540540474</v>
      </c>
      <c r="BM61" s="29"/>
      <c r="BN61" s="29"/>
      <c r="CD61" s="38">
        <v>57</v>
      </c>
      <c r="CE61" s="38">
        <f t="shared" si="8"/>
        <v>3.0032870588120657</v>
      </c>
      <c r="CF61" s="38">
        <f t="shared" si="20"/>
        <v>58.129049999999999</v>
      </c>
      <c r="CG61" s="38">
        <f t="shared" si="2"/>
        <v>58</v>
      </c>
      <c r="CP61" s="40">
        <v>409</v>
      </c>
      <c r="CQ61" s="41" t="s">
        <v>3378</v>
      </c>
      <c r="CR61" s="41" t="s">
        <v>5266</v>
      </c>
      <c r="CS61" s="41">
        <v>300</v>
      </c>
      <c r="CT61" s="41">
        <v>24</v>
      </c>
      <c r="CU61" s="41">
        <v>50</v>
      </c>
      <c r="CV61" s="41">
        <v>10</v>
      </c>
      <c r="CW61" s="40"/>
      <c r="CX61" s="41" t="s">
        <v>4716</v>
      </c>
      <c r="CY61" s="40" t="s">
        <v>3104</v>
      </c>
      <c r="DB61" t="s">
        <v>205</v>
      </c>
      <c r="DC61" s="7" t="str">
        <f t="shared" ca="1" si="19"/>
        <v>05_001</v>
      </c>
      <c r="DD61" t="s">
        <v>4834</v>
      </c>
      <c r="DE61" t="s">
        <v>4784</v>
      </c>
      <c r="DF61" t="s">
        <v>4785</v>
      </c>
      <c r="DG61" t="s">
        <v>4873</v>
      </c>
      <c r="DH61" t="s">
        <v>4941</v>
      </c>
    </row>
    <row r="62" spans="4:112" ht="14.6">
      <c r="D62" s="6" t="str">
        <f t="shared" si="11"/>
        <v>家乡支援军-&gt;急速法术</v>
      </c>
      <c r="E62" s="6" t="str">
        <f t="shared" si="12"/>
        <v>#'2.2家乡支援军'!F71:L80</v>
      </c>
      <c r="F62" s="6" t="s">
        <v>925</v>
      </c>
      <c r="G62" s="6" t="s">
        <v>5267</v>
      </c>
      <c r="H62" s="6" t="s">
        <v>5148</v>
      </c>
      <c r="I62" s="7" t="s">
        <v>4801</v>
      </c>
      <c r="J62" s="7" t="s">
        <v>5268</v>
      </c>
      <c r="K62" s="7" t="s">
        <v>5269</v>
      </c>
      <c r="L62" s="7" t="s">
        <v>5037</v>
      </c>
      <c r="M62" s="7" t="s">
        <v>5244</v>
      </c>
      <c r="N62" s="7" t="s">
        <v>4782</v>
      </c>
      <c r="O62" s="7" t="s">
        <v>4782</v>
      </c>
      <c r="P62" s="7" t="s">
        <v>4782</v>
      </c>
      <c r="Q62" s="7" t="s">
        <v>4782</v>
      </c>
      <c r="R62" s="7" t="s">
        <v>4782</v>
      </c>
      <c r="S62" s="7">
        <f t="array" ref="S62">SUM(IFERROR(IF(MATCH(I62:R62,$F$4:$Q$4,0)&gt;0,1,0),0))</f>
        <v>0</v>
      </c>
      <c r="T62" s="7">
        <f t="shared" ca="1" si="18"/>
        <v>37</v>
      </c>
      <c r="U62" s="7">
        <f ca="1">T62+COUNTIF(T$5:$T61,T62)</f>
        <v>85</v>
      </c>
      <c r="Y62" s="12" t="s">
        <v>45</v>
      </c>
      <c r="Z62" s="7">
        <f t="shared" ca="1" si="21"/>
        <v>7</v>
      </c>
      <c r="AA62">
        <v>0</v>
      </c>
      <c r="AB62">
        <v>0</v>
      </c>
      <c r="AC62">
        <v>0</v>
      </c>
      <c r="AD62">
        <v>0</v>
      </c>
      <c r="AE62">
        <v>0</v>
      </c>
      <c r="AF62">
        <v>1</v>
      </c>
      <c r="AG62">
        <v>2</v>
      </c>
      <c r="AH62">
        <v>3</v>
      </c>
      <c r="AI62">
        <v>4</v>
      </c>
      <c r="AJ62">
        <v>4</v>
      </c>
      <c r="AK62">
        <v>5</v>
      </c>
      <c r="AL62">
        <v>5</v>
      </c>
      <c r="AM62" s="15">
        <v>6</v>
      </c>
      <c r="AN62" s="15">
        <v>7</v>
      </c>
      <c r="AO62" s="21">
        <v>7</v>
      </c>
      <c r="AQ62" s="27">
        <v>43406.666666666701</v>
      </c>
      <c r="AR62">
        <v>7</v>
      </c>
      <c r="AS62" t="s">
        <v>5270</v>
      </c>
      <c r="AT62">
        <v>4000</v>
      </c>
      <c r="AU62" t="s">
        <v>5271</v>
      </c>
      <c r="AX62" s="28">
        <v>3000</v>
      </c>
      <c r="AY62" s="28" t="s">
        <v>4794</v>
      </c>
      <c r="AZ62" s="28" t="s">
        <v>4877</v>
      </c>
      <c r="BA62" s="28" t="s">
        <v>4878</v>
      </c>
      <c r="BB62" s="28">
        <v>20</v>
      </c>
      <c r="BF62" s="29"/>
      <c r="BG62" s="29" t="s">
        <v>4846</v>
      </c>
      <c r="BH62" s="29">
        <v>1</v>
      </c>
      <c r="BI62" s="29">
        <v>2</v>
      </c>
      <c r="BJ62" s="29">
        <v>3</v>
      </c>
      <c r="BK62" s="29">
        <v>4</v>
      </c>
      <c r="BL62" s="29"/>
      <c r="BM62" s="29"/>
      <c r="BN62" s="29"/>
      <c r="CD62" s="38">
        <v>58</v>
      </c>
      <c r="CE62" s="38">
        <f t="shared" si="8"/>
        <v>3.0119827109859787</v>
      </c>
      <c r="CF62" s="38">
        <f t="shared" si="20"/>
        <v>59.126530000000002</v>
      </c>
      <c r="CG62" s="38">
        <f t="shared" si="2"/>
        <v>59</v>
      </c>
      <c r="CP62" s="40">
        <v>410</v>
      </c>
      <c r="CQ62" s="41" t="s">
        <v>3448</v>
      </c>
      <c r="CR62" s="41" t="s">
        <v>5272</v>
      </c>
      <c r="CS62" s="41">
        <v>150</v>
      </c>
      <c r="CT62" s="41">
        <v>8</v>
      </c>
      <c r="CU62" s="41">
        <v>100</v>
      </c>
      <c r="CV62" s="41">
        <v>5</v>
      </c>
      <c r="CW62" s="40"/>
      <c r="CX62" s="41" t="s">
        <v>4716</v>
      </c>
      <c r="CY62" s="40" t="s">
        <v>4717</v>
      </c>
      <c r="DB62" t="s">
        <v>210</v>
      </c>
      <c r="DC62" s="7" t="str">
        <f t="shared" ca="1" si="19"/>
        <v>05_001</v>
      </c>
      <c r="DD62" t="s">
        <v>4834</v>
      </c>
      <c r="DE62" t="s">
        <v>4784</v>
      </c>
      <c r="DF62" t="s">
        <v>4785</v>
      </c>
      <c r="DG62" t="s">
        <v>4873</v>
      </c>
      <c r="DH62" t="s">
        <v>4941</v>
      </c>
    </row>
    <row r="63" spans="4:112" ht="14.6">
      <c r="D63" s="6" t="str">
        <f t="shared" si="11"/>
        <v>家乡支援军-&gt;蝙蝠法术</v>
      </c>
      <c r="E63" s="6" t="str">
        <f t="shared" si="12"/>
        <v>#'2.2家乡支援军'!F83:M93</v>
      </c>
      <c r="F63" s="6" t="s">
        <v>937</v>
      </c>
      <c r="G63" s="6" t="s">
        <v>5273</v>
      </c>
      <c r="H63" s="6" t="s">
        <v>5148</v>
      </c>
      <c r="I63" s="7" t="s">
        <v>5274</v>
      </c>
      <c r="J63" s="7" t="s">
        <v>5275</v>
      </c>
      <c r="K63" s="7" t="s">
        <v>5276</v>
      </c>
      <c r="L63" s="7" t="s">
        <v>5037</v>
      </c>
      <c r="M63" s="7" t="s">
        <v>5244</v>
      </c>
      <c r="N63" s="7" t="s">
        <v>4782</v>
      </c>
      <c r="O63" s="7" t="s">
        <v>4782</v>
      </c>
      <c r="P63" s="7" t="s">
        <v>4782</v>
      </c>
      <c r="Q63" s="7" t="s">
        <v>4782</v>
      </c>
      <c r="R63" s="7" t="s">
        <v>4782</v>
      </c>
      <c r="S63" s="7">
        <f t="array" ref="S63">SUM(IFERROR(IF(MATCH(I63:R63,$F$4:$Q$4,0)&gt;0,1,0),0))</f>
        <v>0</v>
      </c>
      <c r="T63" s="7">
        <f t="shared" ca="1" si="18"/>
        <v>37</v>
      </c>
      <c r="U63" s="7">
        <f ca="1">T63+COUNTIF(T$5:$T62,T63)</f>
        <v>86</v>
      </c>
      <c r="Y63" s="12" t="s">
        <v>51</v>
      </c>
      <c r="Z63" s="7">
        <f t="shared" ca="1" si="21"/>
        <v>9</v>
      </c>
      <c r="AA63">
        <v>0</v>
      </c>
      <c r="AB63">
        <v>0</v>
      </c>
      <c r="AC63">
        <v>0</v>
      </c>
      <c r="AD63">
        <v>0</v>
      </c>
      <c r="AE63">
        <v>0</v>
      </c>
      <c r="AF63">
        <v>0</v>
      </c>
      <c r="AG63">
        <v>2</v>
      </c>
      <c r="AH63">
        <v>3</v>
      </c>
      <c r="AI63">
        <v>4</v>
      </c>
      <c r="AJ63">
        <v>5</v>
      </c>
      <c r="AK63">
        <v>6</v>
      </c>
      <c r="AL63">
        <v>7</v>
      </c>
      <c r="AM63" s="15">
        <v>8</v>
      </c>
      <c r="AN63" s="15">
        <v>9</v>
      </c>
      <c r="AO63" s="21">
        <v>9</v>
      </c>
      <c r="AQ63" s="27">
        <v>43384.666666666701</v>
      </c>
      <c r="AR63">
        <v>7</v>
      </c>
      <c r="AS63" t="s">
        <v>5277</v>
      </c>
      <c r="AT63">
        <v>4000</v>
      </c>
      <c r="AU63" t="s">
        <v>5278</v>
      </c>
      <c r="AX63" s="28">
        <v>7500</v>
      </c>
      <c r="AY63" s="28" t="s">
        <v>4712</v>
      </c>
      <c r="AZ63" s="28" t="s">
        <v>4713</v>
      </c>
      <c r="BA63" s="28" t="s">
        <v>4771</v>
      </c>
      <c r="BB63" s="28">
        <v>40</v>
      </c>
      <c r="BF63" s="29"/>
      <c r="BG63" s="29" t="s">
        <v>4856</v>
      </c>
      <c r="BH63" s="29">
        <f ca="1">INT(BH59*OFFSET(BG60,0,BJ59)+OFFSET(BG61,0,BJ59)+0.99)</f>
        <v>587287</v>
      </c>
      <c r="BI63" s="29" t="s">
        <v>5182</v>
      </c>
      <c r="BJ63" s="29">
        <f ca="1">ROUND(BH63/HLOOKUP('5.3小工具'!J66,BH49:BK50,2,0),2)</f>
        <v>163.13999999999999</v>
      </c>
      <c r="BK63" s="29"/>
      <c r="BL63" s="29"/>
      <c r="BM63" s="29"/>
      <c r="BN63" s="29"/>
      <c r="CD63" s="38">
        <v>59</v>
      </c>
      <c r="CE63" s="38">
        <f t="shared" si="8"/>
        <v>3.0205297195329872</v>
      </c>
      <c r="CF63" s="38">
        <f t="shared" si="20"/>
        <v>60.124049999999997</v>
      </c>
      <c r="CG63" s="38">
        <f t="shared" si="2"/>
        <v>60</v>
      </c>
      <c r="CP63" s="40">
        <v>411</v>
      </c>
      <c r="CQ63" s="41" t="s">
        <v>3448</v>
      </c>
      <c r="CR63" s="41" t="s">
        <v>5279</v>
      </c>
      <c r="CS63" s="41">
        <v>300</v>
      </c>
      <c r="CT63" s="41">
        <v>24</v>
      </c>
      <c r="CU63" s="41">
        <v>50</v>
      </c>
      <c r="CV63" s="41">
        <v>10</v>
      </c>
      <c r="CW63" s="40"/>
      <c r="CX63" s="41" t="s">
        <v>4716</v>
      </c>
      <c r="CY63" s="40" t="s">
        <v>3104</v>
      </c>
      <c r="DB63" t="s">
        <v>212</v>
      </c>
      <c r="DC63" s="7" t="str">
        <f t="shared" ca="1" si="19"/>
        <v>05_001</v>
      </c>
      <c r="DD63" t="s">
        <v>5280</v>
      </c>
      <c r="DE63" t="s">
        <v>4784</v>
      </c>
      <c r="DF63" t="s">
        <v>4785</v>
      </c>
      <c r="DG63" t="s">
        <v>4873</v>
      </c>
      <c r="DH63" t="s">
        <v>4941</v>
      </c>
    </row>
    <row r="64" spans="4:112" ht="14.6">
      <c r="D64" s="6" t="str">
        <f t="shared" si="11"/>
        <v>家乡支援军-&gt;弹跳法术</v>
      </c>
      <c r="E64" s="6" t="str">
        <f t="shared" si="12"/>
        <v>#'2.2家乡支援军'!P19:V28</v>
      </c>
      <c r="F64" s="6" t="s">
        <v>771</v>
      </c>
      <c r="G64" s="6" t="s">
        <v>5281</v>
      </c>
      <c r="H64" s="6" t="s">
        <v>5148</v>
      </c>
      <c r="I64" s="7" t="s">
        <v>4801</v>
      </c>
      <c r="J64" s="7" t="s">
        <v>5016</v>
      </c>
      <c r="K64" s="7" t="s">
        <v>5282</v>
      </c>
      <c r="L64" s="7" t="s">
        <v>5037</v>
      </c>
      <c r="M64" s="7" t="s">
        <v>5244</v>
      </c>
      <c r="N64" s="7" t="s">
        <v>4782</v>
      </c>
      <c r="O64" s="7" t="s">
        <v>4782</v>
      </c>
      <c r="P64" s="7" t="s">
        <v>4782</v>
      </c>
      <c r="Q64" s="7" t="s">
        <v>4782</v>
      </c>
      <c r="R64" s="7" t="s">
        <v>4782</v>
      </c>
      <c r="S64" s="7">
        <f t="array" ref="S64">SUM(IFERROR(IF(MATCH(I64:R64,$F$4:$Q$4,0)&gt;0,1,0),0))</f>
        <v>0</v>
      </c>
      <c r="T64" s="7">
        <f t="shared" ca="1" si="18"/>
        <v>37</v>
      </c>
      <c r="U64" s="7">
        <f ca="1">T64+COUNTIF(T$5:$T63,T64)</f>
        <v>87</v>
      </c>
      <c r="Y64" s="12" t="s">
        <v>56</v>
      </c>
      <c r="Z64" s="7">
        <f t="shared" ca="1" si="21"/>
        <v>9</v>
      </c>
      <c r="AA64">
        <v>0</v>
      </c>
      <c r="AB64">
        <v>0</v>
      </c>
      <c r="AC64">
        <v>0</v>
      </c>
      <c r="AD64">
        <v>0</v>
      </c>
      <c r="AE64">
        <v>0</v>
      </c>
      <c r="AF64">
        <v>0</v>
      </c>
      <c r="AG64">
        <v>0</v>
      </c>
      <c r="AH64">
        <v>3</v>
      </c>
      <c r="AI64">
        <v>4</v>
      </c>
      <c r="AJ64">
        <v>6</v>
      </c>
      <c r="AK64">
        <v>7</v>
      </c>
      <c r="AL64">
        <v>8</v>
      </c>
      <c r="AM64" s="15">
        <v>9</v>
      </c>
      <c r="AN64" s="15">
        <v>9</v>
      </c>
      <c r="AO64" s="21">
        <v>9</v>
      </c>
      <c r="AQ64" s="27">
        <v>43370.666666666701</v>
      </c>
      <c r="AR64">
        <v>7</v>
      </c>
      <c r="AS64" t="s">
        <v>5283</v>
      </c>
      <c r="AT64">
        <v>4000</v>
      </c>
      <c r="AU64" t="s">
        <v>5284</v>
      </c>
      <c r="AX64" s="28">
        <v>12000</v>
      </c>
      <c r="AY64" s="28" t="s">
        <v>4747</v>
      </c>
      <c r="AZ64" s="28" t="s">
        <v>4737</v>
      </c>
      <c r="BA64" s="28" t="s">
        <v>4795</v>
      </c>
      <c r="BB64" s="28">
        <v>60</v>
      </c>
      <c r="CD64" s="38">
        <v>60</v>
      </c>
      <c r="CE64" s="38">
        <f t="shared" si="8"/>
        <v>3.028933080877525</v>
      </c>
      <c r="CF64" s="38">
        <f t="shared" si="20"/>
        <v>61.121609999999997</v>
      </c>
      <c r="CG64" s="38">
        <f t="shared" si="2"/>
        <v>61</v>
      </c>
      <c r="CP64" s="40">
        <v>412</v>
      </c>
      <c r="CQ64" s="41" t="s">
        <v>3455</v>
      </c>
      <c r="CR64" s="41" t="s">
        <v>5285</v>
      </c>
      <c r="CS64" s="41">
        <v>150</v>
      </c>
      <c r="CT64" s="41">
        <v>3</v>
      </c>
      <c r="CU64" s="41">
        <v>30</v>
      </c>
      <c r="CV64" s="41">
        <v>5</v>
      </c>
      <c r="CW64" s="40"/>
      <c r="CX64" s="41" t="s">
        <v>4716</v>
      </c>
      <c r="CY64" s="40" t="s">
        <v>3096</v>
      </c>
      <c r="DC64" s="7">
        <f t="shared" ca="1" si="19"/>
        <v>0</v>
      </c>
    </row>
    <row r="65" spans="4:112" ht="14.6">
      <c r="D65" s="6" t="str">
        <f t="shared" si="11"/>
        <v>家乡支援军-&gt;镜像法术</v>
      </c>
      <c r="E65" s="6" t="str">
        <f t="shared" si="12"/>
        <v>#'2.2家乡支援军'!P32:U41</v>
      </c>
      <c r="F65" s="6" t="s">
        <v>782</v>
      </c>
      <c r="G65" s="6" t="s">
        <v>5286</v>
      </c>
      <c r="H65" s="6" t="s">
        <v>5148</v>
      </c>
      <c r="I65" s="7" t="s">
        <v>4801</v>
      </c>
      <c r="J65" s="7" t="s">
        <v>5287</v>
      </c>
      <c r="K65" s="7" t="s">
        <v>5288</v>
      </c>
      <c r="L65" s="7" t="s">
        <v>5037</v>
      </c>
      <c r="M65" s="7" t="s">
        <v>5244</v>
      </c>
      <c r="N65" s="7" t="s">
        <v>4782</v>
      </c>
      <c r="O65" s="7" t="s">
        <v>4782</v>
      </c>
      <c r="P65" s="7" t="s">
        <v>4782</v>
      </c>
      <c r="Q65" s="7" t="s">
        <v>4782</v>
      </c>
      <c r="R65" s="7" t="s">
        <v>4782</v>
      </c>
      <c r="S65" s="7">
        <f t="array" ref="S65">SUM(IFERROR(IF(MATCH(I65:R65,$F$4:$Q$4,0)&gt;0,1,0),0))</f>
        <v>0</v>
      </c>
      <c r="T65" s="7">
        <f t="shared" ca="1" si="18"/>
        <v>37</v>
      </c>
      <c r="U65" s="7">
        <f ca="1">T65+COUNTIF(T$5:$T64,T65)</f>
        <v>88</v>
      </c>
      <c r="Y65" s="12" t="s">
        <v>61</v>
      </c>
      <c r="Z65" s="7">
        <f t="shared" ca="1" si="21"/>
        <v>8</v>
      </c>
      <c r="AA65">
        <v>0</v>
      </c>
      <c r="AB65">
        <v>0</v>
      </c>
      <c r="AC65">
        <v>0</v>
      </c>
      <c r="AD65">
        <v>0</v>
      </c>
      <c r="AE65">
        <v>0</v>
      </c>
      <c r="AF65">
        <v>0</v>
      </c>
      <c r="AG65">
        <v>0</v>
      </c>
      <c r="AH65">
        <v>0</v>
      </c>
      <c r="AI65">
        <v>2</v>
      </c>
      <c r="AJ65">
        <v>4</v>
      </c>
      <c r="AK65">
        <v>5</v>
      </c>
      <c r="AL65">
        <v>6</v>
      </c>
      <c r="AM65" s="15">
        <v>7</v>
      </c>
      <c r="AN65" s="15">
        <v>8</v>
      </c>
      <c r="AO65" s="21">
        <v>8</v>
      </c>
      <c r="AQ65" s="27">
        <v>43353.666666666701</v>
      </c>
      <c r="AR65">
        <v>7</v>
      </c>
      <c r="AS65" t="s">
        <v>5289</v>
      </c>
      <c r="AT65">
        <v>4000</v>
      </c>
      <c r="AU65" t="s">
        <v>5290</v>
      </c>
      <c r="AX65" s="28">
        <v>18000</v>
      </c>
      <c r="AY65" s="28" t="s">
        <v>5002</v>
      </c>
      <c r="AZ65" s="28" t="s">
        <v>4855</v>
      </c>
      <c r="BA65" s="28" t="s">
        <v>4974</v>
      </c>
      <c r="BB65" s="28">
        <v>80</v>
      </c>
      <c r="CD65" s="38">
        <v>61</v>
      </c>
      <c r="CE65" s="38">
        <f t="shared" si="8"/>
        <v>3.0371975436874425</v>
      </c>
      <c r="CF65" s="38">
        <f t="shared" si="20"/>
        <v>62.119210000000002</v>
      </c>
      <c r="CG65" s="38">
        <f t="shared" si="2"/>
        <v>62</v>
      </c>
      <c r="CP65" s="40">
        <v>413</v>
      </c>
      <c r="CQ65" s="41" t="s">
        <v>3455</v>
      </c>
      <c r="CR65" s="41" t="s">
        <v>5291</v>
      </c>
      <c r="CS65" s="41">
        <v>250</v>
      </c>
      <c r="CT65" s="41">
        <v>8</v>
      </c>
      <c r="CU65" s="41">
        <v>20</v>
      </c>
      <c r="CV65" s="41">
        <v>10</v>
      </c>
      <c r="CW65" s="40"/>
      <c r="CX65" s="41" t="s">
        <v>4716</v>
      </c>
      <c r="CY65" s="40" t="s">
        <v>4717</v>
      </c>
      <c r="DB65" t="s">
        <v>213</v>
      </c>
      <c r="DC65" s="7" t="str">
        <f t="shared" ca="1" si="19"/>
        <v>05_008</v>
      </c>
      <c r="DD65" t="s">
        <v>4989</v>
      </c>
      <c r="DE65" t="s">
        <v>4896</v>
      </c>
      <c r="DF65" t="s">
        <v>4990</v>
      </c>
      <c r="DG65" t="s">
        <v>5059</v>
      </c>
      <c r="DH65" t="s">
        <v>4993</v>
      </c>
    </row>
    <row r="66" spans="4:112" ht="14.6">
      <c r="D66" s="6" t="str">
        <f t="shared" si="11"/>
        <v>家乡支援军-&gt;隐形法术</v>
      </c>
      <c r="E66" s="6" t="str">
        <f t="shared" si="12"/>
        <v>#'2.2家乡支援军'!F44:L52</v>
      </c>
      <c r="F66" s="6" t="s">
        <v>787</v>
      </c>
      <c r="G66" s="6" t="s">
        <v>5292</v>
      </c>
      <c r="H66" s="6" t="s">
        <v>5148</v>
      </c>
      <c r="I66" s="7" t="s">
        <v>4801</v>
      </c>
      <c r="J66" s="7" t="s">
        <v>5226</v>
      </c>
      <c r="K66" s="7" t="s">
        <v>5293</v>
      </c>
      <c r="L66" s="7" t="s">
        <v>5037</v>
      </c>
      <c r="M66" s="7" t="s">
        <v>5244</v>
      </c>
      <c r="N66" s="7" t="s">
        <v>4782</v>
      </c>
      <c r="O66" s="7" t="s">
        <v>4782</v>
      </c>
      <c r="P66" s="7" t="s">
        <v>4782</v>
      </c>
      <c r="Q66" s="7" t="s">
        <v>4782</v>
      </c>
      <c r="R66" s="7" t="s">
        <v>4782</v>
      </c>
      <c r="S66" s="7">
        <f t="array" ref="S66">SUM(IFERROR(IF(MATCH(I66:R66,$F$4:$Q$4,0)&gt;0,1,0),0))</f>
        <v>0</v>
      </c>
      <c r="T66" s="7">
        <f t="shared" ca="1" si="18"/>
        <v>37</v>
      </c>
      <c r="U66" s="7">
        <f ca="1">T66+COUNTIF(T$5:$T65,T66)</f>
        <v>89</v>
      </c>
      <c r="Y66" s="12" t="s">
        <v>65</v>
      </c>
      <c r="Z66" s="7">
        <f t="shared" ca="1" si="21"/>
        <v>8</v>
      </c>
      <c r="AA66">
        <v>0</v>
      </c>
      <c r="AB66">
        <v>0</v>
      </c>
      <c r="AC66">
        <v>0</v>
      </c>
      <c r="AD66">
        <v>0</v>
      </c>
      <c r="AE66">
        <v>0</v>
      </c>
      <c r="AF66">
        <v>0</v>
      </c>
      <c r="AG66">
        <v>0</v>
      </c>
      <c r="AH66">
        <v>0</v>
      </c>
      <c r="AI66">
        <v>0</v>
      </c>
      <c r="AJ66">
        <v>3</v>
      </c>
      <c r="AK66">
        <v>5</v>
      </c>
      <c r="AL66">
        <v>6</v>
      </c>
      <c r="AM66" s="15">
        <v>7</v>
      </c>
      <c r="AN66" s="15">
        <v>8</v>
      </c>
      <c r="AO66" s="21">
        <v>8</v>
      </c>
      <c r="AQ66" s="27">
        <v>43341.666666666701</v>
      </c>
      <c r="AR66">
        <v>6</v>
      </c>
      <c r="AS66" t="s">
        <v>5294</v>
      </c>
      <c r="AT66">
        <v>4000</v>
      </c>
      <c r="AU66" t="s">
        <v>5295</v>
      </c>
      <c r="AX66" s="28">
        <v>30000</v>
      </c>
      <c r="AY66" s="28" t="s">
        <v>4746</v>
      </c>
      <c r="AZ66" s="28" t="s">
        <v>4945</v>
      </c>
      <c r="BA66" s="28" t="s">
        <v>4933</v>
      </c>
      <c r="BB66" s="28">
        <v>100</v>
      </c>
      <c r="CD66" s="38">
        <v>62</v>
      </c>
      <c r="CE66" s="38">
        <f t="shared" si="8"/>
        <v>3.0453276249882557</v>
      </c>
      <c r="CF66" s="38">
        <f t="shared" si="20"/>
        <v>63.116849999999999</v>
      </c>
      <c r="CG66" s="38">
        <f t="shared" si="2"/>
        <v>63</v>
      </c>
      <c r="CP66" s="40">
        <v>414</v>
      </c>
      <c r="CQ66" s="41" t="s">
        <v>3455</v>
      </c>
      <c r="CR66" s="41" t="s">
        <v>5296</v>
      </c>
      <c r="CS66" s="41">
        <v>400</v>
      </c>
      <c r="CT66" s="41">
        <v>24</v>
      </c>
      <c r="CU66" s="41">
        <v>10</v>
      </c>
      <c r="CV66" s="41">
        <v>15</v>
      </c>
      <c r="CW66" s="40"/>
      <c r="CX66" s="41" t="s">
        <v>4716</v>
      </c>
      <c r="CY66" s="40" t="s">
        <v>3104</v>
      </c>
      <c r="DB66" t="s">
        <v>214</v>
      </c>
      <c r="DC66" s="7" t="str">
        <f t="shared" ca="1" si="19"/>
        <v>05_004</v>
      </c>
      <c r="DD66" t="s">
        <v>5213</v>
      </c>
      <c r="DE66" t="s">
        <v>4754</v>
      </c>
      <c r="DF66" t="s">
        <v>5073</v>
      </c>
      <c r="DG66" t="s">
        <v>5050</v>
      </c>
      <c r="DH66" t="s">
        <v>4921</v>
      </c>
    </row>
    <row r="67" spans="4:112" ht="14.6">
      <c r="D67" s="6" t="str">
        <f t="shared" si="11"/>
        <v>家乡支援军-&gt;疗伤法术</v>
      </c>
      <c r="E67" s="6" t="str">
        <f t="shared" si="12"/>
        <v>#'2.2家乡支援军'!P5:W16</v>
      </c>
      <c r="F67" s="6" t="s">
        <v>757</v>
      </c>
      <c r="G67" s="6" t="s">
        <v>5297</v>
      </c>
      <c r="H67" s="6" t="s">
        <v>5148</v>
      </c>
      <c r="I67" s="7" t="s">
        <v>4801</v>
      </c>
      <c r="J67" s="7" t="s">
        <v>5298</v>
      </c>
      <c r="K67" s="7" t="s">
        <v>5262</v>
      </c>
      <c r="L67" s="7" t="s">
        <v>5037</v>
      </c>
      <c r="M67" s="7" t="s">
        <v>5244</v>
      </c>
      <c r="N67" s="7" t="s">
        <v>5299</v>
      </c>
      <c r="O67" s="7" t="s">
        <v>5298</v>
      </c>
      <c r="P67" s="7" t="s">
        <v>5066</v>
      </c>
      <c r="Q67" s="7" t="s">
        <v>5067</v>
      </c>
      <c r="R67" s="7" t="s">
        <v>4782</v>
      </c>
      <c r="S67" s="7">
        <f t="array" ref="S67">SUM(IFERROR(IF(MATCH(I67:R67,$F$4:$Q$4,0)&gt;0,1,0),0))</f>
        <v>0</v>
      </c>
      <c r="T67" s="7">
        <f t="shared" ca="1" si="18"/>
        <v>37</v>
      </c>
      <c r="U67" s="7">
        <f ca="1">T67+COUNTIF(T$5:$T66,T67)</f>
        <v>90</v>
      </c>
      <c r="Y67" s="12" t="s">
        <v>69</v>
      </c>
      <c r="Z67" s="7">
        <f t="shared" ca="1" si="21"/>
        <v>5</v>
      </c>
      <c r="AA67">
        <v>0</v>
      </c>
      <c r="AB67">
        <v>0</v>
      </c>
      <c r="AC67">
        <v>0</v>
      </c>
      <c r="AD67">
        <v>0</v>
      </c>
      <c r="AE67">
        <v>0</v>
      </c>
      <c r="AF67">
        <v>0</v>
      </c>
      <c r="AG67">
        <v>0</v>
      </c>
      <c r="AH67">
        <v>0</v>
      </c>
      <c r="AI67">
        <v>0</v>
      </c>
      <c r="AJ67">
        <v>0</v>
      </c>
      <c r="AK67">
        <v>2</v>
      </c>
      <c r="AL67">
        <v>3</v>
      </c>
      <c r="AM67" s="15">
        <v>4</v>
      </c>
      <c r="AN67" s="15">
        <v>5</v>
      </c>
      <c r="AO67" s="21">
        <v>5</v>
      </c>
      <c r="AQ67" s="27">
        <v>43325.674108796302</v>
      </c>
      <c r="AR67">
        <v>7</v>
      </c>
      <c r="AS67" t="s">
        <v>5277</v>
      </c>
      <c r="AT67">
        <v>4000</v>
      </c>
      <c r="AU67" t="s">
        <v>5300</v>
      </c>
      <c r="AX67" s="28">
        <v>50000</v>
      </c>
      <c r="AY67" s="28" t="s">
        <v>4943</v>
      </c>
      <c r="AZ67" s="28" t="s">
        <v>5004</v>
      </c>
      <c r="BA67" s="28" t="s">
        <v>5062</v>
      </c>
      <c r="BB67" s="28">
        <v>120</v>
      </c>
      <c r="CD67" s="38">
        <v>63</v>
      </c>
      <c r="CE67" s="38">
        <f t="shared" si="8"/>
        <v>3.0533276249882557</v>
      </c>
      <c r="CF67" s="38">
        <f t="shared" si="20"/>
        <v>64.114530000000002</v>
      </c>
      <c r="CG67" s="38">
        <f t="shared" si="2"/>
        <v>64</v>
      </c>
      <c r="CP67" s="40">
        <v>415</v>
      </c>
      <c r="CQ67" s="41" t="s">
        <v>3462</v>
      </c>
      <c r="CR67" s="41" t="s">
        <v>5301</v>
      </c>
      <c r="CS67" s="41">
        <v>150</v>
      </c>
      <c r="CT67" s="41">
        <v>3</v>
      </c>
      <c r="CU67" s="41">
        <v>30</v>
      </c>
      <c r="CV67" s="41">
        <v>5</v>
      </c>
      <c r="CW67" s="40"/>
      <c r="CX67" s="41" t="s">
        <v>4716</v>
      </c>
      <c r="CY67" s="40" t="s">
        <v>3096</v>
      </c>
      <c r="DC67" s="7">
        <f t="shared" ca="1" si="19"/>
        <v>0</v>
      </c>
    </row>
    <row r="68" spans="4:112" ht="14.6">
      <c r="D68" s="6" t="str">
        <f t="shared" si="11"/>
        <v>家乡支援军-&gt;地震法术</v>
      </c>
      <c r="E68" s="6" t="str">
        <f t="shared" si="12"/>
        <v>#'2.2家乡支援军'!P58:V67</v>
      </c>
      <c r="F68" s="6" t="s">
        <v>919</v>
      </c>
      <c r="G68" s="6" t="s">
        <v>5302</v>
      </c>
      <c r="H68" s="6" t="s">
        <v>5148</v>
      </c>
      <c r="I68" s="7" t="s">
        <v>4801</v>
      </c>
      <c r="J68" s="7" t="s">
        <v>5102</v>
      </c>
      <c r="K68" s="7" t="s">
        <v>5303</v>
      </c>
      <c r="L68" s="7" t="s">
        <v>5037</v>
      </c>
      <c r="M68" s="7" t="s">
        <v>5244</v>
      </c>
      <c r="N68" s="7" t="s">
        <v>4782</v>
      </c>
      <c r="O68" s="7" t="s">
        <v>4782</v>
      </c>
      <c r="P68" s="7" t="s">
        <v>4782</v>
      </c>
      <c r="Q68" s="7" t="s">
        <v>4782</v>
      </c>
      <c r="R68" s="7" t="s">
        <v>4782</v>
      </c>
      <c r="S68" s="7">
        <f t="array" ref="S68">SUM(IFERROR(IF(MATCH(I68:R68,$F$4:$Q$4,0)&gt;0,1,0),0))</f>
        <v>1</v>
      </c>
      <c r="T68" s="7">
        <f t="shared" ca="1" si="18"/>
        <v>20</v>
      </c>
      <c r="U68" s="7">
        <f ca="1">T68+COUNTIF(T$5:$T67,T68)</f>
        <v>23</v>
      </c>
      <c r="Y68" s="12" t="s">
        <v>75</v>
      </c>
      <c r="Z68" s="7">
        <f t="shared" ca="1" si="21"/>
        <v>4</v>
      </c>
      <c r="AL68">
        <v>2</v>
      </c>
      <c r="AM68" s="15">
        <v>3</v>
      </c>
      <c r="AN68" s="15">
        <v>4</v>
      </c>
      <c r="AO68" s="21">
        <v>4</v>
      </c>
      <c r="AQ68" s="27">
        <v>43312</v>
      </c>
      <c r="AR68">
        <v>7</v>
      </c>
      <c r="AS68" t="s">
        <v>5304</v>
      </c>
      <c r="AT68">
        <v>5000</v>
      </c>
      <c r="AU68" t="s">
        <v>5305</v>
      </c>
      <c r="AX68" s="28">
        <v>3000</v>
      </c>
      <c r="AY68" s="28" t="s">
        <v>4794</v>
      </c>
      <c r="AZ68" s="28" t="s">
        <v>4877</v>
      </c>
      <c r="BA68" s="28" t="s">
        <v>4878</v>
      </c>
      <c r="BB68" s="28">
        <v>20</v>
      </c>
      <c r="CD68" s="38">
        <v>64</v>
      </c>
      <c r="CE68" s="38">
        <f t="shared" si="8"/>
        <v>3.0612016407362872</v>
      </c>
      <c r="CF68" s="38">
        <f t="shared" si="20"/>
        <v>65.112250000000003</v>
      </c>
      <c r="CG68" s="38">
        <f t="shared" ref="CG68:CG131" si="23">RANK(CF68,$CF$4:$CF$305,1)</f>
        <v>65</v>
      </c>
      <c r="CP68" s="40">
        <v>416</v>
      </c>
      <c r="CQ68" s="41" t="s">
        <v>3462</v>
      </c>
      <c r="CR68" s="41" t="s">
        <v>5306</v>
      </c>
      <c r="CS68" s="41">
        <v>250</v>
      </c>
      <c r="CT68" s="41">
        <v>8</v>
      </c>
      <c r="CU68" s="41">
        <v>20</v>
      </c>
      <c r="CV68" s="41">
        <v>10</v>
      </c>
      <c r="CW68" s="40"/>
      <c r="CX68" s="41" t="s">
        <v>4716</v>
      </c>
      <c r="CY68" s="40" t="s">
        <v>4717</v>
      </c>
      <c r="DC68" s="7">
        <f t="shared" ca="1" si="19"/>
        <v>0</v>
      </c>
    </row>
    <row r="69" spans="4:112" ht="14.6">
      <c r="D69" s="6" t="str">
        <f t="shared" si="11"/>
        <v>家乡支援军-&gt;骷髅法术</v>
      </c>
      <c r="E69" s="6" t="str">
        <f t="shared" si="12"/>
        <v>#'2.2家乡支援军'!P70:V81</v>
      </c>
      <c r="F69" s="6" t="s">
        <v>933</v>
      </c>
      <c r="G69" s="6" t="s">
        <v>5307</v>
      </c>
      <c r="H69" s="6" t="s">
        <v>5148</v>
      </c>
      <c r="I69" s="7" t="s">
        <v>4801</v>
      </c>
      <c r="J69" s="7" t="s">
        <v>5010</v>
      </c>
      <c r="K69" s="7" t="s">
        <v>5234</v>
      </c>
      <c r="L69" s="7" t="s">
        <v>5037</v>
      </c>
      <c r="M69" s="7" t="s">
        <v>5244</v>
      </c>
      <c r="N69" s="7" t="s">
        <v>4782</v>
      </c>
      <c r="O69" s="7" t="s">
        <v>4782</v>
      </c>
      <c r="P69" s="7" t="s">
        <v>4782</v>
      </c>
      <c r="Q69" s="7" t="s">
        <v>4782</v>
      </c>
      <c r="R69" s="7" t="s">
        <v>4782</v>
      </c>
      <c r="S69" s="7">
        <f t="array" ref="S69">SUM(IFERROR(IF(MATCH(I69:R69,$F$4:$Q$4,0)&gt;0,1,0),0))</f>
        <v>0</v>
      </c>
      <c r="T69" s="7">
        <f t="shared" ca="1" si="18"/>
        <v>37</v>
      </c>
      <c r="U69" s="7">
        <f ca="1">T69+COUNTIF(T$5:$T68,T69)</f>
        <v>91</v>
      </c>
      <c r="Y69" t="s">
        <v>80</v>
      </c>
      <c r="Z69" s="7">
        <f t="shared" ca="1" si="21"/>
        <v>3</v>
      </c>
      <c r="AM69">
        <v>2</v>
      </c>
      <c r="AN69">
        <v>3</v>
      </c>
      <c r="AO69" s="25">
        <v>3</v>
      </c>
      <c r="AQ69" s="27">
        <v>43297</v>
      </c>
      <c r="AR69">
        <v>7</v>
      </c>
      <c r="AS69" t="s">
        <v>5308</v>
      </c>
      <c r="AT69">
        <v>4000</v>
      </c>
      <c r="AU69" t="s">
        <v>5309</v>
      </c>
      <c r="AX69" s="28">
        <v>7500</v>
      </c>
      <c r="AY69" s="28" t="s">
        <v>4893</v>
      </c>
      <c r="AZ69" s="28" t="s">
        <v>4713</v>
      </c>
      <c r="BA69" s="28" t="s">
        <v>4771</v>
      </c>
      <c r="BB69" s="28">
        <v>40</v>
      </c>
      <c r="CD69" s="38">
        <v>65</v>
      </c>
      <c r="CE69" s="38">
        <f t="shared" si="8"/>
        <v>3.0689535787207833</v>
      </c>
      <c r="CF69" s="38">
        <f t="shared" si="20"/>
        <v>66.11</v>
      </c>
      <c r="CG69" s="38">
        <f t="shared" si="23"/>
        <v>66</v>
      </c>
      <c r="CP69" s="40">
        <v>417</v>
      </c>
      <c r="CQ69" s="41" t="s">
        <v>3462</v>
      </c>
      <c r="CR69" s="41" t="s">
        <v>5310</v>
      </c>
      <c r="CS69" s="41">
        <v>400</v>
      </c>
      <c r="CT69" s="41">
        <v>24</v>
      </c>
      <c r="CU69" s="41">
        <v>10</v>
      </c>
      <c r="CV69" s="41">
        <v>15</v>
      </c>
      <c r="CW69" s="40"/>
      <c r="CX69" s="41" t="s">
        <v>4716</v>
      </c>
      <c r="CY69" s="40" t="s">
        <v>3104</v>
      </c>
      <c r="DC69" s="7">
        <f t="shared" ca="1" si="19"/>
        <v>0</v>
      </c>
    </row>
    <row r="70" spans="4:112" ht="14.6">
      <c r="D70" s="6" t="str">
        <f t="shared" si="11"/>
        <v>家乡建筑-&gt;法师塔</v>
      </c>
      <c r="E70" s="6" t="str">
        <f t="shared" si="12"/>
        <v>#'2.3家乡建筑'!AA28:AH44</v>
      </c>
      <c r="F70" s="6" t="s">
        <v>1125</v>
      </c>
      <c r="G70" s="6" t="s">
        <v>5311</v>
      </c>
      <c r="H70" s="6" t="s">
        <v>5312</v>
      </c>
      <c r="I70" s="7" t="s">
        <v>4801</v>
      </c>
      <c r="J70" s="7" t="s">
        <v>5037</v>
      </c>
      <c r="K70" s="7" t="s">
        <v>5038</v>
      </c>
      <c r="L70" s="7" t="s">
        <v>5313</v>
      </c>
      <c r="M70" s="7" t="s">
        <v>4782</v>
      </c>
      <c r="N70" s="7" t="s">
        <v>4782</v>
      </c>
      <c r="O70" s="7" t="s">
        <v>4782</v>
      </c>
      <c r="P70" s="7" t="s">
        <v>4782</v>
      </c>
      <c r="Q70" s="7" t="s">
        <v>4782</v>
      </c>
      <c r="R70" s="7" t="s">
        <v>4782</v>
      </c>
      <c r="S70" s="7">
        <f t="array" ref="S70">SUM(IFERROR(IF(MATCH(I70:R70,$F$4:$Q$4,0)&gt;0,1,0),0))</f>
        <v>0</v>
      </c>
      <c r="T70" s="7">
        <f t="shared" ref="T70:T101" ca="1" si="24">RANK(S70,INDIRECT($T$4))</f>
        <v>37</v>
      </c>
      <c r="U70" s="7">
        <f ca="1">T70+COUNTIF(T$5:$T69,T70)</f>
        <v>92</v>
      </c>
      <c r="Y70" t="s">
        <v>83</v>
      </c>
      <c r="Z70" s="7">
        <f t="shared" ca="1" si="21"/>
        <v>3</v>
      </c>
      <c r="AN70">
        <v>2</v>
      </c>
      <c r="AO70" s="25">
        <v>3</v>
      </c>
      <c r="AQ70" s="27">
        <v>43283</v>
      </c>
      <c r="AR70">
        <v>7</v>
      </c>
      <c r="AS70" t="s">
        <v>5314</v>
      </c>
      <c r="AT70">
        <v>4000</v>
      </c>
      <c r="AU70" t="s">
        <v>5315</v>
      </c>
      <c r="AX70" s="28">
        <v>12000</v>
      </c>
      <c r="AY70" s="28" t="s">
        <v>4910</v>
      </c>
      <c r="AZ70" s="28" t="s">
        <v>4909</v>
      </c>
      <c r="BA70" s="28" t="s">
        <v>4795</v>
      </c>
      <c r="BB70" s="28">
        <v>60</v>
      </c>
      <c r="CD70" s="38">
        <v>66</v>
      </c>
      <c r="CE70" s="38">
        <f t="shared" ref="CE70:CE133" si="25">CE69+1/(2*CD70-1)</f>
        <v>3.0765871665070428</v>
      </c>
      <c r="CF70" s="38">
        <f t="shared" si="20"/>
        <v>67.107789999999994</v>
      </c>
      <c r="CG70" s="38">
        <f t="shared" si="23"/>
        <v>67</v>
      </c>
      <c r="CP70" s="40">
        <v>418</v>
      </c>
      <c r="CQ70" s="41" t="s">
        <v>3467</v>
      </c>
      <c r="CR70" s="41" t="s">
        <v>5316</v>
      </c>
      <c r="CS70" s="41">
        <v>150</v>
      </c>
      <c r="CT70" s="41">
        <v>3</v>
      </c>
      <c r="CU70" s="41">
        <v>20</v>
      </c>
      <c r="CV70" s="41">
        <v>5</v>
      </c>
      <c r="CW70" s="40"/>
      <c r="CX70" s="41" t="s">
        <v>4716</v>
      </c>
      <c r="CY70" s="40" t="s">
        <v>3096</v>
      </c>
      <c r="DB70" t="s">
        <v>217</v>
      </c>
      <c r="DC70" s="7">
        <f t="shared" ca="1" si="19"/>
        <v>5</v>
      </c>
      <c r="DD70">
        <v>3</v>
      </c>
      <c r="DE70">
        <v>5</v>
      </c>
      <c r="DF70">
        <v>5</v>
      </c>
      <c r="DG70">
        <v>5</v>
      </c>
      <c r="DH70">
        <v>5</v>
      </c>
    </row>
    <row r="71" spans="4:112" ht="14.6">
      <c r="D71" s="6" t="str">
        <f t="shared" si="11"/>
        <v>家乡建筑-&gt;炸弹塔</v>
      </c>
      <c r="E71" s="6" t="str">
        <f t="shared" si="12"/>
        <v>#'2.3家乡建筑'!AA45:AI56</v>
      </c>
      <c r="F71" s="6" t="s">
        <v>1135</v>
      </c>
      <c r="G71" s="6" t="s">
        <v>5317</v>
      </c>
      <c r="H71" s="6" t="s">
        <v>5312</v>
      </c>
      <c r="I71" s="7" t="s">
        <v>4801</v>
      </c>
      <c r="J71" s="7" t="s">
        <v>5015</v>
      </c>
      <c r="K71" s="7" t="s">
        <v>5016</v>
      </c>
      <c r="L71" s="7" t="s">
        <v>5313</v>
      </c>
      <c r="M71" s="7" t="s">
        <v>4782</v>
      </c>
      <c r="N71" s="7" t="s">
        <v>4782</v>
      </c>
      <c r="O71" s="7" t="s">
        <v>4782</v>
      </c>
      <c r="P71" s="7" t="s">
        <v>4782</v>
      </c>
      <c r="Q71" s="7" t="s">
        <v>4782</v>
      </c>
      <c r="R71" s="7" t="s">
        <v>4782</v>
      </c>
      <c r="S71" s="7">
        <f t="array" ref="S71">SUM(IFERROR(IF(MATCH(I71:R71,$F$4:$Q$4,0)&gt;0,1,0),0))</f>
        <v>0</v>
      </c>
      <c r="T71" s="7">
        <f t="shared" ca="1" si="24"/>
        <v>37</v>
      </c>
      <c r="U71" s="7">
        <f ca="1">T71+COUNTIF(T$5:$T70,T71)</f>
        <v>93</v>
      </c>
      <c r="AO71" s="25"/>
      <c r="AQ71" s="27">
        <v>43269</v>
      </c>
      <c r="AR71">
        <v>7</v>
      </c>
      <c r="AS71" t="s">
        <v>5289</v>
      </c>
      <c r="AT71">
        <v>4000</v>
      </c>
      <c r="AU71" t="s">
        <v>5318</v>
      </c>
      <c r="AX71" s="28">
        <v>18000</v>
      </c>
      <c r="AY71" s="28" t="s">
        <v>5002</v>
      </c>
      <c r="AZ71" s="28" t="s">
        <v>4855</v>
      </c>
      <c r="BA71" s="28" t="s">
        <v>4974</v>
      </c>
      <c r="BB71" s="28">
        <v>80</v>
      </c>
      <c r="CD71" s="38">
        <v>67</v>
      </c>
      <c r="CE71" s="38">
        <f t="shared" si="25"/>
        <v>3.0841059634995238</v>
      </c>
      <c r="CF71" s="38">
        <f t="shared" si="20"/>
        <v>68.105609999999999</v>
      </c>
      <c r="CG71" s="38">
        <f t="shared" si="23"/>
        <v>68</v>
      </c>
      <c r="CP71" s="40">
        <v>419</v>
      </c>
      <c r="CQ71" s="41" t="s">
        <v>3467</v>
      </c>
      <c r="CR71" s="41" t="s">
        <v>5319</v>
      </c>
      <c r="CS71" s="41">
        <v>250</v>
      </c>
      <c r="CT71" s="41">
        <v>8</v>
      </c>
      <c r="CU71" s="41">
        <v>10</v>
      </c>
      <c r="CV71" s="41">
        <v>10</v>
      </c>
      <c r="CW71" s="40"/>
      <c r="CX71" s="41" t="s">
        <v>4716</v>
      </c>
      <c r="CY71" s="40" t="s">
        <v>4717</v>
      </c>
      <c r="DB71" t="s">
        <v>220</v>
      </c>
      <c r="DC71" s="7">
        <f t="shared" ca="1" si="19"/>
        <v>9</v>
      </c>
      <c r="DD71">
        <v>6</v>
      </c>
      <c r="DE71">
        <v>7</v>
      </c>
      <c r="DF71">
        <v>7</v>
      </c>
      <c r="DG71">
        <v>9</v>
      </c>
      <c r="DH71">
        <v>9</v>
      </c>
    </row>
    <row r="72" spans="4:112" ht="14.6">
      <c r="D72" s="6" t="str">
        <f t="shared" si="11"/>
        <v>家乡建筑-&gt;城墙</v>
      </c>
      <c r="E72" s="6" t="str">
        <f t="shared" si="12"/>
        <v>#'2.3家乡建筑'!AA5:AF22</v>
      </c>
      <c r="F72" s="6" t="s">
        <v>1098</v>
      </c>
      <c r="G72" s="6" t="s">
        <v>5320</v>
      </c>
      <c r="H72" s="6" t="s">
        <v>5312</v>
      </c>
      <c r="I72" s="7" t="s">
        <v>4801</v>
      </c>
      <c r="J72" s="7" t="s">
        <v>5168</v>
      </c>
      <c r="K72" s="7" t="s">
        <v>5321</v>
      </c>
      <c r="L72" s="7" t="s">
        <v>5168</v>
      </c>
      <c r="M72" s="7" t="s">
        <v>4782</v>
      </c>
      <c r="N72" s="7" t="s">
        <v>4782</v>
      </c>
      <c r="O72" s="7" t="s">
        <v>4782</v>
      </c>
      <c r="P72" s="7" t="s">
        <v>4782</v>
      </c>
      <c r="Q72" s="7" t="s">
        <v>4782</v>
      </c>
      <c r="R72" s="7" t="s">
        <v>4782</v>
      </c>
      <c r="S72" s="7">
        <f t="array" ref="S72">SUM(IFERROR(IF(MATCH(I72:R72,$F$4:$Q$4,0)&gt;0,1,0),0))</f>
        <v>0</v>
      </c>
      <c r="T72" s="7">
        <f t="shared" ca="1" si="24"/>
        <v>37</v>
      </c>
      <c r="U72" s="7">
        <f ca="1">T72+COUNTIF(T$5:$T71,T72)</f>
        <v>94</v>
      </c>
      <c r="Y72" s="12" t="s">
        <v>87</v>
      </c>
      <c r="Z72" s="7">
        <f t="shared" ref="Z72:Z80" ca="1" si="26">OFFSET(AA72,0,$Z$5-1)</f>
        <v>11</v>
      </c>
      <c r="AA72">
        <v>0</v>
      </c>
      <c r="AB72">
        <v>0</v>
      </c>
      <c r="AC72">
        <v>0</v>
      </c>
      <c r="AD72">
        <v>0</v>
      </c>
      <c r="AE72">
        <v>0</v>
      </c>
      <c r="AF72">
        <v>0</v>
      </c>
      <c r="AG72">
        <v>2</v>
      </c>
      <c r="AH72">
        <v>4</v>
      </c>
      <c r="AI72">
        <v>5</v>
      </c>
      <c r="AJ72">
        <v>6</v>
      </c>
      <c r="AK72">
        <v>7</v>
      </c>
      <c r="AL72">
        <v>8</v>
      </c>
      <c r="AM72" s="15">
        <v>9</v>
      </c>
      <c r="AN72" s="15">
        <v>10</v>
      </c>
      <c r="AO72" s="21">
        <v>11</v>
      </c>
      <c r="AQ72" s="20">
        <v>43255</v>
      </c>
      <c r="AR72">
        <v>7</v>
      </c>
      <c r="AS72" t="s">
        <v>5322</v>
      </c>
      <c r="AT72">
        <v>5000</v>
      </c>
      <c r="AU72" t="s">
        <v>5323</v>
      </c>
      <c r="AX72" s="28">
        <v>30000</v>
      </c>
      <c r="AY72" s="28" t="s">
        <v>4751</v>
      </c>
      <c r="AZ72" s="28" t="s">
        <v>4745</v>
      </c>
      <c r="BA72" s="28" t="s">
        <v>5200</v>
      </c>
      <c r="BB72" s="28">
        <v>100</v>
      </c>
      <c r="CD72" s="38">
        <v>68</v>
      </c>
      <c r="CE72" s="38">
        <f t="shared" si="25"/>
        <v>3.0915133709069313</v>
      </c>
      <c r="CF72" s="38">
        <f t="shared" si="20"/>
        <v>69.103459999999998</v>
      </c>
      <c r="CG72" s="38">
        <f t="shared" si="23"/>
        <v>69</v>
      </c>
      <c r="CP72" s="40">
        <v>420</v>
      </c>
      <c r="CQ72" s="41" t="s">
        <v>3467</v>
      </c>
      <c r="CR72" s="41" t="s">
        <v>5324</v>
      </c>
      <c r="CS72" s="41">
        <v>400</v>
      </c>
      <c r="CT72" s="41">
        <v>24</v>
      </c>
      <c r="CU72" s="41">
        <v>5</v>
      </c>
      <c r="CV72" s="41">
        <v>15</v>
      </c>
      <c r="CW72" s="40"/>
      <c r="CX72" s="41" t="s">
        <v>4716</v>
      </c>
      <c r="CY72" s="40" t="s">
        <v>3104</v>
      </c>
      <c r="DC72" s="7"/>
    </row>
    <row r="73" spans="4:112" ht="14.6">
      <c r="D73" s="6" t="str">
        <f t="shared" ref="D73:D136" si="27">MID(H73,4,233)&amp;"-&gt;"&amp;MID(F73,4,233)</f>
        <v>家乡建筑-&gt;天鹰火炮</v>
      </c>
      <c r="E73" s="6" t="str">
        <f t="shared" si="12"/>
        <v>#'2.3家乡建筑'!AA62:AI71</v>
      </c>
      <c r="F73" s="6" t="s">
        <v>1147</v>
      </c>
      <c r="G73" s="6" t="s">
        <v>5325</v>
      </c>
      <c r="H73" s="6" t="s">
        <v>5312</v>
      </c>
      <c r="I73" s="7" t="s">
        <v>4801</v>
      </c>
      <c r="J73" s="7" t="s">
        <v>2042</v>
      </c>
      <c r="K73" s="7" t="s">
        <v>5326</v>
      </c>
      <c r="L73" s="7" t="s">
        <v>5149</v>
      </c>
      <c r="M73" s="7" t="s">
        <v>5327</v>
      </c>
      <c r="N73" s="7" t="s">
        <v>5328</v>
      </c>
      <c r="O73" s="7" t="s">
        <v>4859</v>
      </c>
      <c r="P73" s="7" t="s">
        <v>4782</v>
      </c>
      <c r="Q73" s="7" t="s">
        <v>4782</v>
      </c>
      <c r="R73" s="7" t="s">
        <v>4782</v>
      </c>
      <c r="S73" s="7">
        <f t="array" ref="S73">SUM(IFERROR(IF(MATCH(I73:R73,$F$4:$Q$4,0)&gt;0,1,0),0))</f>
        <v>0</v>
      </c>
      <c r="T73" s="7">
        <f t="shared" ca="1" si="24"/>
        <v>37</v>
      </c>
      <c r="U73" s="7">
        <f ca="1">T73+COUNTIF(T$5:$T72,T73)</f>
        <v>95</v>
      </c>
      <c r="Y73" s="12" t="s">
        <v>90</v>
      </c>
      <c r="Z73" s="7">
        <f t="shared" ca="1" si="26"/>
        <v>11</v>
      </c>
      <c r="AA73">
        <v>0</v>
      </c>
      <c r="AB73">
        <v>0</v>
      </c>
      <c r="AC73">
        <v>0</v>
      </c>
      <c r="AD73">
        <v>0</v>
      </c>
      <c r="AE73">
        <v>0</v>
      </c>
      <c r="AF73">
        <v>0</v>
      </c>
      <c r="AG73">
        <v>2</v>
      </c>
      <c r="AH73">
        <v>4</v>
      </c>
      <c r="AI73">
        <v>5</v>
      </c>
      <c r="AJ73">
        <v>6</v>
      </c>
      <c r="AK73">
        <v>7</v>
      </c>
      <c r="AL73">
        <v>9</v>
      </c>
      <c r="AM73" s="15">
        <v>10</v>
      </c>
      <c r="AN73" s="15">
        <v>11</v>
      </c>
      <c r="AO73" s="21">
        <v>11</v>
      </c>
      <c r="AQ73" s="20">
        <v>43242</v>
      </c>
      <c r="AR73">
        <v>7</v>
      </c>
      <c r="AS73" t="s">
        <v>5329</v>
      </c>
      <c r="AT73">
        <v>4000</v>
      </c>
      <c r="AU73" t="s">
        <v>5330</v>
      </c>
      <c r="AX73" s="28">
        <v>50000</v>
      </c>
      <c r="AY73" s="28" t="s">
        <v>4750</v>
      </c>
      <c r="AZ73" s="28" t="s">
        <v>4866</v>
      </c>
      <c r="BA73" s="28" t="s">
        <v>5004</v>
      </c>
      <c r="BB73" s="28">
        <v>120</v>
      </c>
      <c r="CD73" s="38">
        <v>69</v>
      </c>
      <c r="CE73" s="38">
        <f t="shared" si="25"/>
        <v>3.0988126409799239</v>
      </c>
      <c r="CF73" s="38">
        <f t="shared" si="20"/>
        <v>70.101339999999993</v>
      </c>
      <c r="CG73" s="38">
        <f t="shared" si="23"/>
        <v>70</v>
      </c>
      <c r="CP73" s="40">
        <v>421</v>
      </c>
      <c r="CQ73" s="41" t="s">
        <v>3473</v>
      </c>
      <c r="CR73" s="41" t="s">
        <v>5331</v>
      </c>
      <c r="CS73" s="41">
        <v>150</v>
      </c>
      <c r="CT73" s="41">
        <v>3</v>
      </c>
      <c r="CU73" s="41">
        <v>20</v>
      </c>
      <c r="CV73" s="41">
        <v>5</v>
      </c>
      <c r="CW73" s="40"/>
      <c r="CX73" s="41" t="s">
        <v>4716</v>
      </c>
      <c r="CY73" s="40" t="s">
        <v>3096</v>
      </c>
      <c r="DC73" s="7"/>
    </row>
    <row r="74" spans="4:112" ht="14.6">
      <c r="D74" s="6" t="str">
        <f t="shared" si="27"/>
        <v>家乡建筑-&gt;西瓜投手</v>
      </c>
      <c r="E74" s="6" t="str">
        <f t="shared" ref="E74:E137" si="28">"#'"&amp;H74&amp;"'!"&amp;G74</f>
        <v>#'2.3家乡建筑'!AA77:AI85</v>
      </c>
      <c r="F74" s="6" t="s">
        <v>1158</v>
      </c>
      <c r="G74" s="6" t="s">
        <v>5332</v>
      </c>
      <c r="H74" s="6" t="s">
        <v>5312</v>
      </c>
      <c r="I74" s="7" t="s">
        <v>4801</v>
      </c>
      <c r="J74" s="7" t="s">
        <v>5048</v>
      </c>
      <c r="K74" s="7" t="s">
        <v>4981</v>
      </c>
      <c r="L74" s="7" t="s">
        <v>5327</v>
      </c>
      <c r="M74" s="7" t="s">
        <v>4782</v>
      </c>
      <c r="N74" s="7" t="s">
        <v>4782</v>
      </c>
      <c r="O74" s="7" t="s">
        <v>5333</v>
      </c>
      <c r="P74" s="7" t="s">
        <v>5334</v>
      </c>
      <c r="Q74" s="7" t="s">
        <v>5048</v>
      </c>
      <c r="R74" s="7" t="s">
        <v>4890</v>
      </c>
      <c r="S74" s="7">
        <f t="array" ref="S74">SUM(IFERROR(IF(MATCH(I74:R74,$F$4:$Q$4,0)&gt;0,1,0),0))</f>
        <v>0</v>
      </c>
      <c r="T74" s="7">
        <f t="shared" ca="1" si="24"/>
        <v>37</v>
      </c>
      <c r="U74" s="7">
        <f ca="1">T74+COUNTIF(T$5:$T73,T74)</f>
        <v>96</v>
      </c>
      <c r="Y74" s="12" t="s">
        <v>93</v>
      </c>
      <c r="Z74" s="7">
        <f t="shared" ca="1" si="26"/>
        <v>9</v>
      </c>
      <c r="AA74">
        <v>0</v>
      </c>
      <c r="AB74">
        <v>0</v>
      </c>
      <c r="AC74">
        <v>0</v>
      </c>
      <c r="AD74">
        <v>0</v>
      </c>
      <c r="AE74">
        <v>0</v>
      </c>
      <c r="AF74">
        <v>0</v>
      </c>
      <c r="AG74">
        <v>0</v>
      </c>
      <c r="AH74">
        <v>2</v>
      </c>
      <c r="AI74">
        <v>4</v>
      </c>
      <c r="AJ74">
        <v>5</v>
      </c>
      <c r="AK74">
        <v>6</v>
      </c>
      <c r="AL74">
        <v>7</v>
      </c>
      <c r="AM74" s="15">
        <v>8</v>
      </c>
      <c r="AN74" s="15">
        <v>9</v>
      </c>
      <c r="AO74" s="21">
        <v>9</v>
      </c>
      <c r="AQ74" s="20">
        <v>43228</v>
      </c>
      <c r="AR74">
        <v>7</v>
      </c>
      <c r="AT74">
        <v>4000</v>
      </c>
      <c r="AU74" t="s">
        <v>5335</v>
      </c>
      <c r="AX74" s="28">
        <v>3000</v>
      </c>
      <c r="AY74" s="28" t="s">
        <v>4877</v>
      </c>
      <c r="AZ74" s="28" t="s">
        <v>4794</v>
      </c>
      <c r="BA74" s="28" t="s">
        <v>4878</v>
      </c>
      <c r="BB74" s="28">
        <v>20</v>
      </c>
      <c r="CD74" s="38">
        <v>70</v>
      </c>
      <c r="CE74" s="38">
        <f t="shared" si="25"/>
        <v>3.1060068855842404</v>
      </c>
      <c r="CF74" s="38">
        <f t="shared" si="20"/>
        <v>71.099260000000001</v>
      </c>
      <c r="CG74" s="38">
        <f t="shared" si="23"/>
        <v>71</v>
      </c>
      <c r="CP74" s="40">
        <v>422</v>
      </c>
      <c r="CQ74" s="41" t="s">
        <v>3473</v>
      </c>
      <c r="CR74" s="41" t="s">
        <v>5336</v>
      </c>
      <c r="CS74" s="41">
        <v>250</v>
      </c>
      <c r="CT74" s="41">
        <v>8</v>
      </c>
      <c r="CU74" s="41">
        <v>10</v>
      </c>
      <c r="CV74" s="41">
        <v>10</v>
      </c>
      <c r="CW74" s="40"/>
      <c r="CX74" s="41" t="s">
        <v>4716</v>
      </c>
      <c r="CY74" s="40" t="s">
        <v>4717</v>
      </c>
      <c r="DB74" t="s">
        <v>171</v>
      </c>
      <c r="DC74" s="7">
        <f ca="1">DC7</f>
        <v>5</v>
      </c>
    </row>
    <row r="75" spans="4:112" ht="14.6">
      <c r="D75" s="6" t="str">
        <f t="shared" si="27"/>
        <v>家乡建筑-&gt;连弩小屋组件</v>
      </c>
      <c r="E75" s="6" t="str">
        <f t="shared" si="28"/>
        <v>#'2.3家乡建筑'!AA87:AJ94</v>
      </c>
      <c r="F75" s="6" t="s">
        <v>1167</v>
      </c>
      <c r="G75" s="6" t="s">
        <v>5337</v>
      </c>
      <c r="H75" s="6" t="s">
        <v>5312</v>
      </c>
      <c r="I75" s="7" t="s">
        <v>5123</v>
      </c>
      <c r="J75" s="7" t="s">
        <v>5338</v>
      </c>
      <c r="K75" s="7" t="s">
        <v>5091</v>
      </c>
      <c r="L75" s="7" t="s">
        <v>5339</v>
      </c>
      <c r="M75" s="7" t="s">
        <v>5340</v>
      </c>
      <c r="N75" s="7" t="s">
        <v>5341</v>
      </c>
      <c r="O75" s="7" t="s">
        <v>5342</v>
      </c>
      <c r="P75" s="7" t="s">
        <v>5343</v>
      </c>
      <c r="Q75" s="7" t="s">
        <v>5104</v>
      </c>
      <c r="R75" s="7" t="s">
        <v>4831</v>
      </c>
      <c r="S75" s="7">
        <f t="array" ref="S75">SUM(IFERROR(IF(MATCH(I75:R75,$F$4:$Q$4,0)&gt;0,1,0),0))</f>
        <v>0</v>
      </c>
      <c r="T75" s="7">
        <f t="shared" ca="1" si="24"/>
        <v>37</v>
      </c>
      <c r="U75" s="7">
        <f ca="1">T75+COUNTIF(T$5:$T74,T75)</f>
        <v>97</v>
      </c>
      <c r="Y75" s="12" t="s">
        <v>96</v>
      </c>
      <c r="Z75" s="7">
        <f t="shared" ca="1" si="26"/>
        <v>11</v>
      </c>
      <c r="AA75">
        <v>0</v>
      </c>
      <c r="AB75">
        <v>0</v>
      </c>
      <c r="AC75">
        <v>0</v>
      </c>
      <c r="AD75">
        <v>0</v>
      </c>
      <c r="AE75">
        <v>0</v>
      </c>
      <c r="AF75">
        <v>0</v>
      </c>
      <c r="AG75">
        <v>0</v>
      </c>
      <c r="AH75">
        <v>2</v>
      </c>
      <c r="AI75">
        <v>4</v>
      </c>
      <c r="AJ75">
        <v>5</v>
      </c>
      <c r="AK75">
        <v>7</v>
      </c>
      <c r="AL75">
        <v>9</v>
      </c>
      <c r="AM75" s="15">
        <v>10</v>
      </c>
      <c r="AN75" s="15">
        <v>11</v>
      </c>
      <c r="AO75" s="21">
        <v>11</v>
      </c>
      <c r="AQ75" s="20">
        <v>43214</v>
      </c>
      <c r="AR75">
        <v>7</v>
      </c>
      <c r="AT75">
        <v>4000</v>
      </c>
      <c r="AU75" t="s">
        <v>5344</v>
      </c>
      <c r="AX75" s="28">
        <v>7500</v>
      </c>
      <c r="AY75" s="28" t="s">
        <v>4893</v>
      </c>
      <c r="AZ75" s="28" t="s">
        <v>4713</v>
      </c>
      <c r="BA75" s="28" t="s">
        <v>4771</v>
      </c>
      <c r="BB75" s="28">
        <v>40</v>
      </c>
      <c r="CD75" s="38">
        <v>71</v>
      </c>
      <c r="CE75" s="38">
        <f t="shared" si="25"/>
        <v>3.1130990841658006</v>
      </c>
      <c r="CF75" s="38">
        <f t="shared" si="20"/>
        <v>72.097200000000001</v>
      </c>
      <c r="CG75" s="38">
        <f t="shared" si="23"/>
        <v>72</v>
      </c>
      <c r="CP75" s="40">
        <v>423</v>
      </c>
      <c r="CQ75" s="41" t="s">
        <v>3473</v>
      </c>
      <c r="CR75" s="41" t="s">
        <v>5345</v>
      </c>
      <c r="CS75" s="41">
        <v>400</v>
      </c>
      <c r="CT75" s="41">
        <v>24</v>
      </c>
      <c r="CU75" s="41">
        <v>5</v>
      </c>
      <c r="CV75" s="41">
        <v>15</v>
      </c>
      <c r="CW75" s="40"/>
      <c r="CX75" s="41" t="s">
        <v>4716</v>
      </c>
      <c r="CY75" s="40" t="s">
        <v>3104</v>
      </c>
      <c r="DC75" s="7"/>
    </row>
    <row r="76" spans="4:112" ht="14.6">
      <c r="D76" s="6" t="str">
        <f t="shared" si="27"/>
        <v>家乡建筑-&gt;训练营</v>
      </c>
      <c r="E76" s="6" t="str">
        <f t="shared" si="28"/>
        <v>#'2.3家乡建筑'!AM22:AS39</v>
      </c>
      <c r="F76" s="6" t="s">
        <v>1115</v>
      </c>
      <c r="G76" s="6" t="s">
        <v>5346</v>
      </c>
      <c r="H76" s="6" t="s">
        <v>5312</v>
      </c>
      <c r="I76" s="7" t="s">
        <v>4801</v>
      </c>
      <c r="J76" s="7" t="s">
        <v>5215</v>
      </c>
      <c r="K76" s="7" t="s">
        <v>5216</v>
      </c>
      <c r="L76" s="7" t="s">
        <v>5217</v>
      </c>
      <c r="M76" s="7" t="s">
        <v>4782</v>
      </c>
      <c r="N76" s="7" t="s">
        <v>4782</v>
      </c>
      <c r="O76" s="7" t="s">
        <v>4782</v>
      </c>
      <c r="P76" s="7" t="s">
        <v>4782</v>
      </c>
      <c r="Q76" s="7" t="s">
        <v>4782</v>
      </c>
      <c r="R76" s="7" t="s">
        <v>4782</v>
      </c>
      <c r="S76" s="7">
        <f t="array" ref="S76">SUM(IFERROR(IF(MATCH(I76:R76,$F$4:$Q$4,0)&gt;0,1,0),0))</f>
        <v>0</v>
      </c>
      <c r="T76" s="7">
        <f t="shared" ca="1" si="24"/>
        <v>37</v>
      </c>
      <c r="U76" s="7">
        <f ca="1">T76+COUNTIF(T$5:$T75,T76)</f>
        <v>98</v>
      </c>
      <c r="Y76" s="12" t="s">
        <v>101</v>
      </c>
      <c r="Z76" s="7">
        <f t="shared" ca="1" si="26"/>
        <v>6</v>
      </c>
      <c r="AA76">
        <v>0</v>
      </c>
      <c r="AB76">
        <v>0</v>
      </c>
      <c r="AC76">
        <v>0</v>
      </c>
      <c r="AD76">
        <v>0</v>
      </c>
      <c r="AE76">
        <v>0</v>
      </c>
      <c r="AF76">
        <v>0</v>
      </c>
      <c r="AG76">
        <v>0</v>
      </c>
      <c r="AH76">
        <v>0</v>
      </c>
      <c r="AI76">
        <v>2</v>
      </c>
      <c r="AJ76">
        <v>3</v>
      </c>
      <c r="AK76">
        <v>4</v>
      </c>
      <c r="AL76">
        <v>5</v>
      </c>
      <c r="AM76" s="15">
        <v>5</v>
      </c>
      <c r="AN76" s="15">
        <v>5</v>
      </c>
      <c r="AO76" s="21">
        <v>6</v>
      </c>
      <c r="AQ76" s="20">
        <v>43200</v>
      </c>
      <c r="AR76">
        <v>6</v>
      </c>
      <c r="AT76">
        <v>4000</v>
      </c>
      <c r="AU76" t="s">
        <v>5347</v>
      </c>
      <c r="AX76" s="28">
        <v>12000</v>
      </c>
      <c r="AY76" s="28" t="s">
        <v>4910</v>
      </c>
      <c r="AZ76" s="28" t="s">
        <v>4909</v>
      </c>
      <c r="BA76" s="28" t="s">
        <v>4795</v>
      </c>
      <c r="BB76" s="28">
        <v>60</v>
      </c>
      <c r="CD76" s="38">
        <v>72</v>
      </c>
      <c r="CE76" s="38">
        <f t="shared" si="25"/>
        <v>3.1200920911588077</v>
      </c>
      <c r="CF76" s="38">
        <f t="shared" si="20"/>
        <v>73.095169999999996</v>
      </c>
      <c r="CG76" s="38">
        <f t="shared" si="23"/>
        <v>73</v>
      </c>
      <c r="CP76" s="40">
        <v>424</v>
      </c>
      <c r="CQ76" s="41" t="s">
        <v>3477</v>
      </c>
      <c r="CR76" s="41" t="s">
        <v>5348</v>
      </c>
      <c r="CS76" s="41">
        <v>150</v>
      </c>
      <c r="CT76" s="41">
        <v>3</v>
      </c>
      <c r="CU76" s="41">
        <v>20</v>
      </c>
      <c r="CV76" s="41">
        <v>5</v>
      </c>
      <c r="CW76" s="40"/>
      <c r="CX76" s="41" t="s">
        <v>4716</v>
      </c>
      <c r="CY76" s="40" t="s">
        <v>3096</v>
      </c>
      <c r="DB76" t="s">
        <v>14</v>
      </c>
      <c r="DC76" s="7" t="str">
        <f ca="1">IF($DC$7&gt;0,OFFSET(DD76,0,$DC$7-1),0)</f>
        <v>05_180</v>
      </c>
      <c r="DD76" t="s">
        <v>4880</v>
      </c>
      <c r="DE76" t="s">
        <v>5349</v>
      </c>
      <c r="DF76" t="s">
        <v>5173</v>
      </c>
      <c r="DG76" t="s">
        <v>5350</v>
      </c>
      <c r="DH76" t="s">
        <v>5351</v>
      </c>
    </row>
    <row r="77" spans="4:112" ht="14.6">
      <c r="D77" s="6" t="str">
        <f t="shared" si="27"/>
        <v>家乡建筑-&gt;法术工厂</v>
      </c>
      <c r="E77" s="6" t="str">
        <f t="shared" si="28"/>
        <v>#'2.3家乡建筑'!AM42:AT50</v>
      </c>
      <c r="F77" s="6" t="s">
        <v>1132</v>
      </c>
      <c r="G77" s="6" t="s">
        <v>5352</v>
      </c>
      <c r="H77" s="6" t="s">
        <v>5312</v>
      </c>
      <c r="I77" s="7" t="s">
        <v>4801</v>
      </c>
      <c r="J77" s="7" t="s">
        <v>5037</v>
      </c>
      <c r="K77" s="7" t="s">
        <v>5244</v>
      </c>
      <c r="L77" s="7" t="s">
        <v>5104</v>
      </c>
      <c r="M77" s="7" t="s">
        <v>5353</v>
      </c>
      <c r="N77" s="7" t="s">
        <v>4782</v>
      </c>
      <c r="O77" s="7" t="s">
        <v>4782</v>
      </c>
      <c r="P77" s="7" t="s">
        <v>4782</v>
      </c>
      <c r="Q77" s="7" t="s">
        <v>4782</v>
      </c>
      <c r="R77" s="7" t="s">
        <v>4782</v>
      </c>
      <c r="S77" s="7">
        <f t="array" ref="S77">SUM(IFERROR(IF(MATCH(I77:R77,$F$4:$Q$4,0)&gt;0,1,0),0))</f>
        <v>0</v>
      </c>
      <c r="T77" s="7">
        <f t="shared" ca="1" si="24"/>
        <v>37</v>
      </c>
      <c r="U77" s="7">
        <f ca="1">T77+COUNTIF(T$5:$T76,T77)</f>
        <v>99</v>
      </c>
      <c r="Y77" s="12" t="s">
        <v>105</v>
      </c>
      <c r="Z77" s="7">
        <f t="shared" ca="1" si="26"/>
        <v>6</v>
      </c>
      <c r="AA77">
        <v>0</v>
      </c>
      <c r="AB77">
        <v>0</v>
      </c>
      <c r="AC77">
        <v>0</v>
      </c>
      <c r="AD77">
        <v>0</v>
      </c>
      <c r="AE77">
        <v>0</v>
      </c>
      <c r="AF77">
        <v>0</v>
      </c>
      <c r="AG77">
        <v>0</v>
      </c>
      <c r="AH77">
        <v>0</v>
      </c>
      <c r="AI77">
        <v>2</v>
      </c>
      <c r="AJ77">
        <v>3</v>
      </c>
      <c r="AK77">
        <v>4</v>
      </c>
      <c r="AL77">
        <v>5</v>
      </c>
      <c r="AM77" s="15">
        <v>6</v>
      </c>
      <c r="AN77" s="15">
        <v>6</v>
      </c>
      <c r="AO77" s="21">
        <v>6</v>
      </c>
      <c r="AQ77" s="20">
        <v>43189</v>
      </c>
      <c r="AR77">
        <v>5</v>
      </c>
      <c r="AT77">
        <v>3000</v>
      </c>
      <c r="AU77" t="s">
        <v>5354</v>
      </c>
      <c r="AX77" s="28">
        <v>18000</v>
      </c>
      <c r="AY77" s="28" t="s">
        <v>4865</v>
      </c>
      <c r="AZ77" s="28" t="s">
        <v>4855</v>
      </c>
      <c r="BA77" s="28" t="s">
        <v>4844</v>
      </c>
      <c r="BB77" s="28">
        <v>80</v>
      </c>
      <c r="CD77" s="38">
        <v>73</v>
      </c>
      <c r="CE77" s="38">
        <f t="shared" si="25"/>
        <v>3.1269886428829454</v>
      </c>
      <c r="CF77" s="38">
        <f t="shared" si="20"/>
        <v>74.093170000000001</v>
      </c>
      <c r="CG77" s="38">
        <f t="shared" si="23"/>
        <v>74</v>
      </c>
      <c r="CP77" s="40">
        <v>425</v>
      </c>
      <c r="CQ77" s="41" t="s">
        <v>3477</v>
      </c>
      <c r="CR77" s="41" t="s">
        <v>5355</v>
      </c>
      <c r="CS77" s="41">
        <v>300</v>
      </c>
      <c r="CT77" s="41">
        <v>8</v>
      </c>
      <c r="CU77" s="41">
        <v>15</v>
      </c>
      <c r="CV77" s="41">
        <v>10</v>
      </c>
      <c r="CW77" s="40"/>
      <c r="CX77" s="41" t="s">
        <v>4716</v>
      </c>
      <c r="CY77" s="40" t="s">
        <v>4717</v>
      </c>
      <c r="DB77" t="s">
        <v>2</v>
      </c>
      <c r="DC77" s="7" t="str">
        <f t="shared" ref="DC77:DC103" ca="1" si="29">IF($DC$7&gt;0,OFFSET(DD77,0,$DC$7-1),0)</f>
        <v>05_007</v>
      </c>
      <c r="DD77" t="s">
        <v>4895</v>
      </c>
      <c r="DE77" t="s">
        <v>5094</v>
      </c>
      <c r="DF77" t="s">
        <v>4990</v>
      </c>
      <c r="DG77" t="s">
        <v>5059</v>
      </c>
      <c r="DH77" t="s">
        <v>5197</v>
      </c>
    </row>
    <row r="78" spans="4:112" ht="14.6">
      <c r="D78" s="6" t="str">
        <f t="shared" si="27"/>
        <v>家乡建筑-&gt;大本营</v>
      </c>
      <c r="E78" s="6" t="str">
        <f t="shared" si="28"/>
        <v>#'2.3家乡建筑'!AM5:AV21</v>
      </c>
      <c r="F78" s="6" t="s">
        <v>1080</v>
      </c>
      <c r="G78" s="6" t="s">
        <v>5356</v>
      </c>
      <c r="H78" s="6" t="s">
        <v>5312</v>
      </c>
      <c r="I78" s="7" t="s">
        <v>4801</v>
      </c>
      <c r="J78" s="7" t="s">
        <v>4859</v>
      </c>
      <c r="K78" s="7" t="s">
        <v>5357</v>
      </c>
      <c r="L78" s="7" t="s">
        <v>5217</v>
      </c>
      <c r="M78" s="7" t="s">
        <v>4782</v>
      </c>
      <c r="N78" s="7" t="s">
        <v>4782</v>
      </c>
      <c r="O78" s="7" t="s">
        <v>4782</v>
      </c>
      <c r="P78" s="7" t="s">
        <v>4782</v>
      </c>
      <c r="Q78" s="7" t="s">
        <v>4782</v>
      </c>
      <c r="R78" s="7" t="s">
        <v>4782</v>
      </c>
      <c r="S78" s="7">
        <f t="array" ref="S78">SUM(IFERROR(IF(MATCH(I78:R78,$F$4:$Q$4,0)&gt;0,1,0),0))</f>
        <v>0</v>
      </c>
      <c r="T78" s="7">
        <f t="shared" ca="1" si="24"/>
        <v>37</v>
      </c>
      <c r="U78" s="7">
        <f ca="1">T78+COUNTIF(T$5:$T77,T78)</f>
        <v>100</v>
      </c>
      <c r="Y78" s="12" t="s">
        <v>109</v>
      </c>
      <c r="Z78" s="7">
        <f t="shared" ca="1" si="26"/>
        <v>6</v>
      </c>
      <c r="AA78">
        <v>0</v>
      </c>
      <c r="AB78">
        <v>0</v>
      </c>
      <c r="AC78">
        <v>0</v>
      </c>
      <c r="AD78">
        <v>0</v>
      </c>
      <c r="AE78">
        <v>0</v>
      </c>
      <c r="AF78">
        <v>0</v>
      </c>
      <c r="AG78">
        <v>0</v>
      </c>
      <c r="AH78">
        <v>0</v>
      </c>
      <c r="AI78">
        <v>0</v>
      </c>
      <c r="AJ78">
        <v>2</v>
      </c>
      <c r="AK78">
        <v>3</v>
      </c>
      <c r="AL78">
        <v>4</v>
      </c>
      <c r="AM78" s="15">
        <v>5</v>
      </c>
      <c r="AN78" s="15">
        <v>6</v>
      </c>
      <c r="AO78" s="21">
        <v>6</v>
      </c>
      <c r="AQ78" s="20">
        <v>43154</v>
      </c>
      <c r="AR78">
        <v>5</v>
      </c>
      <c r="AT78">
        <v>3000</v>
      </c>
      <c r="AU78" t="s">
        <v>5358</v>
      </c>
      <c r="AX78" s="28">
        <v>30000</v>
      </c>
      <c r="AY78" s="28" t="s">
        <v>4746</v>
      </c>
      <c r="AZ78" s="28" t="s">
        <v>4933</v>
      </c>
      <c r="BA78" s="28" t="s">
        <v>4934</v>
      </c>
      <c r="BB78" s="28">
        <v>100</v>
      </c>
      <c r="CD78" s="38">
        <v>74</v>
      </c>
      <c r="CE78" s="38">
        <f t="shared" si="25"/>
        <v>3.1337913639713806</v>
      </c>
      <c r="CF78" s="38">
        <f t="shared" si="20"/>
        <v>75.091200000000001</v>
      </c>
      <c r="CG78" s="38">
        <f t="shared" si="23"/>
        <v>75</v>
      </c>
      <c r="CP78" s="40">
        <v>426</v>
      </c>
      <c r="CQ78" s="41" t="s">
        <v>3477</v>
      </c>
      <c r="CR78" s="41" t="s">
        <v>5359</v>
      </c>
      <c r="CS78" s="41">
        <v>600</v>
      </c>
      <c r="CT78" s="41">
        <v>24</v>
      </c>
      <c r="CU78" s="41">
        <v>10</v>
      </c>
      <c r="CV78" s="41">
        <v>15</v>
      </c>
      <c r="CW78" s="40"/>
      <c r="CX78" s="41" t="s">
        <v>4716</v>
      </c>
      <c r="CY78" s="40" t="s">
        <v>3104</v>
      </c>
      <c r="DB78" t="s">
        <v>177</v>
      </c>
      <c r="DC78" s="7" t="str">
        <f t="shared" ca="1" si="29"/>
        <v>05_014</v>
      </c>
      <c r="DD78" t="s">
        <v>5360</v>
      </c>
      <c r="DE78" t="s">
        <v>5361</v>
      </c>
      <c r="DF78" t="s">
        <v>5362</v>
      </c>
      <c r="DG78" t="s">
        <v>5363</v>
      </c>
      <c r="DH78" t="s">
        <v>5364</v>
      </c>
    </row>
    <row r="79" spans="4:112" ht="14.6">
      <c r="D79" s="6" t="str">
        <f t="shared" si="27"/>
        <v>家乡建筑-&gt;采金场</v>
      </c>
      <c r="E79" s="6" t="str">
        <f t="shared" si="28"/>
        <v>#'2.3家乡建筑'!AM52:AU69</v>
      </c>
      <c r="F79" s="6" t="s">
        <v>1150</v>
      </c>
      <c r="G79" s="6" t="s">
        <v>5365</v>
      </c>
      <c r="H79" s="6" t="s">
        <v>5312</v>
      </c>
      <c r="I79" s="7" t="s">
        <v>4801</v>
      </c>
      <c r="J79" s="7" t="s">
        <v>5366</v>
      </c>
      <c r="K79" s="7" t="s">
        <v>5367</v>
      </c>
      <c r="L79" s="7" t="s">
        <v>5368</v>
      </c>
      <c r="M79" s="7" t="s">
        <v>5103</v>
      </c>
      <c r="N79" s="7" t="s">
        <v>4782</v>
      </c>
      <c r="O79" s="7" t="s">
        <v>4782</v>
      </c>
      <c r="P79" s="7" t="s">
        <v>4782</v>
      </c>
      <c r="Q79" s="7" t="s">
        <v>4782</v>
      </c>
      <c r="R79" s="7" t="s">
        <v>4782</v>
      </c>
      <c r="S79" s="7">
        <f t="array" ref="S79">SUM(IFERROR(IF(MATCH(I79:R79,$F$4:$Q$4,0)&gt;0,1,0),0))</f>
        <v>0</v>
      </c>
      <c r="T79" s="7">
        <f t="shared" ca="1" si="24"/>
        <v>37</v>
      </c>
      <c r="U79" s="7">
        <f ca="1">T79+COUNTIF(T$5:$T78,T79)</f>
        <v>101</v>
      </c>
      <c r="Y79" s="12" t="s">
        <v>114</v>
      </c>
      <c r="Z79" s="7">
        <f t="shared" ca="1" si="26"/>
        <v>6</v>
      </c>
      <c r="AA79">
        <v>0</v>
      </c>
      <c r="AB79">
        <v>0</v>
      </c>
      <c r="AC79">
        <v>0</v>
      </c>
      <c r="AD79">
        <v>0</v>
      </c>
      <c r="AE79">
        <v>0</v>
      </c>
      <c r="AF79">
        <v>0</v>
      </c>
      <c r="AG79">
        <v>0</v>
      </c>
      <c r="AH79">
        <v>0</v>
      </c>
      <c r="AI79">
        <v>0</v>
      </c>
      <c r="AJ79">
        <v>0</v>
      </c>
      <c r="AK79">
        <v>3</v>
      </c>
      <c r="AL79">
        <v>5</v>
      </c>
      <c r="AM79" s="15">
        <v>5</v>
      </c>
      <c r="AN79" s="15">
        <v>6</v>
      </c>
      <c r="AO79" s="21">
        <v>6</v>
      </c>
      <c r="AQ79" s="20">
        <v>43175</v>
      </c>
      <c r="AR79">
        <v>4</v>
      </c>
      <c r="AT79">
        <v>2000</v>
      </c>
      <c r="AU79" t="s">
        <v>5369</v>
      </c>
      <c r="AX79" s="28">
        <v>50000</v>
      </c>
      <c r="AY79" s="28" t="s">
        <v>5370</v>
      </c>
      <c r="AZ79" s="28" t="s">
        <v>5117</v>
      </c>
      <c r="BA79" s="28" t="s">
        <v>4944</v>
      </c>
      <c r="BB79" s="28">
        <v>120</v>
      </c>
      <c r="CD79" s="38">
        <v>75</v>
      </c>
      <c r="CE79" s="38">
        <f t="shared" si="25"/>
        <v>3.1405027733673538</v>
      </c>
      <c r="CF79" s="38">
        <f t="shared" si="20"/>
        <v>76.089250000000007</v>
      </c>
      <c r="CG79" s="38">
        <f t="shared" si="23"/>
        <v>76</v>
      </c>
      <c r="CP79" s="40">
        <v>427</v>
      </c>
      <c r="CQ79" s="41" t="s">
        <v>3481</v>
      </c>
      <c r="CR79" s="41" t="s">
        <v>5371</v>
      </c>
      <c r="CS79" s="41">
        <v>150</v>
      </c>
      <c r="CT79" s="41">
        <v>3</v>
      </c>
      <c r="CU79" s="41">
        <v>20</v>
      </c>
      <c r="CV79" s="41">
        <v>5</v>
      </c>
      <c r="CW79" s="40"/>
      <c r="CX79" s="41" t="s">
        <v>4716</v>
      </c>
      <c r="CY79" s="40" t="s">
        <v>3096</v>
      </c>
      <c r="DB79" t="s">
        <v>26</v>
      </c>
      <c r="DC79" s="7" t="str">
        <f t="shared" ca="1" si="29"/>
        <v>05_006</v>
      </c>
      <c r="DD79" t="s">
        <v>5248</v>
      </c>
      <c r="DE79" t="s">
        <v>4896</v>
      </c>
      <c r="DF79" t="s">
        <v>5058</v>
      </c>
      <c r="DG79" t="s">
        <v>4899</v>
      </c>
      <c r="DH79" t="s">
        <v>4900</v>
      </c>
    </row>
    <row r="80" spans="4:112" ht="14.6">
      <c r="D80" s="6" t="str">
        <f t="shared" si="27"/>
        <v>家乡建筑-&gt;储金罐</v>
      </c>
      <c r="E80" s="6" t="str">
        <f t="shared" si="28"/>
        <v>#'2.3家乡建筑'!AM71:AS88</v>
      </c>
      <c r="F80" s="6" t="s">
        <v>1154</v>
      </c>
      <c r="G80" s="6" t="s">
        <v>5372</v>
      </c>
      <c r="H80" s="6" t="s">
        <v>5312</v>
      </c>
      <c r="I80" s="7" t="s">
        <v>4801</v>
      </c>
      <c r="J80" s="7" t="s">
        <v>5373</v>
      </c>
      <c r="K80" s="7" t="s">
        <v>5367</v>
      </c>
      <c r="L80" s="7" t="s">
        <v>5374</v>
      </c>
      <c r="M80" s="7" t="s">
        <v>4782</v>
      </c>
      <c r="N80" s="7" t="s">
        <v>4782</v>
      </c>
      <c r="O80" s="7" t="s">
        <v>4782</v>
      </c>
      <c r="P80" s="7" t="s">
        <v>4782</v>
      </c>
      <c r="Q80" s="7" t="s">
        <v>4782</v>
      </c>
      <c r="R80" s="7" t="s">
        <v>4782</v>
      </c>
      <c r="S80" s="7">
        <f t="array" ref="S80">SUM(IFERROR(IF(MATCH(I80:R80,$F$4:$Q$4,0)&gt;0,1,0),0))</f>
        <v>0</v>
      </c>
      <c r="T80" s="7">
        <f t="shared" ca="1" si="24"/>
        <v>37</v>
      </c>
      <c r="U80" s="7">
        <f ca="1">T80+COUNTIF(T$5:$T79,T80)</f>
        <v>102</v>
      </c>
      <c r="Y80" s="12" t="s">
        <v>118</v>
      </c>
      <c r="Z80" s="7">
        <f t="shared" ca="1" si="26"/>
        <v>3</v>
      </c>
      <c r="AA80">
        <v>0</v>
      </c>
      <c r="AB80">
        <v>0</v>
      </c>
      <c r="AC80">
        <v>0</v>
      </c>
      <c r="AD80">
        <v>0</v>
      </c>
      <c r="AE80">
        <v>0</v>
      </c>
      <c r="AF80">
        <v>0</v>
      </c>
      <c r="AG80">
        <v>0</v>
      </c>
      <c r="AH80">
        <v>0</v>
      </c>
      <c r="AI80">
        <v>0</v>
      </c>
      <c r="AJ80">
        <v>0</v>
      </c>
      <c r="AK80">
        <v>0</v>
      </c>
      <c r="AL80">
        <v>2</v>
      </c>
      <c r="AM80" s="15">
        <v>3</v>
      </c>
      <c r="AN80" s="15">
        <v>3</v>
      </c>
      <c r="AO80" s="21">
        <v>3</v>
      </c>
      <c r="AQ80" s="20">
        <v>43167</v>
      </c>
      <c r="AR80">
        <v>4</v>
      </c>
      <c r="AT80">
        <v>3000</v>
      </c>
      <c r="AU80" t="s">
        <v>5375</v>
      </c>
      <c r="AX80" s="28">
        <v>75000</v>
      </c>
      <c r="AY80" s="28" t="s">
        <v>5376</v>
      </c>
      <c r="AZ80" s="28" t="s">
        <v>5062</v>
      </c>
      <c r="BA80" s="28" t="s">
        <v>5200</v>
      </c>
      <c r="BB80" s="28">
        <v>140</v>
      </c>
      <c r="CD80" s="38">
        <v>76</v>
      </c>
      <c r="CE80" s="38">
        <f t="shared" si="25"/>
        <v>3.147125289923645</v>
      </c>
      <c r="CF80" s="38">
        <f t="shared" si="20"/>
        <v>77.087329999999994</v>
      </c>
      <c r="CG80" s="38">
        <f t="shared" si="23"/>
        <v>77</v>
      </c>
      <c r="CP80" s="40">
        <v>428</v>
      </c>
      <c r="CQ80" s="41" t="s">
        <v>3481</v>
      </c>
      <c r="CR80" s="41" t="s">
        <v>5377</v>
      </c>
      <c r="CS80" s="41">
        <v>300</v>
      </c>
      <c r="CT80" s="41">
        <v>8</v>
      </c>
      <c r="CU80" s="41">
        <v>15</v>
      </c>
      <c r="CV80" s="41">
        <v>10</v>
      </c>
      <c r="CW80" s="40"/>
      <c r="CX80" s="41" t="s">
        <v>4716</v>
      </c>
      <c r="CY80" s="40" t="s">
        <v>4717</v>
      </c>
      <c r="DB80" t="s">
        <v>178</v>
      </c>
      <c r="DC80" s="7" t="str">
        <f t="shared" ca="1" si="29"/>
        <v>05_002</v>
      </c>
      <c r="DD80" t="s">
        <v>4834</v>
      </c>
      <c r="DE80" t="s">
        <v>4754</v>
      </c>
      <c r="DF80" t="s">
        <v>4755</v>
      </c>
      <c r="DG80" t="s">
        <v>4756</v>
      </c>
      <c r="DH80" t="s">
        <v>4757</v>
      </c>
    </row>
    <row r="81" spans="4:112" ht="14.6">
      <c r="D81" s="6" t="str">
        <f t="shared" si="27"/>
        <v>家乡建筑-&gt;暗黑训练营</v>
      </c>
      <c r="E81" s="6" t="str">
        <f t="shared" si="28"/>
        <v>#'2.3家乡建筑'!AW22:BC32</v>
      </c>
      <c r="F81" s="6" t="s">
        <v>1121</v>
      </c>
      <c r="G81" s="6" t="s">
        <v>5378</v>
      </c>
      <c r="H81" s="6" t="s">
        <v>5312</v>
      </c>
      <c r="I81" s="7" t="s">
        <v>4801</v>
      </c>
      <c r="J81" s="7" t="s">
        <v>5379</v>
      </c>
      <c r="K81" s="7" t="s">
        <v>5380</v>
      </c>
      <c r="L81" s="7" t="s">
        <v>5215</v>
      </c>
      <c r="M81" s="7" t="s">
        <v>5216</v>
      </c>
      <c r="N81" s="7" t="s">
        <v>5217</v>
      </c>
      <c r="O81" s="7" t="s">
        <v>4782</v>
      </c>
      <c r="P81" s="7" t="s">
        <v>4782</v>
      </c>
      <c r="Q81" s="7" t="s">
        <v>4782</v>
      </c>
      <c r="R81" s="7" t="s">
        <v>4782</v>
      </c>
      <c r="S81" s="7">
        <f t="array" ref="S81">SUM(IFERROR(IF(MATCH(I81:R81,$F$4:$Q$4,0)&gt;0,1,0),0))</f>
        <v>0</v>
      </c>
      <c r="T81" s="7">
        <f t="shared" ca="1" si="24"/>
        <v>37</v>
      </c>
      <c r="U81" s="7">
        <f ca="1">T81+COUNTIF(T$5:$T80,T81)</f>
        <v>103</v>
      </c>
      <c r="AO81" s="25"/>
      <c r="AQ81" s="20">
        <v>43158</v>
      </c>
      <c r="AR81">
        <v>7</v>
      </c>
      <c r="AT81">
        <v>3000</v>
      </c>
      <c r="AU81" t="s">
        <v>5381</v>
      </c>
      <c r="AX81" s="28">
        <v>3000</v>
      </c>
      <c r="AY81" s="28" t="s">
        <v>4794</v>
      </c>
      <c r="AZ81" s="28" t="s">
        <v>4877</v>
      </c>
      <c r="BA81" s="28" t="s">
        <v>4878</v>
      </c>
      <c r="BB81" s="28">
        <v>20</v>
      </c>
      <c r="CD81" s="38">
        <v>77</v>
      </c>
      <c r="CE81" s="38">
        <f t="shared" si="25"/>
        <v>3.1536612376360633</v>
      </c>
      <c r="CF81" s="38">
        <f t="shared" ref="CF81:CF99" si="30">MAX(CEILING($CC$4*(1-CE81*$CC$6)/$CC$8,1),0)+CD81+ROUND(MOD($CC$4*(1-CE81*$CC$6),$CC$8)/$CC$4,5)</f>
        <v>78.085440000000006</v>
      </c>
      <c r="CG81" s="38">
        <f t="shared" si="23"/>
        <v>78</v>
      </c>
      <c r="CP81" s="40">
        <v>429</v>
      </c>
      <c r="CQ81" s="41" t="s">
        <v>3481</v>
      </c>
      <c r="CR81" s="41" t="s">
        <v>5382</v>
      </c>
      <c r="CS81" s="41">
        <v>600</v>
      </c>
      <c r="CT81" s="41">
        <v>24</v>
      </c>
      <c r="CU81" s="41">
        <v>10</v>
      </c>
      <c r="CV81" s="41">
        <v>15</v>
      </c>
      <c r="CW81" s="40"/>
      <c r="CX81" s="41" t="s">
        <v>4716</v>
      </c>
      <c r="CY81" s="40" t="s">
        <v>3104</v>
      </c>
      <c r="DB81" t="s">
        <v>179</v>
      </c>
      <c r="DC81" s="7" t="str">
        <f t="shared" ca="1" si="29"/>
        <v>05_006</v>
      </c>
      <c r="DD81" t="s">
        <v>4895</v>
      </c>
      <c r="DE81" t="s">
        <v>4896</v>
      </c>
      <c r="DF81" t="s">
        <v>5058</v>
      </c>
      <c r="DG81" t="s">
        <v>4899</v>
      </c>
      <c r="DH81" t="s">
        <v>4900</v>
      </c>
    </row>
    <row r="82" spans="4:112" ht="14.6">
      <c r="D82" s="6" t="str">
        <f t="shared" si="27"/>
        <v>家乡建筑-&gt;暗黑工厂</v>
      </c>
      <c r="E82" s="6" t="str">
        <f t="shared" si="28"/>
        <v>#'2.3家乡建筑'!AW40:BD46</v>
      </c>
      <c r="F82" s="6" t="s">
        <v>1134</v>
      </c>
      <c r="G82" s="6" t="s">
        <v>5383</v>
      </c>
      <c r="H82" s="6" t="s">
        <v>5312</v>
      </c>
      <c r="I82" s="7" t="s">
        <v>4801</v>
      </c>
      <c r="J82" s="7" t="s">
        <v>5379</v>
      </c>
      <c r="K82" s="7" t="s">
        <v>5380</v>
      </c>
      <c r="L82" s="7" t="s">
        <v>5104</v>
      </c>
      <c r="M82" s="7" t="s">
        <v>5353</v>
      </c>
      <c r="N82" s="7" t="s">
        <v>4782</v>
      </c>
      <c r="O82" s="7" t="s">
        <v>4782</v>
      </c>
      <c r="P82" s="7" t="s">
        <v>4782</v>
      </c>
      <c r="Q82" s="7" t="s">
        <v>4782</v>
      </c>
      <c r="R82" s="7" t="s">
        <v>4782</v>
      </c>
      <c r="S82" s="7">
        <f t="array" ref="S82">SUM(IFERROR(IF(MATCH(I82:R82,$F$4:$Q$4,0)&gt;0,1,0),0))</f>
        <v>0</v>
      </c>
      <c r="T82" s="7">
        <f t="shared" ca="1" si="24"/>
        <v>37</v>
      </c>
      <c r="U82" s="7">
        <f ca="1">T82+COUNTIF(T$5:$T81,T82)</f>
        <v>104</v>
      </c>
      <c r="AO82" s="25"/>
      <c r="AQ82" s="20">
        <v>43146</v>
      </c>
      <c r="AR82">
        <v>8</v>
      </c>
      <c r="AT82">
        <v>3000</v>
      </c>
      <c r="AU82" t="s">
        <v>5384</v>
      </c>
      <c r="AX82" s="28">
        <v>7500</v>
      </c>
      <c r="AY82" s="28" t="s">
        <v>4893</v>
      </c>
      <c r="AZ82" s="28" t="s">
        <v>4713</v>
      </c>
      <c r="BA82" s="28" t="s">
        <v>4771</v>
      </c>
      <c r="BB82" s="28">
        <v>40</v>
      </c>
      <c r="CD82" s="38">
        <v>78</v>
      </c>
      <c r="CE82" s="38">
        <f t="shared" si="25"/>
        <v>3.160112850539289</v>
      </c>
      <c r="CF82" s="38">
        <f t="shared" si="30"/>
        <v>79.083569999999995</v>
      </c>
      <c r="CG82" s="38">
        <f t="shared" si="23"/>
        <v>79</v>
      </c>
      <c r="CP82" s="40">
        <v>430</v>
      </c>
      <c r="CQ82" s="41" t="s">
        <v>3485</v>
      </c>
      <c r="CR82" s="41" t="s">
        <v>5385</v>
      </c>
      <c r="CS82" s="41">
        <v>150</v>
      </c>
      <c r="CT82" s="41">
        <v>3</v>
      </c>
      <c r="CU82" s="41">
        <v>20</v>
      </c>
      <c r="CV82" s="41">
        <v>5</v>
      </c>
      <c r="CW82" s="40"/>
      <c r="CX82" s="41" t="s">
        <v>4716</v>
      </c>
      <c r="CY82" s="40" t="s">
        <v>3096</v>
      </c>
      <c r="DB82" t="s">
        <v>153</v>
      </c>
      <c r="DC82" s="7" t="str">
        <f t="shared" ca="1" si="29"/>
        <v>05_003</v>
      </c>
      <c r="DD82" t="s">
        <v>4834</v>
      </c>
      <c r="DE82" t="s">
        <v>4754</v>
      </c>
      <c r="DF82" t="s">
        <v>5073</v>
      </c>
      <c r="DG82" t="s">
        <v>4920</v>
      </c>
      <c r="DH82" t="s">
        <v>4835</v>
      </c>
    </row>
    <row r="83" spans="4:112" ht="14.6">
      <c r="D83" s="6" t="str">
        <f t="shared" si="27"/>
        <v>家乡建筑-&gt;部落城堡</v>
      </c>
      <c r="E83" s="6" t="str">
        <f t="shared" si="28"/>
        <v>#'2.3家乡建筑'!AX5:BF20</v>
      </c>
      <c r="F83" s="6" t="s">
        <v>1087</v>
      </c>
      <c r="G83" s="6" t="s">
        <v>5386</v>
      </c>
      <c r="H83" s="6" t="s">
        <v>5312</v>
      </c>
      <c r="I83" s="7" t="s">
        <v>4801</v>
      </c>
      <c r="J83" s="7" t="s">
        <v>5387</v>
      </c>
      <c r="K83" s="7" t="s">
        <v>5388</v>
      </c>
      <c r="L83" s="7" t="s">
        <v>5168</v>
      </c>
      <c r="M83" s="7" t="s">
        <v>5389</v>
      </c>
      <c r="N83" s="7" t="s">
        <v>4782</v>
      </c>
      <c r="O83" s="7" t="s">
        <v>4782</v>
      </c>
      <c r="P83" s="7" t="s">
        <v>4782</v>
      </c>
      <c r="Q83" s="7" t="s">
        <v>4782</v>
      </c>
      <c r="R83" s="7" t="s">
        <v>4782</v>
      </c>
      <c r="S83" s="7">
        <f t="array" ref="S83">SUM(IFERROR(IF(MATCH(I83:R83,$F$4:$Q$4,0)&gt;0,1,0),0))</f>
        <v>0</v>
      </c>
      <c r="T83" s="7">
        <f t="shared" ca="1" si="24"/>
        <v>37</v>
      </c>
      <c r="U83" s="7">
        <f ca="1">T83+COUNTIF(T$5:$T82,T83)</f>
        <v>105</v>
      </c>
      <c r="Y83" s="12" t="s">
        <v>5</v>
      </c>
      <c r="Z83" s="7">
        <f t="shared" ref="Z83:Z90" ca="1" si="31">OFFSET(AA83,0,$Z$5-1)</f>
        <v>10</v>
      </c>
      <c r="AA83">
        <v>0</v>
      </c>
      <c r="AB83">
        <v>0</v>
      </c>
      <c r="AC83">
        <v>0</v>
      </c>
      <c r="AD83">
        <v>0</v>
      </c>
      <c r="AE83">
        <v>4</v>
      </c>
      <c r="AF83">
        <v>4</v>
      </c>
      <c r="AG83">
        <v>4</v>
      </c>
      <c r="AH83">
        <v>5</v>
      </c>
      <c r="AI83">
        <v>6</v>
      </c>
      <c r="AJ83">
        <v>7</v>
      </c>
      <c r="AK83">
        <v>8</v>
      </c>
      <c r="AL83">
        <v>9</v>
      </c>
      <c r="AM83" s="15">
        <v>9</v>
      </c>
      <c r="AN83" s="15">
        <v>9</v>
      </c>
      <c r="AO83" s="21">
        <v>10</v>
      </c>
      <c r="AQ83" s="20">
        <v>43137</v>
      </c>
      <c r="AR83">
        <v>6</v>
      </c>
      <c r="AT83">
        <v>3000</v>
      </c>
      <c r="AU83" t="s">
        <v>5390</v>
      </c>
      <c r="AX83" s="28">
        <v>12000</v>
      </c>
      <c r="AY83" s="28" t="s">
        <v>4910</v>
      </c>
      <c r="AZ83" s="28" t="s">
        <v>4909</v>
      </c>
      <c r="BA83" s="28" t="s">
        <v>4795</v>
      </c>
      <c r="BB83" s="28">
        <v>60</v>
      </c>
      <c r="CD83" s="38">
        <v>79</v>
      </c>
      <c r="CE83" s="38">
        <f t="shared" si="25"/>
        <v>3.1664822772908816</v>
      </c>
      <c r="CF83" s="38">
        <f t="shared" si="30"/>
        <v>80.081720000000004</v>
      </c>
      <c r="CG83" s="38">
        <f t="shared" si="23"/>
        <v>80</v>
      </c>
      <c r="CP83" s="40">
        <v>431</v>
      </c>
      <c r="CQ83" s="41" t="s">
        <v>3485</v>
      </c>
      <c r="CR83" s="41" t="s">
        <v>5391</v>
      </c>
      <c r="CS83" s="41">
        <v>300</v>
      </c>
      <c r="CT83" s="41">
        <v>8</v>
      </c>
      <c r="CU83" s="41">
        <v>15</v>
      </c>
      <c r="CV83" s="41">
        <v>10</v>
      </c>
      <c r="CW83" s="40"/>
      <c r="CX83" s="41" t="s">
        <v>4716</v>
      </c>
      <c r="CY83" s="40" t="s">
        <v>4717</v>
      </c>
      <c r="DB83" t="s">
        <v>180</v>
      </c>
      <c r="DC83" s="7" t="str">
        <f t="shared" ca="1" si="29"/>
        <v>05_002</v>
      </c>
      <c r="DD83" t="s">
        <v>5213</v>
      </c>
      <c r="DE83" t="s">
        <v>4754</v>
      </c>
      <c r="DF83" t="s">
        <v>4755</v>
      </c>
      <c r="DG83" t="s">
        <v>4756</v>
      </c>
      <c r="DH83" t="s">
        <v>4757</v>
      </c>
    </row>
    <row r="84" spans="4:112" ht="14.6">
      <c r="D84" s="6" t="str">
        <f t="shared" si="27"/>
        <v>家乡建筑-&gt;圣水泵</v>
      </c>
      <c r="E84" s="6" t="str">
        <f t="shared" si="28"/>
        <v>#'2.3家乡建筑'!AW50:BE67</v>
      </c>
      <c r="F84" s="6" t="s">
        <v>1140</v>
      </c>
      <c r="G84" s="6" t="s">
        <v>5392</v>
      </c>
      <c r="H84" s="6" t="s">
        <v>5312</v>
      </c>
      <c r="I84" s="7" t="s">
        <v>4801</v>
      </c>
      <c r="J84" s="7" t="s">
        <v>5393</v>
      </c>
      <c r="K84" s="7" t="s">
        <v>5394</v>
      </c>
      <c r="L84" s="7" t="s">
        <v>5395</v>
      </c>
      <c r="M84" s="7" t="s">
        <v>5366</v>
      </c>
      <c r="N84" s="7" t="s">
        <v>5396</v>
      </c>
      <c r="O84" s="7" t="s">
        <v>5397</v>
      </c>
      <c r="P84" s="7" t="s">
        <v>4782</v>
      </c>
      <c r="Q84" s="7" t="s">
        <v>4782</v>
      </c>
      <c r="R84" s="7" t="s">
        <v>4782</v>
      </c>
      <c r="S84" s="7">
        <f t="array" ref="S84">SUM(IFERROR(IF(MATCH(I84:R84,$F$4:$Q$4,0)&gt;0,1,0),0))</f>
        <v>0</v>
      </c>
      <c r="T84" s="7">
        <f t="shared" ca="1" si="24"/>
        <v>37</v>
      </c>
      <c r="U84" s="7">
        <f ca="1">T84+COUNTIF(T$5:$T83,T84)</f>
        <v>106</v>
      </c>
      <c r="Y84" s="12" t="s">
        <v>12</v>
      </c>
      <c r="Z84" s="7">
        <f t="shared" ca="1" si="31"/>
        <v>9</v>
      </c>
      <c r="AA84">
        <v>0</v>
      </c>
      <c r="AB84">
        <v>0</v>
      </c>
      <c r="AC84">
        <v>0</v>
      </c>
      <c r="AD84">
        <v>0</v>
      </c>
      <c r="AE84">
        <v>0</v>
      </c>
      <c r="AF84">
        <v>3</v>
      </c>
      <c r="AG84">
        <v>4</v>
      </c>
      <c r="AH84">
        <v>5</v>
      </c>
      <c r="AI84">
        <v>6</v>
      </c>
      <c r="AJ84">
        <v>7</v>
      </c>
      <c r="AK84">
        <v>7</v>
      </c>
      <c r="AL84">
        <v>7</v>
      </c>
      <c r="AM84" s="15">
        <v>8</v>
      </c>
      <c r="AN84" s="15">
        <v>8</v>
      </c>
      <c r="AO84" s="21">
        <v>9</v>
      </c>
      <c r="AQ84" s="20">
        <v>43130</v>
      </c>
      <c r="AR84">
        <v>6</v>
      </c>
      <c r="AT84">
        <v>3000</v>
      </c>
      <c r="AU84" t="s">
        <v>5398</v>
      </c>
      <c r="AX84" s="28">
        <v>18000</v>
      </c>
      <c r="AY84" s="28" t="s">
        <v>5002</v>
      </c>
      <c r="AZ84" s="28" t="s">
        <v>4855</v>
      </c>
      <c r="BA84" s="28" t="s">
        <v>4974</v>
      </c>
      <c r="BB84" s="28">
        <v>80</v>
      </c>
      <c r="CD84" s="38">
        <v>80</v>
      </c>
      <c r="CE84" s="38">
        <f t="shared" si="25"/>
        <v>3.1727715854669825</v>
      </c>
      <c r="CF84" s="38">
        <f t="shared" si="30"/>
        <v>81.079899999999995</v>
      </c>
      <c r="CG84" s="38">
        <f t="shared" si="23"/>
        <v>81</v>
      </c>
      <c r="CP84" s="40">
        <v>432</v>
      </c>
      <c r="CQ84" s="41" t="s">
        <v>3485</v>
      </c>
      <c r="CR84" s="41" t="s">
        <v>5399</v>
      </c>
      <c r="CS84" s="41">
        <v>600</v>
      </c>
      <c r="CT84" s="41">
        <v>24</v>
      </c>
      <c r="CU84" s="41">
        <v>10</v>
      </c>
      <c r="CV84" s="41">
        <v>15</v>
      </c>
      <c r="CW84" s="40"/>
      <c r="CX84" s="41" t="s">
        <v>4716</v>
      </c>
      <c r="CY84" s="40" t="s">
        <v>3104</v>
      </c>
      <c r="DB84" t="s">
        <v>182</v>
      </c>
      <c r="DC84" s="7" t="str">
        <f t="shared" ca="1" si="29"/>
        <v>05_002</v>
      </c>
      <c r="DD84" t="s">
        <v>5213</v>
      </c>
      <c r="DE84" t="s">
        <v>5213</v>
      </c>
      <c r="DF84" t="s">
        <v>5213</v>
      </c>
      <c r="DG84" t="s">
        <v>4756</v>
      </c>
      <c r="DH84" t="s">
        <v>4757</v>
      </c>
    </row>
    <row r="85" spans="4:112" ht="14.6">
      <c r="D85" s="6" t="str">
        <f t="shared" si="27"/>
        <v>家乡建筑-&gt;圣水瓶</v>
      </c>
      <c r="E85" s="6" t="str">
        <f t="shared" si="28"/>
        <v>#'2.3家乡建筑'!AW71:BC88</v>
      </c>
      <c r="F85" s="6" t="s">
        <v>1145</v>
      </c>
      <c r="G85" s="6" t="s">
        <v>5400</v>
      </c>
      <c r="H85" s="6" t="s">
        <v>5312</v>
      </c>
      <c r="I85" s="7" t="s">
        <v>4801</v>
      </c>
      <c r="J85" s="7" t="s">
        <v>5393</v>
      </c>
      <c r="K85" s="7" t="s">
        <v>5394</v>
      </c>
      <c r="L85" s="7" t="s">
        <v>5401</v>
      </c>
      <c r="M85" s="7" t="s">
        <v>4782</v>
      </c>
      <c r="N85" s="7" t="s">
        <v>4782</v>
      </c>
      <c r="O85" s="7" t="s">
        <v>4782</v>
      </c>
      <c r="P85" s="7" t="s">
        <v>4782</v>
      </c>
      <c r="Q85" s="7" t="s">
        <v>4782</v>
      </c>
      <c r="R85" s="7" t="s">
        <v>4782</v>
      </c>
      <c r="S85" s="7">
        <f t="array" ref="S85">SUM(IFERROR(IF(MATCH(I85:R85,$F$4:$Q$4,0)&gt;0,1,0),0))</f>
        <v>0</v>
      </c>
      <c r="T85" s="7">
        <f t="shared" ca="1" si="24"/>
        <v>37</v>
      </c>
      <c r="U85" s="7">
        <f ca="1">T85+COUNTIF(T$5:$T84,T85)</f>
        <v>107</v>
      </c>
      <c r="Y85" s="12" t="s">
        <v>17</v>
      </c>
      <c r="Z85" s="7">
        <f t="shared" ca="1" si="31"/>
        <v>6</v>
      </c>
      <c r="AA85">
        <v>0</v>
      </c>
      <c r="AB85">
        <v>0</v>
      </c>
      <c r="AC85">
        <v>0</v>
      </c>
      <c r="AD85">
        <v>0</v>
      </c>
      <c r="AE85">
        <v>0</v>
      </c>
      <c r="AF85">
        <v>0</v>
      </c>
      <c r="AG85">
        <v>4</v>
      </c>
      <c r="AH85">
        <v>5</v>
      </c>
      <c r="AI85">
        <v>5</v>
      </c>
      <c r="AJ85">
        <v>5</v>
      </c>
      <c r="AK85">
        <v>5</v>
      </c>
      <c r="AL85">
        <v>6</v>
      </c>
      <c r="AM85" s="15">
        <v>6</v>
      </c>
      <c r="AN85" s="15">
        <v>6</v>
      </c>
      <c r="AO85" s="21">
        <v>6</v>
      </c>
      <c r="AQ85" s="20">
        <v>43127</v>
      </c>
      <c r="AR85">
        <v>2</v>
      </c>
      <c r="AT85">
        <v>1000</v>
      </c>
      <c r="AU85" t="s">
        <v>5402</v>
      </c>
      <c r="AX85" s="28">
        <v>30000</v>
      </c>
      <c r="AY85" s="28" t="s">
        <v>3120</v>
      </c>
      <c r="AZ85" s="28" t="s">
        <v>3122</v>
      </c>
      <c r="BA85" s="28" t="s">
        <v>5200</v>
      </c>
      <c r="BB85" s="28">
        <v>100</v>
      </c>
      <c r="CD85" s="38">
        <v>81</v>
      </c>
      <c r="CE85" s="38">
        <f t="shared" si="25"/>
        <v>3.178982765591206</v>
      </c>
      <c r="CF85" s="38">
        <f t="shared" si="30"/>
        <v>82.078090000000003</v>
      </c>
      <c r="CG85" s="38">
        <f t="shared" si="23"/>
        <v>82</v>
      </c>
      <c r="CP85" s="40">
        <v>433</v>
      </c>
      <c r="CQ85" s="41" t="s">
        <v>3489</v>
      </c>
      <c r="CR85" s="41" t="s">
        <v>5403</v>
      </c>
      <c r="CS85" s="41">
        <v>150</v>
      </c>
      <c r="CT85" s="41">
        <v>3</v>
      </c>
      <c r="CU85" s="41">
        <v>20</v>
      </c>
      <c r="CV85" s="41">
        <v>5</v>
      </c>
      <c r="CW85" s="40"/>
      <c r="CX85" s="41" t="s">
        <v>4716</v>
      </c>
      <c r="CY85" s="40" t="s">
        <v>3096</v>
      </c>
      <c r="DB85" t="s">
        <v>59</v>
      </c>
      <c r="DC85" s="7" t="str">
        <f t="shared" ca="1" si="29"/>
        <v>05_003</v>
      </c>
      <c r="DD85" t="s">
        <v>5213</v>
      </c>
      <c r="DE85" t="s">
        <v>5213</v>
      </c>
      <c r="DF85" t="s">
        <v>4755</v>
      </c>
      <c r="DG85" t="s">
        <v>4756</v>
      </c>
      <c r="DH85" t="s">
        <v>4835</v>
      </c>
    </row>
    <row r="86" spans="4:112" ht="14.6">
      <c r="D86" s="6" t="str">
        <f t="shared" si="27"/>
        <v>家乡建筑-&gt;兵营</v>
      </c>
      <c r="E86" s="6" t="str">
        <f t="shared" si="28"/>
        <v>#'2.3家乡建筑'!BG22:BM35</v>
      </c>
      <c r="F86" s="6" t="s">
        <v>1127</v>
      </c>
      <c r="G86" s="6" t="s">
        <v>5404</v>
      </c>
      <c r="H86" s="6" t="s">
        <v>5312</v>
      </c>
      <c r="I86" s="7" t="s">
        <v>4801</v>
      </c>
      <c r="J86" s="7" t="s">
        <v>5024</v>
      </c>
      <c r="K86" s="7" t="s">
        <v>5217</v>
      </c>
      <c r="L86" s="7" t="s">
        <v>4782</v>
      </c>
      <c r="M86" s="7" t="s">
        <v>4782</v>
      </c>
      <c r="N86" s="7" t="s">
        <v>4782</v>
      </c>
      <c r="O86" s="7" t="s">
        <v>4782</v>
      </c>
      <c r="P86" s="7" t="s">
        <v>4782</v>
      </c>
      <c r="Q86" s="7" t="s">
        <v>4782</v>
      </c>
      <c r="R86" s="7" t="s">
        <v>4782</v>
      </c>
      <c r="S86" s="7">
        <f t="array" ref="S86">SUM(IFERROR(IF(MATCH(I86:R86,$F$4:$Q$4,0)&gt;0,1,0),0))</f>
        <v>0</v>
      </c>
      <c r="T86" s="7">
        <f t="shared" ca="1" si="24"/>
        <v>37</v>
      </c>
      <c r="U86" s="7">
        <f ca="1">T86+COUNTIF(T$5:$T85,T86)</f>
        <v>108</v>
      </c>
      <c r="Y86" s="12" t="s">
        <v>23</v>
      </c>
      <c r="Z86" s="7">
        <f t="shared" ca="1" si="31"/>
        <v>5</v>
      </c>
      <c r="AA86">
        <v>0</v>
      </c>
      <c r="AB86">
        <v>0</v>
      </c>
      <c r="AC86">
        <v>0</v>
      </c>
      <c r="AD86">
        <v>0</v>
      </c>
      <c r="AE86">
        <v>0</v>
      </c>
      <c r="AF86">
        <v>0</v>
      </c>
      <c r="AG86">
        <v>0</v>
      </c>
      <c r="AH86">
        <v>0</v>
      </c>
      <c r="AI86">
        <v>2</v>
      </c>
      <c r="AJ86">
        <v>3</v>
      </c>
      <c r="AK86">
        <v>3</v>
      </c>
      <c r="AL86">
        <v>3</v>
      </c>
      <c r="AM86" s="15">
        <v>4</v>
      </c>
      <c r="AN86" s="15">
        <v>4</v>
      </c>
      <c r="AO86" s="21">
        <v>5</v>
      </c>
      <c r="AQ86" s="20">
        <v>43119</v>
      </c>
      <c r="AR86">
        <v>4</v>
      </c>
      <c r="AT86">
        <v>2500</v>
      </c>
      <c r="AU86" t="s">
        <v>5405</v>
      </c>
      <c r="AX86" s="28">
        <v>50000</v>
      </c>
      <c r="AY86" s="28" t="s">
        <v>3185</v>
      </c>
      <c r="AZ86" s="28" t="s">
        <v>4933</v>
      </c>
      <c r="BA86" s="28" t="s">
        <v>4945</v>
      </c>
      <c r="BB86" s="28">
        <v>120</v>
      </c>
      <c r="CD86" s="38">
        <v>82</v>
      </c>
      <c r="CE86" s="38">
        <f t="shared" si="25"/>
        <v>3.1851177349163593</v>
      </c>
      <c r="CF86" s="38">
        <f t="shared" si="30"/>
        <v>83.076319999999996</v>
      </c>
      <c r="CG86" s="38">
        <f t="shared" si="23"/>
        <v>83</v>
      </c>
      <c r="CP86" s="40">
        <v>434</v>
      </c>
      <c r="CQ86" s="41" t="s">
        <v>3489</v>
      </c>
      <c r="CR86" s="41" t="s">
        <v>5406</v>
      </c>
      <c r="CS86" s="41">
        <v>300</v>
      </c>
      <c r="CT86" s="41">
        <v>8</v>
      </c>
      <c r="CU86" s="41">
        <v>15</v>
      </c>
      <c r="CV86" s="41">
        <v>10</v>
      </c>
      <c r="CW86" s="40"/>
      <c r="CX86" s="41" t="s">
        <v>4716</v>
      </c>
      <c r="CY86" s="40" t="s">
        <v>4717</v>
      </c>
      <c r="DB86" t="s">
        <v>185</v>
      </c>
      <c r="DC86" s="7" t="str">
        <f t="shared" ca="1" si="29"/>
        <v>05_003</v>
      </c>
      <c r="DD86" t="s">
        <v>4989</v>
      </c>
      <c r="DE86" t="s">
        <v>4754</v>
      </c>
      <c r="DF86" t="s">
        <v>4755</v>
      </c>
      <c r="DG86" t="s">
        <v>4756</v>
      </c>
      <c r="DH86" t="s">
        <v>4835</v>
      </c>
    </row>
    <row r="87" spans="4:112" ht="14.6">
      <c r="D87" s="6" t="str">
        <f t="shared" si="27"/>
        <v>家乡建筑-&gt;攻城工坊</v>
      </c>
      <c r="E87" s="6" t="str">
        <f t="shared" si="28"/>
        <v>#'2.3家乡建筑'!BG40:BN48</v>
      </c>
      <c r="F87" s="6" t="s">
        <v>1136</v>
      </c>
      <c r="G87" s="6" t="s">
        <v>5407</v>
      </c>
      <c r="H87" s="6" t="s">
        <v>5312</v>
      </c>
      <c r="I87" s="7" t="s">
        <v>4801</v>
      </c>
      <c r="J87" s="7" t="s">
        <v>5167</v>
      </c>
      <c r="K87" s="7" t="s">
        <v>5168</v>
      </c>
      <c r="L87" s="7" t="s">
        <v>5104</v>
      </c>
      <c r="M87" s="7" t="s">
        <v>5408</v>
      </c>
      <c r="N87" s="7" t="s">
        <v>5409</v>
      </c>
      <c r="O87" s="7" t="s">
        <v>5397</v>
      </c>
      <c r="P87" s="7" t="s">
        <v>4782</v>
      </c>
      <c r="Q87" s="7" t="s">
        <v>4782</v>
      </c>
      <c r="R87" s="7" t="s">
        <v>4782</v>
      </c>
      <c r="S87" s="7">
        <f t="array" ref="S87">SUM(IFERROR(IF(MATCH(I87:R87,$F$4:$Q$4,0)&gt;0,1,0),0))</f>
        <v>0</v>
      </c>
      <c r="T87" s="7">
        <f t="shared" ca="1" si="24"/>
        <v>37</v>
      </c>
      <c r="U87" s="7">
        <f ca="1">T87+COUNTIF(T$5:$T86,T87)</f>
        <v>109</v>
      </c>
      <c r="Y87" s="12" t="s">
        <v>29</v>
      </c>
      <c r="Z87" s="7">
        <f t="shared" ca="1" si="31"/>
        <v>7</v>
      </c>
      <c r="AA87">
        <v>0</v>
      </c>
      <c r="AB87">
        <v>0</v>
      </c>
      <c r="AC87">
        <v>0</v>
      </c>
      <c r="AD87">
        <v>0</v>
      </c>
      <c r="AE87">
        <v>0</v>
      </c>
      <c r="AF87">
        <v>0</v>
      </c>
      <c r="AG87">
        <v>0</v>
      </c>
      <c r="AH87">
        <v>0</v>
      </c>
      <c r="AI87">
        <v>2</v>
      </c>
      <c r="AJ87">
        <v>5</v>
      </c>
      <c r="AK87">
        <v>6</v>
      </c>
      <c r="AL87">
        <v>7</v>
      </c>
      <c r="AM87" s="15">
        <v>7</v>
      </c>
      <c r="AN87" s="15">
        <v>7</v>
      </c>
      <c r="AO87" s="21">
        <v>7</v>
      </c>
      <c r="AQ87" s="20">
        <v>43112</v>
      </c>
      <c r="AR87">
        <v>2</v>
      </c>
      <c r="AT87">
        <v>1000</v>
      </c>
      <c r="AU87" t="s">
        <v>5410</v>
      </c>
      <c r="AX87" s="28">
        <v>3000</v>
      </c>
      <c r="AY87" s="28" t="s">
        <v>4877</v>
      </c>
      <c r="AZ87" s="28" t="s">
        <v>4673</v>
      </c>
      <c r="BA87" s="28" t="s">
        <v>5411</v>
      </c>
      <c r="BB87" s="28">
        <v>10</v>
      </c>
      <c r="CD87" s="38">
        <v>83</v>
      </c>
      <c r="CE87" s="38">
        <f t="shared" si="25"/>
        <v>3.1911783409769652</v>
      </c>
      <c r="CF87" s="38">
        <f t="shared" si="30"/>
        <v>84.074560000000005</v>
      </c>
      <c r="CG87" s="38">
        <f t="shared" si="23"/>
        <v>84</v>
      </c>
      <c r="CP87" s="40">
        <v>435</v>
      </c>
      <c r="CQ87" s="41" t="s">
        <v>3489</v>
      </c>
      <c r="CR87" s="41" t="s">
        <v>5412</v>
      </c>
      <c r="CS87" s="41">
        <v>600</v>
      </c>
      <c r="CT87" s="41">
        <v>24</v>
      </c>
      <c r="CU87" s="41">
        <v>10</v>
      </c>
      <c r="CV87" s="41">
        <v>15</v>
      </c>
      <c r="CW87" s="40"/>
      <c r="CX87" s="41" t="s">
        <v>4716</v>
      </c>
      <c r="CY87" s="40" t="s">
        <v>3104</v>
      </c>
      <c r="DC87" s="7">
        <f t="shared" ca="1" si="29"/>
        <v>0</v>
      </c>
    </row>
    <row r="88" spans="4:112" ht="14.6">
      <c r="D88" s="6" t="str">
        <f t="shared" si="27"/>
        <v>家乡建筑-&gt;黑油钻井</v>
      </c>
      <c r="E88" s="6" t="str">
        <f t="shared" si="28"/>
        <v>#'2.3家乡建筑'!BG50:BO61</v>
      </c>
      <c r="F88" s="6" t="s">
        <v>1157</v>
      </c>
      <c r="G88" s="6" t="s">
        <v>5413</v>
      </c>
      <c r="H88" s="6" t="s">
        <v>5312</v>
      </c>
      <c r="I88" s="7" t="s">
        <v>4801</v>
      </c>
      <c r="J88" s="7" t="s">
        <v>5380</v>
      </c>
      <c r="K88" s="7" t="s">
        <v>5414</v>
      </c>
      <c r="L88" s="7" t="s">
        <v>5415</v>
      </c>
      <c r="M88" s="7" t="s">
        <v>5416</v>
      </c>
      <c r="N88" s="7" t="s">
        <v>5379</v>
      </c>
      <c r="O88" s="7" t="s">
        <v>4782</v>
      </c>
      <c r="P88" s="7" t="s">
        <v>4782</v>
      </c>
      <c r="Q88" s="7" t="s">
        <v>4782</v>
      </c>
      <c r="R88" s="7" t="s">
        <v>4782</v>
      </c>
      <c r="S88" s="7">
        <f t="array" ref="S88">SUM(IFERROR(IF(MATCH(I88:R88,$F$4:$Q$4,0)&gt;0,1,0),0))</f>
        <v>0</v>
      </c>
      <c r="T88" s="7">
        <f t="shared" ca="1" si="24"/>
        <v>37</v>
      </c>
      <c r="U88" s="7">
        <f ca="1">T88+COUNTIF(T$5:$T87,T88)</f>
        <v>110</v>
      </c>
      <c r="Y88" s="12" t="s">
        <v>35</v>
      </c>
      <c r="Z88" s="7">
        <f t="shared" ca="1" si="31"/>
        <v>7</v>
      </c>
      <c r="AA88">
        <v>0</v>
      </c>
      <c r="AB88">
        <v>0</v>
      </c>
      <c r="AC88">
        <v>0</v>
      </c>
      <c r="AD88">
        <v>0</v>
      </c>
      <c r="AE88">
        <v>0</v>
      </c>
      <c r="AF88">
        <v>0</v>
      </c>
      <c r="AG88">
        <v>0</v>
      </c>
      <c r="AH88">
        <v>0</v>
      </c>
      <c r="AI88">
        <v>0</v>
      </c>
      <c r="AJ88">
        <v>3</v>
      </c>
      <c r="AK88">
        <v>5</v>
      </c>
      <c r="AL88">
        <v>5</v>
      </c>
      <c r="AM88" s="15">
        <v>6</v>
      </c>
      <c r="AN88" s="15">
        <v>7</v>
      </c>
      <c r="AO88" s="21">
        <v>7</v>
      </c>
      <c r="AQ88" s="20">
        <v>43105</v>
      </c>
      <c r="AR88">
        <v>4</v>
      </c>
      <c r="AT88">
        <v>2500</v>
      </c>
      <c r="AU88" t="s">
        <v>5417</v>
      </c>
      <c r="AX88" s="28">
        <v>7500</v>
      </c>
      <c r="AY88" s="28" t="s">
        <v>4910</v>
      </c>
      <c r="AZ88" s="28" t="s">
        <v>4909</v>
      </c>
      <c r="BA88" s="28" t="s">
        <v>4878</v>
      </c>
      <c r="BB88" s="28">
        <v>20</v>
      </c>
      <c r="CD88" s="38">
        <v>84</v>
      </c>
      <c r="CE88" s="38">
        <f t="shared" si="25"/>
        <v>3.1971663649290609</v>
      </c>
      <c r="CF88" s="38">
        <f t="shared" si="30"/>
        <v>85.072819999999993</v>
      </c>
      <c r="CG88" s="38">
        <f t="shared" si="23"/>
        <v>85</v>
      </c>
      <c r="CP88" s="40">
        <v>436</v>
      </c>
      <c r="CQ88" s="41" t="s">
        <v>3493</v>
      </c>
      <c r="CR88" s="41" t="s">
        <v>5418</v>
      </c>
      <c r="CS88" s="41">
        <v>150</v>
      </c>
      <c r="CT88" s="41">
        <v>3</v>
      </c>
      <c r="CU88" s="41">
        <v>15</v>
      </c>
      <c r="CV88" s="41">
        <v>5</v>
      </c>
      <c r="CW88" s="40"/>
      <c r="CX88" s="41" t="s">
        <v>4716</v>
      </c>
      <c r="CY88" s="40" t="s">
        <v>3096</v>
      </c>
      <c r="DC88" s="7">
        <f t="shared" ca="1" si="29"/>
        <v>0</v>
      </c>
    </row>
    <row r="89" spans="4:112" ht="14.6">
      <c r="D89" s="6" t="str">
        <f t="shared" si="27"/>
        <v>家乡建筑-&gt;黑油罐</v>
      </c>
      <c r="E89" s="6" t="str">
        <f t="shared" si="28"/>
        <v>#'2.3家乡建筑'!BG71:BM82</v>
      </c>
      <c r="F89" s="6" t="s">
        <v>1160</v>
      </c>
      <c r="G89" s="6" t="s">
        <v>5419</v>
      </c>
      <c r="H89" s="6" t="s">
        <v>5312</v>
      </c>
      <c r="I89" s="7" t="s">
        <v>4801</v>
      </c>
      <c r="J89" s="7" t="s">
        <v>5380</v>
      </c>
      <c r="K89" s="7" t="s">
        <v>5414</v>
      </c>
      <c r="L89" s="7" t="s">
        <v>5374</v>
      </c>
      <c r="M89" s="7" t="s">
        <v>5379</v>
      </c>
      <c r="N89" s="7" t="s">
        <v>4782</v>
      </c>
      <c r="O89" s="7" t="s">
        <v>4782</v>
      </c>
      <c r="P89" s="7" t="s">
        <v>4782</v>
      </c>
      <c r="Q89" s="7" t="s">
        <v>4782</v>
      </c>
      <c r="R89" s="7" t="s">
        <v>4782</v>
      </c>
      <c r="S89" s="7">
        <f t="array" ref="S89">SUM(IFERROR(IF(MATCH(I89:R89,$F$4:$Q$4,0)&gt;0,1,0),0))</f>
        <v>0</v>
      </c>
      <c r="T89" s="7">
        <f t="shared" ca="1" si="24"/>
        <v>37</v>
      </c>
      <c r="U89" s="7">
        <f ca="1">T89+COUNTIF(T$5:$T88,T89)</f>
        <v>111</v>
      </c>
      <c r="Y89" s="12" t="s">
        <v>41</v>
      </c>
      <c r="Z89" s="7">
        <f t="shared" ca="1" si="31"/>
        <v>4</v>
      </c>
      <c r="AA89">
        <v>0</v>
      </c>
      <c r="AB89">
        <v>0</v>
      </c>
      <c r="AC89">
        <v>0</v>
      </c>
      <c r="AD89">
        <v>0</v>
      </c>
      <c r="AE89">
        <v>0</v>
      </c>
      <c r="AF89">
        <v>0</v>
      </c>
      <c r="AG89">
        <v>0</v>
      </c>
      <c r="AH89">
        <v>0</v>
      </c>
      <c r="AI89">
        <v>0</v>
      </c>
      <c r="AJ89">
        <v>0</v>
      </c>
      <c r="AK89">
        <v>2</v>
      </c>
      <c r="AL89">
        <v>3</v>
      </c>
      <c r="AM89" s="15">
        <v>4</v>
      </c>
      <c r="AN89" s="15">
        <v>4</v>
      </c>
      <c r="AO89" s="21">
        <v>4</v>
      </c>
      <c r="AQ89" s="20">
        <v>43091</v>
      </c>
      <c r="AR89">
        <v>5</v>
      </c>
      <c r="AT89">
        <v>2000</v>
      </c>
      <c r="AU89" t="s">
        <v>5420</v>
      </c>
      <c r="AX89" s="28">
        <v>12000</v>
      </c>
      <c r="AY89" s="28" t="s">
        <v>4953</v>
      </c>
      <c r="AZ89" s="28" t="s">
        <v>5002</v>
      </c>
      <c r="BA89" s="28" t="s">
        <v>4974</v>
      </c>
      <c r="BB89" s="28">
        <v>40</v>
      </c>
      <c r="CD89" s="38">
        <v>85</v>
      </c>
      <c r="CE89" s="38">
        <f t="shared" si="25"/>
        <v>3.2030835246923743</v>
      </c>
      <c r="CF89" s="38">
        <f t="shared" si="30"/>
        <v>86.071110000000004</v>
      </c>
      <c r="CG89" s="38">
        <f t="shared" si="23"/>
        <v>86</v>
      </c>
      <c r="CP89" s="40">
        <v>437</v>
      </c>
      <c r="CQ89" s="41" t="s">
        <v>3493</v>
      </c>
      <c r="CR89" s="41" t="s">
        <v>5421</v>
      </c>
      <c r="CS89" s="41">
        <v>300</v>
      </c>
      <c r="CT89" s="41">
        <v>8</v>
      </c>
      <c r="CU89" s="41">
        <v>10</v>
      </c>
      <c r="CV89" s="41">
        <v>10</v>
      </c>
      <c r="CW89" s="40"/>
      <c r="CX89" s="41" t="s">
        <v>4716</v>
      </c>
      <c r="CY89" s="40" t="s">
        <v>4717</v>
      </c>
      <c r="DC89" s="7">
        <f t="shared" ca="1" si="29"/>
        <v>0</v>
      </c>
    </row>
    <row r="90" spans="4:112" ht="14.6">
      <c r="D90" s="6" t="str">
        <f t="shared" si="27"/>
        <v>家乡建筑-&gt;实验室</v>
      </c>
      <c r="E90" s="6" t="str">
        <f t="shared" si="28"/>
        <v>#'2.3家乡建筑'!BI5:BN19</v>
      </c>
      <c r="F90" s="6" t="s">
        <v>1105</v>
      </c>
      <c r="G90" s="6" t="s">
        <v>5422</v>
      </c>
      <c r="H90" s="6" t="s">
        <v>5312</v>
      </c>
      <c r="I90" s="7" t="s">
        <v>4801</v>
      </c>
      <c r="J90" s="7" t="s">
        <v>5423</v>
      </c>
      <c r="K90" s="7" t="s">
        <v>5424</v>
      </c>
      <c r="L90" s="7" t="s">
        <v>5425</v>
      </c>
      <c r="M90" s="7" t="s">
        <v>4782</v>
      </c>
      <c r="N90" s="7" t="s">
        <v>4782</v>
      </c>
      <c r="O90" s="7" t="s">
        <v>4782</v>
      </c>
      <c r="P90" s="7" t="s">
        <v>4782</v>
      </c>
      <c r="Q90" s="7" t="s">
        <v>4782</v>
      </c>
      <c r="R90" s="7" t="s">
        <v>4782</v>
      </c>
      <c r="S90" s="7">
        <f t="array" ref="S90">SUM(IFERROR(IF(MATCH(I90:R90,$F$4:$Q$4,0)&gt;0,1,0),0))</f>
        <v>0</v>
      </c>
      <c r="T90" s="7">
        <f t="shared" ca="1" si="24"/>
        <v>37</v>
      </c>
      <c r="U90" s="7">
        <f ca="1">T90+COUNTIF(T$5:$T89,T90)</f>
        <v>112</v>
      </c>
      <c r="Y90" s="12" t="s">
        <v>46</v>
      </c>
      <c r="Z90" s="7">
        <f t="shared" ca="1" si="31"/>
        <v>4</v>
      </c>
      <c r="AM90" s="15">
        <v>2</v>
      </c>
      <c r="AN90" s="15">
        <v>3</v>
      </c>
      <c r="AO90" s="25">
        <v>4</v>
      </c>
      <c r="AQ90" s="20">
        <v>43088</v>
      </c>
      <c r="AR90">
        <v>3</v>
      </c>
      <c r="AT90">
        <v>500</v>
      </c>
      <c r="AU90" t="s">
        <v>5426</v>
      </c>
      <c r="AX90" s="28">
        <v>18000</v>
      </c>
      <c r="AY90" s="28" t="s">
        <v>5117</v>
      </c>
      <c r="AZ90" s="28" t="s">
        <v>4933</v>
      </c>
      <c r="BA90" s="28" t="s">
        <v>4795</v>
      </c>
      <c r="BB90" s="28">
        <v>60</v>
      </c>
      <c r="CD90" s="38">
        <v>86</v>
      </c>
      <c r="CE90" s="38">
        <f t="shared" si="25"/>
        <v>3.2089314779087488</v>
      </c>
      <c r="CF90" s="38">
        <f t="shared" si="30"/>
        <v>87.069410000000005</v>
      </c>
      <c r="CG90" s="38">
        <f t="shared" si="23"/>
        <v>87</v>
      </c>
      <c r="CP90" s="40">
        <v>438</v>
      </c>
      <c r="CQ90" s="41" t="s">
        <v>3493</v>
      </c>
      <c r="CR90" s="41" t="s">
        <v>5427</v>
      </c>
      <c r="CS90" s="41">
        <v>600</v>
      </c>
      <c r="CT90" s="41">
        <v>24</v>
      </c>
      <c r="CU90" s="41">
        <v>5</v>
      </c>
      <c r="CV90" s="41">
        <v>15</v>
      </c>
      <c r="CW90" s="40"/>
      <c r="CX90" s="41" t="s">
        <v>4716</v>
      </c>
      <c r="CY90" s="40" t="s">
        <v>3104</v>
      </c>
      <c r="DB90" t="s">
        <v>33</v>
      </c>
      <c r="DC90" s="7" t="str">
        <f t="shared" ca="1" si="29"/>
        <v>05_001</v>
      </c>
      <c r="DD90" t="s">
        <v>5213</v>
      </c>
      <c r="DE90" t="s">
        <v>4784</v>
      </c>
      <c r="DF90" t="s">
        <v>4785</v>
      </c>
      <c r="DG90" t="s">
        <v>4873</v>
      </c>
      <c r="DH90" t="s">
        <v>4941</v>
      </c>
    </row>
    <row r="91" spans="4:112" ht="14.6">
      <c r="D91" s="6" t="str">
        <f t="shared" si="27"/>
        <v>家乡建筑-&gt;空中炸弹</v>
      </c>
      <c r="E91" s="6" t="str">
        <f t="shared" si="28"/>
        <v>#'2.3家乡建筑'!AM121:AR133</v>
      </c>
      <c r="F91" s="6" t="s">
        <v>1357</v>
      </c>
      <c r="G91" s="6" t="s">
        <v>5428</v>
      </c>
      <c r="H91" s="6" t="s">
        <v>5312</v>
      </c>
      <c r="I91" s="7" t="s">
        <v>4801</v>
      </c>
      <c r="J91" s="7" t="s">
        <v>5429</v>
      </c>
      <c r="K91" s="7" t="s">
        <v>5430</v>
      </c>
      <c r="L91" s="7" t="s">
        <v>5015</v>
      </c>
      <c r="M91" s="7" t="s">
        <v>5016</v>
      </c>
      <c r="N91" s="7" t="s">
        <v>5431</v>
      </c>
      <c r="O91" s="7" t="s">
        <v>4782</v>
      </c>
      <c r="P91" s="7" t="s">
        <v>4782</v>
      </c>
      <c r="Q91" s="7" t="s">
        <v>4782</v>
      </c>
      <c r="R91" s="7" t="s">
        <v>4782</v>
      </c>
      <c r="S91" s="7">
        <f t="array" ref="S91">SUM(IFERROR(IF(MATCH(I91:R91,$F$4:$Q$4,0)&gt;0,1,0),0))</f>
        <v>0</v>
      </c>
      <c r="T91" s="7">
        <f t="shared" ca="1" si="24"/>
        <v>37</v>
      </c>
      <c r="U91" s="7">
        <f ca="1">T91+COUNTIF(T$5:$T90,T91)</f>
        <v>113</v>
      </c>
      <c r="AO91" s="25"/>
      <c r="AX91" s="28">
        <v>30000</v>
      </c>
      <c r="AY91" s="28" t="s">
        <v>4865</v>
      </c>
      <c r="AZ91" s="28" t="s">
        <v>5003</v>
      </c>
      <c r="BA91" s="28" t="s">
        <v>5004</v>
      </c>
      <c r="BB91" s="28">
        <v>80</v>
      </c>
      <c r="CD91" s="38">
        <v>87</v>
      </c>
      <c r="CE91" s="38">
        <f t="shared" si="25"/>
        <v>3.2147118247295579</v>
      </c>
      <c r="CF91" s="38">
        <f t="shared" si="30"/>
        <v>88.067729999999997</v>
      </c>
      <c r="CG91" s="38">
        <f t="shared" si="23"/>
        <v>88</v>
      </c>
      <c r="CP91" s="40">
        <v>439</v>
      </c>
      <c r="CQ91" s="41" t="s">
        <v>3497</v>
      </c>
      <c r="CR91" s="41" t="s">
        <v>5432</v>
      </c>
      <c r="CS91" s="41">
        <v>150</v>
      </c>
      <c r="CT91" s="41">
        <v>3</v>
      </c>
      <c r="CU91" s="41">
        <v>20</v>
      </c>
      <c r="CV91" s="41">
        <v>5</v>
      </c>
      <c r="CW91" s="40"/>
      <c r="CX91" s="41" t="s">
        <v>4716</v>
      </c>
      <c r="CY91" s="40" t="s">
        <v>3096</v>
      </c>
      <c r="DB91" t="s">
        <v>195</v>
      </c>
      <c r="DC91" s="7" t="str">
        <f t="shared" ca="1" si="29"/>
        <v>05_001</v>
      </c>
      <c r="DD91" t="s">
        <v>4834</v>
      </c>
      <c r="DE91" t="s">
        <v>4784</v>
      </c>
      <c r="DF91" t="s">
        <v>4785</v>
      </c>
      <c r="DG91" t="s">
        <v>4873</v>
      </c>
      <c r="DH91" t="s">
        <v>4941</v>
      </c>
    </row>
    <row r="92" spans="4:112" ht="14.6">
      <c r="D92" s="6" t="str">
        <f t="shared" si="27"/>
        <v>家乡建筑-&gt;飓风陷阱</v>
      </c>
      <c r="E92" s="6" t="str">
        <f t="shared" si="28"/>
        <v>#'2.3家乡建筑'!AT128:AZ133</v>
      </c>
      <c r="F92" s="6" t="s">
        <v>1379</v>
      </c>
      <c r="G92" s="6" t="s">
        <v>5433</v>
      </c>
      <c r="H92" s="6" t="s">
        <v>5312</v>
      </c>
      <c r="I92" s="7" t="s">
        <v>4801</v>
      </c>
      <c r="J92" s="7" t="s">
        <v>5434</v>
      </c>
      <c r="K92" s="7" t="s">
        <v>5435</v>
      </c>
      <c r="L92" s="7" t="s">
        <v>5436</v>
      </c>
      <c r="M92" s="7" t="s">
        <v>5437</v>
      </c>
      <c r="N92" s="7" t="s">
        <v>4782</v>
      </c>
      <c r="O92" s="7" t="s">
        <v>4782</v>
      </c>
      <c r="P92" s="7" t="s">
        <v>4782</v>
      </c>
      <c r="Q92" s="7" t="s">
        <v>4782</v>
      </c>
      <c r="R92" s="7" t="s">
        <v>4782</v>
      </c>
      <c r="S92" s="7">
        <f t="array" ref="S92">SUM(IFERROR(IF(MATCH(I92:R92,$F$4:$Q$4,0)&gt;0,1,0),0))</f>
        <v>0</v>
      </c>
      <c r="T92" s="7">
        <f t="shared" ca="1" si="24"/>
        <v>37</v>
      </c>
      <c r="U92" s="7">
        <f ca="1">T92+COUNTIF(T$5:$T91,T92)</f>
        <v>114</v>
      </c>
      <c r="AO92" s="25"/>
      <c r="AX92" s="28">
        <v>50000</v>
      </c>
      <c r="AY92" s="28" t="s">
        <v>5376</v>
      </c>
      <c r="AZ92" s="28" t="s">
        <v>4714</v>
      </c>
      <c r="BA92" s="28" t="s">
        <v>4944</v>
      </c>
      <c r="BB92" s="28">
        <v>100</v>
      </c>
      <c r="CD92" s="38">
        <v>88</v>
      </c>
      <c r="CE92" s="38">
        <f t="shared" si="25"/>
        <v>3.2204261104438436</v>
      </c>
      <c r="CF92" s="38">
        <f t="shared" si="30"/>
        <v>89.066079999999999</v>
      </c>
      <c r="CG92" s="38">
        <f t="shared" si="23"/>
        <v>89</v>
      </c>
      <c r="CP92" s="40">
        <v>440</v>
      </c>
      <c r="CQ92" s="41" t="s">
        <v>3497</v>
      </c>
      <c r="CR92" s="41" t="s">
        <v>5438</v>
      </c>
      <c r="CS92" s="41">
        <v>300</v>
      </c>
      <c r="CT92" s="41">
        <v>8</v>
      </c>
      <c r="CU92" s="41">
        <v>15</v>
      </c>
      <c r="CV92" s="41">
        <v>10</v>
      </c>
      <c r="CW92" s="40"/>
      <c r="CX92" s="41" t="s">
        <v>4716</v>
      </c>
      <c r="CY92" s="40" t="s">
        <v>4717</v>
      </c>
      <c r="DB92" t="s">
        <v>200</v>
      </c>
      <c r="DC92" s="7" t="str">
        <f t="shared" ca="1" si="29"/>
        <v>05_001</v>
      </c>
      <c r="DD92" t="s">
        <v>4834</v>
      </c>
      <c r="DE92" t="s">
        <v>4784</v>
      </c>
      <c r="DF92" t="s">
        <v>4785</v>
      </c>
      <c r="DG92" t="s">
        <v>4873</v>
      </c>
      <c r="DH92" t="s">
        <v>4941</v>
      </c>
    </row>
    <row r="93" spans="4:112" ht="14.6">
      <c r="D93" s="6" t="str">
        <f t="shared" si="27"/>
        <v>家乡建筑-&gt;迫击炮</v>
      </c>
      <c r="E93" s="6" t="str">
        <f t="shared" si="28"/>
        <v>#'2.3家乡建筑'!F30:N46</v>
      </c>
      <c r="F93" s="6" t="s">
        <v>1111</v>
      </c>
      <c r="G93" s="6" t="s">
        <v>5439</v>
      </c>
      <c r="H93" s="6" t="s">
        <v>5312</v>
      </c>
      <c r="I93" s="7" t="s">
        <v>4801</v>
      </c>
      <c r="J93" s="7" t="s">
        <v>5440</v>
      </c>
      <c r="K93" s="7" t="s">
        <v>5441</v>
      </c>
      <c r="L93" s="7" t="s">
        <v>5327</v>
      </c>
      <c r="M93" s="7" t="s">
        <v>4782</v>
      </c>
      <c r="N93" s="7" t="s">
        <v>4782</v>
      </c>
      <c r="O93" s="7" t="s">
        <v>4782</v>
      </c>
      <c r="P93" s="7" t="s">
        <v>4782</v>
      </c>
      <c r="Q93" s="7" t="s">
        <v>4782</v>
      </c>
      <c r="R93" s="7" t="s">
        <v>4782</v>
      </c>
      <c r="S93" s="7">
        <f t="array" ref="S93">SUM(IFERROR(IF(MATCH(I93:R93,$F$4:$Q$4,0)&gt;0,1,0),0))</f>
        <v>0</v>
      </c>
      <c r="T93" s="7">
        <f t="shared" ca="1" si="24"/>
        <v>37</v>
      </c>
      <c r="U93" s="7">
        <f ca="1">T93+COUNTIF(T$5:$T92,T93)</f>
        <v>115</v>
      </c>
      <c r="Y93" s="12" t="s">
        <v>57</v>
      </c>
      <c r="Z93" s="7">
        <f ca="1">OFFSET(AA93,0,$Z$5-1)</f>
        <v>9</v>
      </c>
      <c r="AA93">
        <v>0</v>
      </c>
      <c r="AB93">
        <v>0</v>
      </c>
      <c r="AC93">
        <v>0</v>
      </c>
      <c r="AD93">
        <v>0</v>
      </c>
      <c r="AE93">
        <v>0</v>
      </c>
      <c r="AF93">
        <v>0</v>
      </c>
      <c r="AG93">
        <v>0</v>
      </c>
      <c r="AH93">
        <v>2</v>
      </c>
      <c r="AI93">
        <v>3</v>
      </c>
      <c r="AJ93">
        <v>4</v>
      </c>
      <c r="AK93">
        <v>5</v>
      </c>
      <c r="AL93">
        <v>6</v>
      </c>
      <c r="AM93" s="15">
        <v>7</v>
      </c>
      <c r="AN93" s="15">
        <v>8</v>
      </c>
      <c r="AO93" s="21">
        <v>9</v>
      </c>
      <c r="AX93" s="28">
        <v>1500</v>
      </c>
      <c r="AY93" s="28" t="s">
        <v>4794</v>
      </c>
      <c r="AZ93" s="28" t="s">
        <v>4877</v>
      </c>
      <c r="BA93" s="28" t="s">
        <v>4878</v>
      </c>
      <c r="BB93" s="28">
        <v>20</v>
      </c>
      <c r="CD93" s="38">
        <v>89</v>
      </c>
      <c r="CE93" s="38">
        <f t="shared" si="25"/>
        <v>3.2260758279579678</v>
      </c>
      <c r="CF93" s="38">
        <f t="shared" si="30"/>
        <v>90.064440000000005</v>
      </c>
      <c r="CG93" s="38">
        <f t="shared" si="23"/>
        <v>90</v>
      </c>
      <c r="CP93" s="40">
        <v>441</v>
      </c>
      <c r="CQ93" s="41" t="s">
        <v>3497</v>
      </c>
      <c r="CR93" s="41" t="s">
        <v>5442</v>
      </c>
      <c r="CS93" s="41">
        <v>600</v>
      </c>
      <c r="CT93" s="41">
        <v>24</v>
      </c>
      <c r="CU93" s="41">
        <v>10</v>
      </c>
      <c r="CV93" s="41">
        <v>15</v>
      </c>
      <c r="CW93" s="40"/>
      <c r="CX93" s="41" t="s">
        <v>4716</v>
      </c>
      <c r="CY93" s="40" t="s">
        <v>3104</v>
      </c>
      <c r="DB93" t="s">
        <v>206</v>
      </c>
      <c r="DC93" s="7" t="str">
        <f t="shared" ca="1" si="29"/>
        <v>05_001</v>
      </c>
      <c r="DD93" t="s">
        <v>4834</v>
      </c>
      <c r="DE93" t="s">
        <v>4784</v>
      </c>
      <c r="DF93" t="s">
        <v>4785</v>
      </c>
      <c r="DG93" t="s">
        <v>4873</v>
      </c>
      <c r="DH93" t="s">
        <v>4941</v>
      </c>
    </row>
    <row r="94" spans="4:112" ht="14.6">
      <c r="D94" s="6" t="str">
        <f t="shared" si="27"/>
        <v>家乡建筑-&gt;空气炮</v>
      </c>
      <c r="E94" s="6" t="str">
        <f t="shared" si="28"/>
        <v>#'2.3家乡建筑'!F49:L58</v>
      </c>
      <c r="F94" s="6" t="s">
        <v>1130</v>
      </c>
      <c r="G94" s="6" t="s">
        <v>5443</v>
      </c>
      <c r="H94" s="6" t="s">
        <v>5312</v>
      </c>
      <c r="I94" s="7" t="s">
        <v>4801</v>
      </c>
      <c r="J94" s="7" t="s">
        <v>5429</v>
      </c>
      <c r="K94" s="7" t="s">
        <v>5022</v>
      </c>
      <c r="L94" s="7" t="s">
        <v>5327</v>
      </c>
      <c r="M94" s="7" t="s">
        <v>5444</v>
      </c>
      <c r="N94" s="7" t="s">
        <v>5435</v>
      </c>
      <c r="O94" s="7" t="s">
        <v>5409</v>
      </c>
      <c r="P94" s="7" t="s">
        <v>4782</v>
      </c>
      <c r="Q94" s="7" t="s">
        <v>4782</v>
      </c>
      <c r="R94" s="7" t="s">
        <v>4782</v>
      </c>
      <c r="S94" s="7">
        <f t="array" ref="S94">SUM(IFERROR(IF(MATCH(I94:R94,$F$4:$Q$4,0)&gt;0,1,0),0))</f>
        <v>0</v>
      </c>
      <c r="T94" s="7">
        <f t="shared" ca="1" si="24"/>
        <v>37</v>
      </c>
      <c r="U94" s="7">
        <f ca="1">T94+COUNTIF(T$5:$T93,T94)</f>
        <v>116</v>
      </c>
      <c r="Y94" s="12" t="s">
        <v>62</v>
      </c>
      <c r="Z94" s="7">
        <f ca="1">OFFSET(AA94,0,$Z$5-1)</f>
        <v>5</v>
      </c>
      <c r="AA94">
        <v>0</v>
      </c>
      <c r="AB94">
        <v>0</v>
      </c>
      <c r="AC94">
        <v>0</v>
      </c>
      <c r="AD94">
        <v>0</v>
      </c>
      <c r="AE94">
        <v>0</v>
      </c>
      <c r="AF94">
        <v>0</v>
      </c>
      <c r="AG94">
        <v>0</v>
      </c>
      <c r="AH94">
        <v>2</v>
      </c>
      <c r="AI94">
        <v>3</v>
      </c>
      <c r="AJ94">
        <v>4</v>
      </c>
      <c r="AK94">
        <v>5</v>
      </c>
      <c r="AL94">
        <v>5</v>
      </c>
      <c r="AM94" s="15">
        <v>5</v>
      </c>
      <c r="AN94" s="15">
        <v>5</v>
      </c>
      <c r="AO94" s="21">
        <v>5</v>
      </c>
      <c r="AX94" s="28">
        <v>7500</v>
      </c>
      <c r="AY94" s="28" t="s">
        <v>4893</v>
      </c>
      <c r="AZ94" s="28" t="s">
        <v>4713</v>
      </c>
      <c r="BA94" s="28" t="s">
        <v>4953</v>
      </c>
      <c r="BB94" s="28">
        <v>40</v>
      </c>
      <c r="CD94" s="38">
        <v>90</v>
      </c>
      <c r="CE94" s="38">
        <f t="shared" si="25"/>
        <v>3.2316624201367388</v>
      </c>
      <c r="CF94" s="38">
        <f t="shared" si="30"/>
        <v>91.062820000000002</v>
      </c>
      <c r="CG94" s="38">
        <f t="shared" si="23"/>
        <v>91</v>
      </c>
      <c r="CP94" s="40">
        <v>442</v>
      </c>
      <c r="CQ94" s="41" t="s">
        <v>3502</v>
      </c>
      <c r="CR94" s="41" t="s">
        <v>5445</v>
      </c>
      <c r="CS94" s="41">
        <v>150</v>
      </c>
      <c r="CT94" s="41">
        <v>3</v>
      </c>
      <c r="CU94" s="41">
        <v>20</v>
      </c>
      <c r="CV94" s="41">
        <v>5</v>
      </c>
      <c r="CW94" s="40"/>
      <c r="CX94" s="41" t="s">
        <v>4716</v>
      </c>
      <c r="CY94" s="40" t="s">
        <v>3096</v>
      </c>
      <c r="DB94" t="s">
        <v>211</v>
      </c>
      <c r="DC94" s="7" t="str">
        <f t="shared" ca="1" si="29"/>
        <v>05_001</v>
      </c>
      <c r="DD94" t="s">
        <v>5213</v>
      </c>
      <c r="DE94" t="s">
        <v>4784</v>
      </c>
      <c r="DF94" t="s">
        <v>4785</v>
      </c>
      <c r="DG94" t="s">
        <v>4873</v>
      </c>
      <c r="DH94" t="s">
        <v>4941</v>
      </c>
    </row>
    <row r="95" spans="4:112" ht="14.6">
      <c r="D95" s="6" t="str">
        <f t="shared" si="27"/>
        <v>家乡建筑-&gt;加农炮</v>
      </c>
      <c r="E95" s="6" t="str">
        <f t="shared" si="28"/>
        <v>#'2.3家乡建筑'!F5:N27</v>
      </c>
      <c r="F95" s="6" t="s">
        <v>1079</v>
      </c>
      <c r="G95" s="6" t="s">
        <v>5446</v>
      </c>
      <c r="H95" s="6" t="s">
        <v>5312</v>
      </c>
      <c r="I95" s="7" t="s">
        <v>4801</v>
      </c>
      <c r="J95" s="7" t="s">
        <v>5447</v>
      </c>
      <c r="K95" s="7" t="s">
        <v>5448</v>
      </c>
      <c r="L95" s="7" t="s">
        <v>5327</v>
      </c>
      <c r="M95" s="7" t="s">
        <v>4782</v>
      </c>
      <c r="N95" s="7" t="s">
        <v>4782</v>
      </c>
      <c r="O95" s="7" t="s">
        <v>4782</v>
      </c>
      <c r="P95" s="7" t="s">
        <v>4782</v>
      </c>
      <c r="Q95" s="7" t="s">
        <v>4782</v>
      </c>
      <c r="R95" s="7" t="s">
        <v>4782</v>
      </c>
      <c r="S95" s="7">
        <f t="array" ref="S95">SUM(IFERROR(IF(MATCH(I95:R95,$F$4:$Q$4,0)&gt;0,1,0),0))</f>
        <v>0</v>
      </c>
      <c r="T95" s="7">
        <f t="shared" ca="1" si="24"/>
        <v>37</v>
      </c>
      <c r="U95" s="7">
        <f ca="1">T95+COUNTIF(T$5:$T94,T95)</f>
        <v>117</v>
      </c>
      <c r="Y95" s="12" t="s">
        <v>66</v>
      </c>
      <c r="Z95" s="7">
        <f ca="1">OFFSET(AA95,0,$Z$5-1)</f>
        <v>5</v>
      </c>
      <c r="AA95">
        <v>0</v>
      </c>
      <c r="AB95">
        <v>0</v>
      </c>
      <c r="AC95">
        <v>0</v>
      </c>
      <c r="AD95">
        <v>0</v>
      </c>
      <c r="AE95">
        <v>0</v>
      </c>
      <c r="AF95">
        <v>0</v>
      </c>
      <c r="AG95">
        <v>0</v>
      </c>
      <c r="AH95">
        <v>0</v>
      </c>
      <c r="AI95">
        <v>2</v>
      </c>
      <c r="AJ95">
        <v>4</v>
      </c>
      <c r="AK95">
        <v>4</v>
      </c>
      <c r="AL95">
        <v>5</v>
      </c>
      <c r="AM95" s="15">
        <v>5</v>
      </c>
      <c r="AN95" s="15">
        <v>5</v>
      </c>
      <c r="AO95" s="21">
        <v>5</v>
      </c>
      <c r="AX95" s="28">
        <v>12000</v>
      </c>
      <c r="AY95" s="28" t="s">
        <v>4910</v>
      </c>
      <c r="AZ95" s="28" t="s">
        <v>4909</v>
      </c>
      <c r="BA95" s="28" t="s">
        <v>4795</v>
      </c>
      <c r="BB95" s="28">
        <v>60</v>
      </c>
      <c r="CD95" s="38">
        <v>91</v>
      </c>
      <c r="CE95" s="38">
        <f t="shared" si="25"/>
        <v>3.2371872820151917</v>
      </c>
      <c r="CF95" s="38">
        <f t="shared" si="30"/>
        <v>92.061220000000006</v>
      </c>
      <c r="CG95" s="38">
        <f t="shared" si="23"/>
        <v>92</v>
      </c>
      <c r="CP95" s="40">
        <v>443</v>
      </c>
      <c r="CQ95" s="41" t="s">
        <v>3502</v>
      </c>
      <c r="CR95" s="41" t="s">
        <v>5449</v>
      </c>
      <c r="CS95" s="41">
        <v>300</v>
      </c>
      <c r="CT95" s="41">
        <v>8</v>
      </c>
      <c r="CU95" s="41">
        <v>15</v>
      </c>
      <c r="CV95" s="41">
        <v>10</v>
      </c>
      <c r="CW95" s="40"/>
      <c r="CX95" s="41" t="s">
        <v>4716</v>
      </c>
      <c r="CY95" s="40" t="s">
        <v>4717</v>
      </c>
      <c r="DC95" s="7">
        <f t="shared" ca="1" si="29"/>
        <v>0</v>
      </c>
    </row>
    <row r="96" spans="4:112" ht="14.6">
      <c r="D96" s="6" t="str">
        <f t="shared" si="27"/>
        <v>家乡建筑-&gt;X连弩</v>
      </c>
      <c r="E96" s="6" t="str">
        <f t="shared" si="28"/>
        <v>#'2.3家乡建筑'!F62:M73</v>
      </c>
      <c r="F96" s="6" t="s">
        <v>1138</v>
      </c>
      <c r="G96" s="6" t="s">
        <v>5450</v>
      </c>
      <c r="H96" s="6" t="s">
        <v>5312</v>
      </c>
      <c r="I96" s="7" t="s">
        <v>4801</v>
      </c>
      <c r="J96" s="7" t="s">
        <v>5451</v>
      </c>
      <c r="K96" s="7" t="s">
        <v>5123</v>
      </c>
      <c r="L96" s="7" t="s">
        <v>5338</v>
      </c>
      <c r="M96" s="7" t="s">
        <v>5452</v>
      </c>
      <c r="N96" s="7" t="s">
        <v>5453</v>
      </c>
      <c r="O96" s="7" t="s">
        <v>5454</v>
      </c>
      <c r="P96" s="7" t="s">
        <v>4782</v>
      </c>
      <c r="Q96" s="7" t="s">
        <v>4782</v>
      </c>
      <c r="R96" s="7" t="s">
        <v>4782</v>
      </c>
      <c r="S96" s="7">
        <f t="array" ref="S96">SUM(IFERROR(IF(MATCH(I96:R96,$F$4:$Q$4,0)&gt;0,1,0),0))</f>
        <v>0</v>
      </c>
      <c r="T96" s="7">
        <f t="shared" ca="1" si="24"/>
        <v>37</v>
      </c>
      <c r="U96" s="7">
        <f ca="1">T96+COUNTIF(T$5:$T95,T96)</f>
        <v>118</v>
      </c>
      <c r="Y96" s="12" t="s">
        <v>70</v>
      </c>
      <c r="Z96" s="7">
        <f ca="1">OFFSET(AA96,0,$Z$5-1)</f>
        <v>7</v>
      </c>
      <c r="AA96">
        <v>0</v>
      </c>
      <c r="AB96">
        <v>0</v>
      </c>
      <c r="AC96">
        <v>0</v>
      </c>
      <c r="AD96">
        <v>0</v>
      </c>
      <c r="AE96">
        <v>0</v>
      </c>
      <c r="AF96">
        <v>0</v>
      </c>
      <c r="AG96">
        <v>0</v>
      </c>
      <c r="AH96">
        <v>0</v>
      </c>
      <c r="AI96">
        <v>1</v>
      </c>
      <c r="AJ96">
        <v>3</v>
      </c>
      <c r="AK96">
        <v>4</v>
      </c>
      <c r="AL96">
        <v>6</v>
      </c>
      <c r="AM96" s="15">
        <v>7</v>
      </c>
      <c r="AN96" s="15">
        <v>7</v>
      </c>
      <c r="AO96" s="21">
        <v>7</v>
      </c>
      <c r="AX96" s="28">
        <v>18000</v>
      </c>
      <c r="AY96" s="28" t="s">
        <v>4865</v>
      </c>
      <c r="AZ96" s="28" t="s">
        <v>4855</v>
      </c>
      <c r="BA96" s="28" t="s">
        <v>5455</v>
      </c>
      <c r="BB96" s="28">
        <v>80</v>
      </c>
      <c r="CD96" s="38">
        <v>92</v>
      </c>
      <c r="CE96" s="38">
        <f t="shared" si="25"/>
        <v>3.2426517628895084</v>
      </c>
      <c r="CF96" s="38">
        <f t="shared" si="30"/>
        <v>93.059629999999999</v>
      </c>
      <c r="CG96" s="38">
        <f t="shared" si="23"/>
        <v>93</v>
      </c>
      <c r="CP96" s="40">
        <v>444</v>
      </c>
      <c r="CQ96" s="41" t="s">
        <v>3502</v>
      </c>
      <c r="CR96" s="41" t="s">
        <v>5456</v>
      </c>
      <c r="CS96" s="41">
        <v>600</v>
      </c>
      <c r="CT96" s="41">
        <v>24</v>
      </c>
      <c r="CU96" s="41">
        <v>10</v>
      </c>
      <c r="CV96" s="41">
        <v>15</v>
      </c>
      <c r="CW96" s="40"/>
      <c r="CX96" s="41" t="s">
        <v>4716</v>
      </c>
      <c r="CY96" s="40" t="s">
        <v>3104</v>
      </c>
      <c r="DC96" s="7">
        <f t="shared" ca="1" si="29"/>
        <v>0</v>
      </c>
    </row>
    <row r="97" spans="4:112" ht="14.6">
      <c r="D97" s="6" t="str">
        <f t="shared" si="27"/>
        <v>家乡建筑-&gt;巨型电塔</v>
      </c>
      <c r="E97" s="6" t="str">
        <f t="shared" si="28"/>
        <v>#'2.3家乡建筑'!F77:N85</v>
      </c>
      <c r="F97" s="6" t="s">
        <v>5457</v>
      </c>
      <c r="G97" s="6" t="s">
        <v>5458</v>
      </c>
      <c r="H97" s="6" t="s">
        <v>5312</v>
      </c>
      <c r="I97" s="7" t="s">
        <v>4801</v>
      </c>
      <c r="J97" s="7" t="s">
        <v>4927</v>
      </c>
      <c r="K97" s="7" t="s">
        <v>5233</v>
      </c>
      <c r="L97" s="7" t="s">
        <v>5121</v>
      </c>
      <c r="M97" s="7" t="s">
        <v>5313</v>
      </c>
      <c r="N97" s="7" t="s">
        <v>5459</v>
      </c>
      <c r="O97" s="7" t="s">
        <v>5460</v>
      </c>
      <c r="P97" s="7" t="s">
        <v>5461</v>
      </c>
      <c r="Q97" s="7" t="s">
        <v>4859</v>
      </c>
      <c r="R97" s="7" t="s">
        <v>5357</v>
      </c>
      <c r="S97" s="7">
        <f t="array" ref="S97">SUM(IFERROR(IF(MATCH(I97:R97,$F$4:$Q$4,0)&gt;0,1,0),0))</f>
        <v>0</v>
      </c>
      <c r="T97" s="7">
        <f t="shared" ca="1" si="24"/>
        <v>37</v>
      </c>
      <c r="U97" s="7">
        <f ca="1">T97+COUNTIF(T$5:$T96,T97)</f>
        <v>119</v>
      </c>
      <c r="Y97" s="12" t="s">
        <v>76</v>
      </c>
      <c r="Z97" s="7">
        <f ca="1">OFFSET(AA97,0,$Z$5-1)</f>
        <v>6</v>
      </c>
      <c r="AA97">
        <v>0</v>
      </c>
      <c r="AB97">
        <v>0</v>
      </c>
      <c r="AC97">
        <v>0</v>
      </c>
      <c r="AD97">
        <v>0</v>
      </c>
      <c r="AE97">
        <v>0</v>
      </c>
      <c r="AF97">
        <v>0</v>
      </c>
      <c r="AG97">
        <v>0</v>
      </c>
      <c r="AH97">
        <v>0</v>
      </c>
      <c r="AI97">
        <v>0</v>
      </c>
      <c r="AJ97">
        <v>3</v>
      </c>
      <c r="AK97">
        <v>4</v>
      </c>
      <c r="AL97">
        <v>5</v>
      </c>
      <c r="AM97" s="15">
        <v>5</v>
      </c>
      <c r="AN97" s="15">
        <v>5</v>
      </c>
      <c r="AO97" s="21">
        <v>6</v>
      </c>
      <c r="AX97" s="28">
        <v>30000</v>
      </c>
      <c r="AY97" s="28" t="s">
        <v>4746</v>
      </c>
      <c r="AZ97" s="28" t="s">
        <v>4933</v>
      </c>
      <c r="BA97" s="28" t="s">
        <v>4934</v>
      </c>
      <c r="BB97" s="28">
        <v>100</v>
      </c>
      <c r="CD97" s="38">
        <v>93</v>
      </c>
      <c r="CE97" s="38">
        <f t="shared" si="25"/>
        <v>3.2480571682949138</v>
      </c>
      <c r="CF97" s="38">
        <f t="shared" si="30"/>
        <v>94.058059999999998</v>
      </c>
      <c r="CG97" s="38">
        <f t="shared" si="23"/>
        <v>94</v>
      </c>
      <c r="CP97" s="40">
        <v>445</v>
      </c>
      <c r="CQ97" s="41" t="s">
        <v>3507</v>
      </c>
      <c r="CR97" s="41" t="s">
        <v>5462</v>
      </c>
      <c r="CS97" s="41">
        <v>200</v>
      </c>
      <c r="CT97" s="41">
        <v>3</v>
      </c>
      <c r="CU97" s="41">
        <v>15</v>
      </c>
      <c r="CV97" s="41">
        <v>5</v>
      </c>
      <c r="CW97" s="40"/>
      <c r="CX97" s="41" t="s">
        <v>4716</v>
      </c>
      <c r="CY97" s="40" t="s">
        <v>3096</v>
      </c>
      <c r="DB97" t="s">
        <v>213</v>
      </c>
      <c r="DC97" s="7" t="str">
        <f t="shared" ca="1" si="29"/>
        <v>05_006</v>
      </c>
      <c r="DD97" t="s">
        <v>4895</v>
      </c>
      <c r="DE97" t="s">
        <v>4896</v>
      </c>
      <c r="DF97" t="s">
        <v>5058</v>
      </c>
      <c r="DG97" t="s">
        <v>4899</v>
      </c>
      <c r="DH97" t="s">
        <v>4900</v>
      </c>
    </row>
    <row r="98" spans="4:112" ht="14.6">
      <c r="D98" s="6" t="str">
        <f t="shared" si="27"/>
        <v>家乡建筑-&gt;毒爆地狱组件</v>
      </c>
      <c r="E98" s="6" t="str">
        <f t="shared" si="28"/>
        <v>#'2.3家乡建筑'!F87:n94</v>
      </c>
      <c r="F98" s="6" t="s">
        <v>1162</v>
      </c>
      <c r="G98" s="6" t="s">
        <v>5463</v>
      </c>
      <c r="H98" s="6" t="s">
        <v>5312</v>
      </c>
      <c r="I98" s="7" t="s">
        <v>5260</v>
      </c>
      <c r="J98" s="7" t="s">
        <v>5464</v>
      </c>
      <c r="K98" s="7" t="s">
        <v>5102</v>
      </c>
      <c r="L98" s="7" t="s">
        <v>5203</v>
      </c>
      <c r="M98" s="7" t="s">
        <v>5340</v>
      </c>
      <c r="N98" s="7" t="s">
        <v>5341</v>
      </c>
      <c r="O98" s="7" t="s">
        <v>4927</v>
      </c>
      <c r="P98" s="7" t="s">
        <v>5233</v>
      </c>
      <c r="Q98" s="7" t="s">
        <v>5313</v>
      </c>
      <c r="R98" s="7" t="s">
        <v>4782</v>
      </c>
      <c r="S98" s="7">
        <f t="array" ref="S98">SUM(IFERROR(IF(MATCH(I98:R98,$F$4:$Q$4,0)&gt;0,1,0),0))</f>
        <v>2</v>
      </c>
      <c r="T98" s="7">
        <f t="shared" ca="1" si="24"/>
        <v>4</v>
      </c>
      <c r="U98" s="7">
        <f ca="1">T98+COUNTIF(T$5:$T97,T98)</f>
        <v>8</v>
      </c>
      <c r="AO98" s="25"/>
      <c r="AX98" s="28">
        <v>50000</v>
      </c>
      <c r="AY98" s="28" t="s">
        <v>4945</v>
      </c>
      <c r="AZ98" s="28" t="s">
        <v>5003</v>
      </c>
      <c r="BA98" s="28" t="s">
        <v>5117</v>
      </c>
      <c r="BB98" s="28">
        <v>120</v>
      </c>
      <c r="CD98" s="38">
        <v>94</v>
      </c>
      <c r="CE98" s="38">
        <f t="shared" si="25"/>
        <v>3.2534047618778015</v>
      </c>
      <c r="CF98" s="38">
        <f t="shared" si="30"/>
        <v>95.056510000000003</v>
      </c>
      <c r="CG98" s="38">
        <f t="shared" si="23"/>
        <v>95</v>
      </c>
      <c r="CP98" s="40">
        <v>446</v>
      </c>
      <c r="CQ98" s="41" t="s">
        <v>3507</v>
      </c>
      <c r="CR98" s="41" t="s">
        <v>5465</v>
      </c>
      <c r="CS98" s="41">
        <v>400</v>
      </c>
      <c r="CT98" s="41">
        <v>8</v>
      </c>
      <c r="CU98" s="41">
        <v>10</v>
      </c>
      <c r="CV98" s="41">
        <v>10</v>
      </c>
      <c r="CW98" s="40"/>
      <c r="CX98" s="41" t="s">
        <v>4716</v>
      </c>
      <c r="CY98" s="40" t="s">
        <v>4717</v>
      </c>
      <c r="DB98" t="s">
        <v>214</v>
      </c>
      <c r="DC98" s="7" t="str">
        <f t="shared" ca="1" si="29"/>
        <v>05_006</v>
      </c>
      <c r="DD98" t="s">
        <v>4989</v>
      </c>
      <c r="DE98" t="s">
        <v>4896</v>
      </c>
      <c r="DF98" t="s">
        <v>5058</v>
      </c>
      <c r="DG98" t="s">
        <v>4899</v>
      </c>
      <c r="DH98" t="s">
        <v>4900</v>
      </c>
    </row>
    <row r="99" spans="4:112" ht="14.6">
      <c r="D99" s="6" t="str">
        <f t="shared" si="27"/>
        <v>家乡建筑-&gt;隐形炸弹</v>
      </c>
      <c r="E99" s="6" t="str">
        <f t="shared" si="28"/>
        <v>#'2.3家乡建筑'!AM105:AR117</v>
      </c>
      <c r="F99" s="6" t="s">
        <v>1352</v>
      </c>
      <c r="G99" s="6" t="s">
        <v>5466</v>
      </c>
      <c r="H99" s="6" t="s">
        <v>5312</v>
      </c>
      <c r="I99" s="7" t="s">
        <v>4801</v>
      </c>
      <c r="J99" s="7" t="s">
        <v>5226</v>
      </c>
      <c r="K99" s="7" t="s">
        <v>5293</v>
      </c>
      <c r="L99" s="7" t="s">
        <v>5015</v>
      </c>
      <c r="M99" s="7" t="s">
        <v>5016</v>
      </c>
      <c r="N99" s="7" t="s">
        <v>4782</v>
      </c>
      <c r="O99" s="7" t="s">
        <v>4782</v>
      </c>
      <c r="P99" s="7" t="s">
        <v>4782</v>
      </c>
      <c r="Q99" s="7" t="s">
        <v>4782</v>
      </c>
      <c r="R99" s="7" t="s">
        <v>4782</v>
      </c>
      <c r="S99" s="7">
        <f t="array" ref="S99">SUM(IFERROR(IF(MATCH(I99:R99,$F$4:$Q$4,0)&gt;0,1,0),0))</f>
        <v>0</v>
      </c>
      <c r="T99" s="7">
        <f t="shared" ca="1" si="24"/>
        <v>37</v>
      </c>
      <c r="U99" s="7">
        <f ca="1">T99+COUNTIF(T$5:$T98,T99)</f>
        <v>120</v>
      </c>
      <c r="AO99" s="25"/>
      <c r="AX99" s="28">
        <v>3000</v>
      </c>
      <c r="AY99" s="28" t="s">
        <v>5467</v>
      </c>
      <c r="AZ99" s="28" t="s">
        <v>4673</v>
      </c>
      <c r="BA99" s="28" t="s">
        <v>5468</v>
      </c>
      <c r="BB99" s="28">
        <v>20</v>
      </c>
      <c r="CD99" s="38">
        <v>95</v>
      </c>
      <c r="CE99" s="38">
        <f t="shared" si="25"/>
        <v>3.2586957671688066</v>
      </c>
      <c r="CF99" s="38">
        <f t="shared" si="30"/>
        <v>96.05498</v>
      </c>
      <c r="CG99" s="38">
        <f t="shared" si="23"/>
        <v>96</v>
      </c>
      <c r="CP99" s="40">
        <v>447</v>
      </c>
      <c r="CQ99" s="41" t="s">
        <v>3507</v>
      </c>
      <c r="CR99" s="41" t="s">
        <v>5469</v>
      </c>
      <c r="CS99" s="41">
        <v>800</v>
      </c>
      <c r="CT99" s="41">
        <v>24</v>
      </c>
      <c r="CU99" s="41">
        <v>5</v>
      </c>
      <c r="CV99" s="41">
        <v>15</v>
      </c>
      <c r="CW99" s="40"/>
      <c r="CX99" s="41" t="s">
        <v>4716</v>
      </c>
      <c r="CY99" s="40" t="s">
        <v>3104</v>
      </c>
      <c r="DB99" t="s">
        <v>215</v>
      </c>
      <c r="DC99" s="7" t="str">
        <f t="shared" ca="1" si="29"/>
        <v>05_001</v>
      </c>
      <c r="DD99" t="s">
        <v>5213</v>
      </c>
      <c r="DE99" t="s">
        <v>4784</v>
      </c>
      <c r="DF99" t="s">
        <v>4785</v>
      </c>
      <c r="DG99" t="s">
        <v>4873</v>
      </c>
      <c r="DH99" t="s">
        <v>4941</v>
      </c>
    </row>
    <row r="100" spans="4:112" ht="14.6">
      <c r="D100" s="6" t="str">
        <f t="shared" si="27"/>
        <v>家乡建筑-&gt;搜空地雷</v>
      </c>
      <c r="E100" s="6" t="str">
        <f t="shared" si="28"/>
        <v>#'2.3家乡建筑'!AT115:AY122</v>
      </c>
      <c r="F100" s="6" t="s">
        <v>1363</v>
      </c>
      <c r="G100" s="6" t="s">
        <v>5470</v>
      </c>
      <c r="H100" s="6" t="s">
        <v>5312</v>
      </c>
      <c r="I100" s="7" t="s">
        <v>4801</v>
      </c>
      <c r="J100" s="7" t="s">
        <v>5471</v>
      </c>
      <c r="K100" s="7" t="s">
        <v>5429</v>
      </c>
      <c r="L100" s="7" t="s">
        <v>5102</v>
      </c>
      <c r="M100" s="7" t="s">
        <v>5120</v>
      </c>
      <c r="N100" s="7" t="s">
        <v>5380</v>
      </c>
      <c r="O100" s="7" t="s">
        <v>4782</v>
      </c>
      <c r="P100" s="7" t="s">
        <v>4782</v>
      </c>
      <c r="Q100" s="7" t="s">
        <v>4782</v>
      </c>
      <c r="R100" s="7" t="s">
        <v>4782</v>
      </c>
      <c r="S100" s="7">
        <f t="array" ref="S100">SUM(IFERROR(IF(MATCH(I100:R100,$F$4:$Q$4,0)&gt;0,1,0),0))</f>
        <v>1</v>
      </c>
      <c r="T100" s="7">
        <f t="shared" ca="1" si="24"/>
        <v>20</v>
      </c>
      <c r="U100" s="7">
        <f ca="1">T100+COUNTIF(T$5:$T99,T100)</f>
        <v>24</v>
      </c>
      <c r="Y100" s="12" t="s">
        <v>104</v>
      </c>
      <c r="Z100" s="7">
        <f ca="1">OFFSET(AA100,0,$Z$5-1)</f>
        <v>85</v>
      </c>
      <c r="AA100">
        <v>0</v>
      </c>
      <c r="AB100">
        <v>0</v>
      </c>
      <c r="AC100">
        <v>0</v>
      </c>
      <c r="AD100">
        <v>0</v>
      </c>
      <c r="AE100">
        <v>0</v>
      </c>
      <c r="AF100">
        <v>0</v>
      </c>
      <c r="AG100">
        <v>5</v>
      </c>
      <c r="AH100">
        <v>10</v>
      </c>
      <c r="AI100">
        <v>30</v>
      </c>
      <c r="AJ100">
        <v>40</v>
      </c>
      <c r="AK100">
        <v>50</v>
      </c>
      <c r="AL100">
        <v>65</v>
      </c>
      <c r="AM100" s="15">
        <v>75</v>
      </c>
      <c r="AN100" s="15">
        <v>80</v>
      </c>
      <c r="AO100" s="21">
        <v>85</v>
      </c>
      <c r="AX100" s="28">
        <v>7500</v>
      </c>
      <c r="AY100" s="28" t="s">
        <v>4687</v>
      </c>
      <c r="AZ100" s="28" t="s">
        <v>4688</v>
      </c>
      <c r="BA100" s="28" t="s">
        <v>4713</v>
      </c>
      <c r="BB100" s="28">
        <v>40</v>
      </c>
      <c r="CD100" s="38">
        <v>96</v>
      </c>
      <c r="CE100" s="38">
        <f t="shared" si="25"/>
        <v>3.2639313692630476</v>
      </c>
      <c r="CF100" s="38">
        <f t="shared" ref="CF100:CF131" si="32">MAX(CEILING($CC$4*(1-CE100*$CC$6)/$CC$8,1),0)+CD100+ROUND(MOD($CC$4*(1-CE100*$CC$6),$CC$8)/$CC$4,5)</f>
        <v>97.053460000000001</v>
      </c>
      <c r="CG100" s="38">
        <f t="shared" si="23"/>
        <v>97</v>
      </c>
      <c r="CP100" s="40">
        <v>448</v>
      </c>
      <c r="CQ100" s="41" t="s">
        <v>3512</v>
      </c>
      <c r="CR100" s="41" t="s">
        <v>5472</v>
      </c>
      <c r="CS100" s="41">
        <v>150</v>
      </c>
      <c r="CT100" s="41">
        <v>3</v>
      </c>
      <c r="CU100" s="41">
        <v>20</v>
      </c>
      <c r="CV100" s="41">
        <v>5</v>
      </c>
      <c r="CW100" s="40"/>
      <c r="CX100" s="41" t="s">
        <v>4716</v>
      </c>
      <c r="CY100" s="40" t="s">
        <v>3096</v>
      </c>
      <c r="DC100" s="7">
        <f t="shared" ca="1" si="29"/>
        <v>0</v>
      </c>
    </row>
    <row r="101" spans="4:112" ht="14.6">
      <c r="D101" s="6" t="str">
        <f t="shared" si="27"/>
        <v>家乡建筑-&gt;隐形弹簧</v>
      </c>
      <c r="E101" s="6" t="str">
        <f t="shared" si="28"/>
        <v>#'2.3家乡建筑'!AT105:AY111</v>
      </c>
      <c r="F101" s="6" t="s">
        <v>1366</v>
      </c>
      <c r="G101" s="6" t="s">
        <v>5473</v>
      </c>
      <c r="H101" s="6" t="s">
        <v>5312</v>
      </c>
      <c r="I101" s="7" t="s">
        <v>4801</v>
      </c>
      <c r="J101" s="7" t="s">
        <v>5226</v>
      </c>
      <c r="K101" s="7" t="s">
        <v>5293</v>
      </c>
      <c r="L101" s="7" t="s">
        <v>5016</v>
      </c>
      <c r="M101" s="7" t="s">
        <v>5474</v>
      </c>
      <c r="N101" s="7" t="s">
        <v>4782</v>
      </c>
      <c r="O101" s="7" t="s">
        <v>4782</v>
      </c>
      <c r="P101" s="7" t="s">
        <v>4782</v>
      </c>
      <c r="Q101" s="7" t="s">
        <v>4782</v>
      </c>
      <c r="R101" s="7" t="s">
        <v>4782</v>
      </c>
      <c r="S101" s="7">
        <f t="array" ref="S101">SUM(IFERROR(IF(MATCH(I101:R101,$F$4:$Q$4,0)&gt;0,1,0),0))</f>
        <v>0</v>
      </c>
      <c r="T101" s="7">
        <f t="shared" ca="1" si="24"/>
        <v>37</v>
      </c>
      <c r="U101" s="7">
        <f ca="1">T101+COUNTIF(T$5:$T100,T101)</f>
        <v>121</v>
      </c>
      <c r="Y101" s="12" t="s">
        <v>5475</v>
      </c>
      <c r="Z101" s="7">
        <f ca="1">OFFSET(AA101,0,$Z$5-1)</f>
        <v>85</v>
      </c>
      <c r="AA101">
        <v>0</v>
      </c>
      <c r="AB101">
        <v>0</v>
      </c>
      <c r="AC101">
        <v>0</v>
      </c>
      <c r="AD101">
        <v>0</v>
      </c>
      <c r="AE101">
        <v>0</v>
      </c>
      <c r="AF101">
        <v>0</v>
      </c>
      <c r="AG101">
        <v>0</v>
      </c>
      <c r="AH101">
        <v>0</v>
      </c>
      <c r="AI101">
        <v>30</v>
      </c>
      <c r="AJ101">
        <v>40</v>
      </c>
      <c r="AK101">
        <v>50</v>
      </c>
      <c r="AL101">
        <v>65</v>
      </c>
      <c r="AM101" s="15">
        <v>75</v>
      </c>
      <c r="AN101" s="15">
        <v>80</v>
      </c>
      <c r="AO101" s="21">
        <v>85</v>
      </c>
      <c r="AX101" s="28">
        <v>12000</v>
      </c>
      <c r="AY101" s="28" t="s">
        <v>4712</v>
      </c>
      <c r="AZ101" s="28" t="s">
        <v>4845</v>
      </c>
      <c r="BA101" s="28" t="s">
        <v>5476</v>
      </c>
      <c r="BB101" s="28">
        <v>60</v>
      </c>
      <c r="CD101" s="38">
        <v>97</v>
      </c>
      <c r="CE101" s="38">
        <f t="shared" si="25"/>
        <v>3.2691127164133067</v>
      </c>
      <c r="CF101" s="38">
        <f t="shared" si="32"/>
        <v>98.051959999999994</v>
      </c>
      <c r="CG101" s="38">
        <f t="shared" si="23"/>
        <v>98</v>
      </c>
      <c r="CP101" s="40">
        <v>449</v>
      </c>
      <c r="CQ101" s="41" t="s">
        <v>3512</v>
      </c>
      <c r="CR101" s="41" t="s">
        <v>5477</v>
      </c>
      <c r="CS101" s="41">
        <v>300</v>
      </c>
      <c r="CT101" s="41">
        <v>8</v>
      </c>
      <c r="CU101" s="41">
        <v>15</v>
      </c>
      <c r="CV101" s="41">
        <v>10</v>
      </c>
      <c r="CW101" s="40"/>
      <c r="CX101" s="41" t="s">
        <v>4716</v>
      </c>
      <c r="CY101" s="40" t="s">
        <v>4717</v>
      </c>
      <c r="DC101" s="7">
        <f t="shared" ca="1" si="29"/>
        <v>0</v>
      </c>
    </row>
    <row r="102" spans="4:112" ht="14.6">
      <c r="D102" s="6" t="str">
        <f t="shared" si="27"/>
        <v>家乡建筑-&gt;防空火箭</v>
      </c>
      <c r="E102" s="6" t="str">
        <f t="shared" si="28"/>
        <v>#'2.3家乡建筑'!P29:W43</v>
      </c>
      <c r="F102" s="6" t="s">
        <v>1118</v>
      </c>
      <c r="G102" s="6" t="s">
        <v>5478</v>
      </c>
      <c r="H102" s="6" t="s">
        <v>5312</v>
      </c>
      <c r="I102" s="7" t="s">
        <v>4801</v>
      </c>
      <c r="J102" s="7" t="s">
        <v>5479</v>
      </c>
      <c r="K102" s="7" t="s">
        <v>5429</v>
      </c>
      <c r="L102" s="7" t="s">
        <v>5149</v>
      </c>
      <c r="M102" s="7" t="s">
        <v>4870</v>
      </c>
      <c r="N102" s="7" t="s">
        <v>4782</v>
      </c>
      <c r="O102" s="7" t="s">
        <v>4782</v>
      </c>
      <c r="P102" s="7" t="s">
        <v>4782</v>
      </c>
      <c r="Q102" s="7" t="s">
        <v>4782</v>
      </c>
      <c r="R102" s="7" t="s">
        <v>4782</v>
      </c>
      <c r="S102" s="7">
        <f t="array" ref="S102">SUM(IFERROR(IF(MATCH(I102:R102,$F$4:$Q$4,0)&gt;0,1,0),0))</f>
        <v>0</v>
      </c>
      <c r="T102" s="7">
        <f t="shared" ref="T102:T133" ca="1" si="33">RANK(S102,INDIRECT($T$4))</f>
        <v>37</v>
      </c>
      <c r="U102" s="7">
        <f ca="1">T102+COUNTIF(T$5:$T101,T102)</f>
        <v>122</v>
      </c>
      <c r="Y102" s="12" t="s">
        <v>113</v>
      </c>
      <c r="Z102" s="7">
        <f ca="1">OFFSET(AA102,0,$Z$5-1)</f>
        <v>60</v>
      </c>
      <c r="AA102">
        <v>0</v>
      </c>
      <c r="AB102">
        <v>0</v>
      </c>
      <c r="AC102">
        <v>0</v>
      </c>
      <c r="AD102">
        <v>0</v>
      </c>
      <c r="AE102">
        <v>0</v>
      </c>
      <c r="AF102">
        <v>0</v>
      </c>
      <c r="AG102">
        <v>0</v>
      </c>
      <c r="AH102">
        <v>0</v>
      </c>
      <c r="AI102">
        <v>0</v>
      </c>
      <c r="AJ102">
        <v>0</v>
      </c>
      <c r="AK102">
        <v>20</v>
      </c>
      <c r="AL102">
        <v>40</v>
      </c>
      <c r="AM102" s="15">
        <v>50</v>
      </c>
      <c r="AN102" s="15">
        <v>55</v>
      </c>
      <c r="AO102" s="21">
        <v>60</v>
      </c>
      <c r="AX102" s="28">
        <v>18000</v>
      </c>
      <c r="AY102" s="28" t="s">
        <v>4771</v>
      </c>
      <c r="AZ102" s="28" t="s">
        <v>4737</v>
      </c>
      <c r="BA102" s="28" t="s">
        <v>4674</v>
      </c>
      <c r="BB102" s="28">
        <v>80</v>
      </c>
      <c r="CD102" s="38">
        <v>98</v>
      </c>
      <c r="CE102" s="38">
        <f t="shared" si="25"/>
        <v>3.2742409215415118</v>
      </c>
      <c r="CF102" s="38">
        <f t="shared" si="32"/>
        <v>99.050470000000004</v>
      </c>
      <c r="CG102" s="38">
        <f t="shared" si="23"/>
        <v>99</v>
      </c>
      <c r="CP102" s="40">
        <v>450</v>
      </c>
      <c r="CQ102" s="41" t="s">
        <v>3512</v>
      </c>
      <c r="CR102" s="41" t="s">
        <v>5480</v>
      </c>
      <c r="CS102" s="41">
        <v>600</v>
      </c>
      <c r="CT102" s="41">
        <v>24</v>
      </c>
      <c r="CU102" s="41">
        <v>10</v>
      </c>
      <c r="CV102" s="41">
        <v>15</v>
      </c>
      <c r="CW102" s="40"/>
      <c r="CX102" s="41" t="s">
        <v>4716</v>
      </c>
      <c r="CY102" s="40" t="s">
        <v>3104</v>
      </c>
      <c r="DB102" t="s">
        <v>219</v>
      </c>
      <c r="DC102" s="7">
        <f t="shared" ca="1" si="29"/>
        <v>10</v>
      </c>
      <c r="DD102">
        <v>7</v>
      </c>
      <c r="DE102">
        <v>8</v>
      </c>
      <c r="DF102">
        <v>10</v>
      </c>
      <c r="DG102">
        <v>10</v>
      </c>
      <c r="DH102">
        <v>10</v>
      </c>
    </row>
    <row r="103" spans="4:112" ht="14.6">
      <c r="D103" s="6" t="str">
        <f t="shared" si="27"/>
        <v>家乡建筑-&gt;伏击电塔</v>
      </c>
      <c r="E103" s="6" t="str">
        <f t="shared" si="28"/>
        <v>#'2.3家乡建筑'!P45:W59</v>
      </c>
      <c r="F103" s="6" t="s">
        <v>1133</v>
      </c>
      <c r="G103" s="6" t="s">
        <v>5481</v>
      </c>
      <c r="H103" s="6" t="s">
        <v>5312</v>
      </c>
      <c r="I103" s="7" t="s">
        <v>4801</v>
      </c>
      <c r="J103" s="7" t="s">
        <v>5482</v>
      </c>
      <c r="K103" s="7" t="s">
        <v>5441</v>
      </c>
      <c r="L103" s="7" t="s">
        <v>5121</v>
      </c>
      <c r="M103" s="7" t="s">
        <v>5313</v>
      </c>
      <c r="N103" s="7" t="s">
        <v>5459</v>
      </c>
      <c r="O103" s="7" t="s">
        <v>5460</v>
      </c>
      <c r="P103" s="7" t="s">
        <v>5461</v>
      </c>
      <c r="Q103" s="7" t="s">
        <v>4782</v>
      </c>
      <c r="R103" s="7" t="s">
        <v>4782</v>
      </c>
      <c r="S103" s="7">
        <f t="array" ref="S103">SUM(IFERROR(IF(MATCH(I103:R103,$F$4:$Q$4,0)&gt;0,1,0),0))</f>
        <v>0</v>
      </c>
      <c r="T103" s="7">
        <f t="shared" ca="1" si="33"/>
        <v>37</v>
      </c>
      <c r="U103" s="7">
        <f ca="1">T103+COUNTIF(T$5:$T102,T103)</f>
        <v>123</v>
      </c>
      <c r="Y103" s="12" t="s">
        <v>117</v>
      </c>
      <c r="Z103" s="7">
        <f ca="1">OFFSET(AA103,0,$Z$5-1)</f>
        <v>35</v>
      </c>
      <c r="AM103" s="15">
        <v>25</v>
      </c>
      <c r="AN103" s="15">
        <v>30</v>
      </c>
      <c r="AO103" s="21">
        <v>35</v>
      </c>
      <c r="AX103" s="28">
        <v>30000</v>
      </c>
      <c r="AY103" s="28" t="s">
        <v>4751</v>
      </c>
      <c r="AZ103" s="28" t="s">
        <v>4855</v>
      </c>
      <c r="BA103" s="28" t="s">
        <v>4747</v>
      </c>
      <c r="BB103" s="28">
        <v>100</v>
      </c>
      <c r="CD103" s="38">
        <v>99</v>
      </c>
      <c r="CE103" s="38">
        <f t="shared" si="25"/>
        <v>3.2793170636734916</v>
      </c>
      <c r="CF103" s="38">
        <f t="shared" si="32"/>
        <v>100.04900000000001</v>
      </c>
      <c r="CG103" s="38">
        <f t="shared" si="23"/>
        <v>100</v>
      </c>
      <c r="CP103" s="40">
        <v>451</v>
      </c>
      <c r="CQ103" s="41" t="s">
        <v>3517</v>
      </c>
      <c r="CR103" s="41" t="s">
        <v>5483</v>
      </c>
      <c r="CS103" s="41">
        <v>200</v>
      </c>
      <c r="CT103" s="41">
        <v>3</v>
      </c>
      <c r="CU103" s="41">
        <v>20</v>
      </c>
      <c r="CV103" s="41">
        <v>5</v>
      </c>
      <c r="CW103" s="40"/>
      <c r="CX103" s="41" t="s">
        <v>4716</v>
      </c>
      <c r="CY103" s="40" t="s">
        <v>3096</v>
      </c>
      <c r="DB103" t="s">
        <v>221</v>
      </c>
      <c r="DC103" s="7">
        <f t="shared" ca="1" si="29"/>
        <v>8</v>
      </c>
      <c r="DD103">
        <v>4</v>
      </c>
      <c r="DE103">
        <v>4</v>
      </c>
      <c r="DF103">
        <v>5</v>
      </c>
      <c r="DG103">
        <v>7</v>
      </c>
      <c r="DH103">
        <v>8</v>
      </c>
    </row>
    <row r="104" spans="4:112" ht="14.6">
      <c r="D104" s="6" t="str">
        <f t="shared" si="27"/>
        <v>家乡建筑-&gt;箭塔</v>
      </c>
      <c r="E104" s="6" t="str">
        <f t="shared" si="28"/>
        <v>#'2.3家乡建筑'!P5:X27</v>
      </c>
      <c r="F104" s="6" t="s">
        <v>1082</v>
      </c>
      <c r="G104" s="6" t="s">
        <v>5484</v>
      </c>
      <c r="H104" s="6" t="s">
        <v>5312</v>
      </c>
      <c r="I104" s="7" t="s">
        <v>4801</v>
      </c>
      <c r="J104" s="7" t="s">
        <v>4870</v>
      </c>
      <c r="K104" s="7" t="s">
        <v>5313</v>
      </c>
      <c r="L104" s="7" t="s">
        <v>4782</v>
      </c>
      <c r="M104" s="7" t="s">
        <v>4782</v>
      </c>
      <c r="N104" s="7" t="s">
        <v>4782</v>
      </c>
      <c r="O104" s="7" t="s">
        <v>4782</v>
      </c>
      <c r="P104" s="7" t="s">
        <v>4782</v>
      </c>
      <c r="Q104" s="7" t="s">
        <v>4782</v>
      </c>
      <c r="R104" s="7" t="s">
        <v>4782</v>
      </c>
      <c r="S104" s="7">
        <f t="array" ref="S104">SUM(IFERROR(IF(MATCH(I104:R104,$F$4:$Q$4,0)&gt;0,1,0),0))</f>
        <v>0</v>
      </c>
      <c r="T104" s="7">
        <f t="shared" ca="1" si="33"/>
        <v>37</v>
      </c>
      <c r="U104" s="7">
        <f ca="1">T104+COUNTIF(T$5:$T103,T104)</f>
        <v>124</v>
      </c>
      <c r="AO104" s="25"/>
      <c r="AX104" s="28">
        <v>50000</v>
      </c>
      <c r="AY104" s="28" t="s">
        <v>4866</v>
      </c>
      <c r="AZ104" s="28" t="s">
        <v>4865</v>
      </c>
      <c r="BA104" s="28" t="s">
        <v>4752</v>
      </c>
      <c r="BB104" s="28">
        <v>120</v>
      </c>
      <c r="CD104" s="38">
        <v>100</v>
      </c>
      <c r="CE104" s="38">
        <f t="shared" si="25"/>
        <v>3.2843421893016322</v>
      </c>
      <c r="CF104" s="38">
        <f t="shared" si="32"/>
        <v>101.04754</v>
      </c>
      <c r="CG104" s="38">
        <f t="shared" si="23"/>
        <v>101</v>
      </c>
      <c r="CP104" s="40">
        <v>452</v>
      </c>
      <c r="CQ104" s="41" t="s">
        <v>3517</v>
      </c>
      <c r="CR104" s="41" t="s">
        <v>5485</v>
      </c>
      <c r="CS104" s="41">
        <v>400</v>
      </c>
      <c r="CT104" s="41">
        <v>8</v>
      </c>
      <c r="CU104" s="41">
        <v>15</v>
      </c>
      <c r="CV104" s="41">
        <v>10</v>
      </c>
      <c r="CW104" s="40"/>
      <c r="CX104" s="41" t="s">
        <v>4716</v>
      </c>
      <c r="CY104" s="40" t="s">
        <v>4717</v>
      </c>
      <c r="DC104" s="7"/>
    </row>
    <row r="105" spans="4:112" ht="14.6">
      <c r="D105" s="6" t="str">
        <f t="shared" si="27"/>
        <v>家乡建筑-&gt;地狱之塔</v>
      </c>
      <c r="E105" s="6" t="str">
        <f t="shared" si="28"/>
        <v>#'2.3家乡建筑'!P62:y74</v>
      </c>
      <c r="F105" s="6" t="s">
        <v>1142</v>
      </c>
      <c r="G105" s="6" t="s">
        <v>5486</v>
      </c>
      <c r="H105" s="6" t="s">
        <v>5312</v>
      </c>
      <c r="I105" s="7" t="s">
        <v>4801</v>
      </c>
      <c r="J105" s="7" t="s">
        <v>5102</v>
      </c>
      <c r="K105" s="7" t="s">
        <v>5203</v>
      </c>
      <c r="L105" s="7" t="s">
        <v>4849</v>
      </c>
      <c r="M105" s="7" t="s">
        <v>5313</v>
      </c>
      <c r="N105" s="7" t="s">
        <v>5149</v>
      </c>
      <c r="O105" s="7" t="s">
        <v>5487</v>
      </c>
      <c r="P105" s="7" t="s">
        <v>4782</v>
      </c>
      <c r="Q105" s="7" t="s">
        <v>4782</v>
      </c>
      <c r="R105" s="7" t="s">
        <v>4782</v>
      </c>
      <c r="S105" s="7">
        <f t="array" ref="S105">SUM(IFERROR(IF(MATCH(I105:R105,$F$4:$Q$4,0)&gt;0,1,0),0))</f>
        <v>2</v>
      </c>
      <c r="T105" s="7">
        <f t="shared" ca="1" si="33"/>
        <v>4</v>
      </c>
      <c r="U105" s="7">
        <f ca="1">T105+COUNTIF(T$5:$T104,T105)</f>
        <v>9</v>
      </c>
      <c r="Y105" t="s">
        <v>119</v>
      </c>
      <c r="Z105" s="7">
        <f ca="1">OFFSET(AA105,0,$Z$5-1)</f>
        <v>10</v>
      </c>
      <c r="AA105">
        <v>0</v>
      </c>
      <c r="AB105">
        <v>0</v>
      </c>
      <c r="AC105">
        <v>0</v>
      </c>
      <c r="AD105">
        <v>0</v>
      </c>
      <c r="AE105">
        <v>0</v>
      </c>
      <c r="AF105">
        <v>0</v>
      </c>
      <c r="AG105">
        <v>0</v>
      </c>
      <c r="AH105">
        <v>0</v>
      </c>
      <c r="AI105">
        <v>0</v>
      </c>
      <c r="AJ105">
        <v>0</v>
      </c>
      <c r="AK105">
        <v>0</v>
      </c>
      <c r="AL105">
        <v>0</v>
      </c>
      <c r="AM105">
        <v>0</v>
      </c>
      <c r="AN105">
        <v>10</v>
      </c>
      <c r="AO105" s="25">
        <v>10</v>
      </c>
      <c r="AX105" s="28">
        <v>3000</v>
      </c>
      <c r="AY105" s="28" t="s">
        <v>5467</v>
      </c>
      <c r="AZ105" s="28" t="s">
        <v>4770</v>
      </c>
      <c r="BA105" s="28" t="s">
        <v>4714</v>
      </c>
      <c r="BB105" s="28">
        <v>20</v>
      </c>
      <c r="CD105" s="38">
        <v>101</v>
      </c>
      <c r="CE105" s="38">
        <f t="shared" si="25"/>
        <v>3.2893173136797418</v>
      </c>
      <c r="CF105" s="38">
        <f t="shared" si="32"/>
        <v>102.0461</v>
      </c>
      <c r="CG105" s="38">
        <f t="shared" si="23"/>
        <v>102</v>
      </c>
      <c r="CP105" s="40">
        <v>453</v>
      </c>
      <c r="CQ105" s="41" t="s">
        <v>3517</v>
      </c>
      <c r="CR105" s="41" t="s">
        <v>5488</v>
      </c>
      <c r="CS105" s="41">
        <v>800</v>
      </c>
      <c r="CT105" s="41">
        <v>24</v>
      </c>
      <c r="CU105" s="41">
        <v>10</v>
      </c>
      <c r="CV105" s="41">
        <v>15</v>
      </c>
      <c r="CW105" s="40"/>
      <c r="CX105" s="41" t="s">
        <v>4716</v>
      </c>
      <c r="CY105" s="40" t="s">
        <v>3104</v>
      </c>
      <c r="DC105" s="7"/>
    </row>
    <row r="106" spans="4:112" ht="14.6">
      <c r="D106" s="6" t="str">
        <f t="shared" si="27"/>
        <v>家乡建筑-&gt;巨型地狱塔</v>
      </c>
      <c r="E106" s="6" t="str">
        <f t="shared" si="28"/>
        <v>#'2.3家乡建筑'!P77:Y84</v>
      </c>
      <c r="F106" s="6" t="s">
        <v>5489</v>
      </c>
      <c r="G106" s="6" t="s">
        <v>5490</v>
      </c>
      <c r="H106" s="6" t="s">
        <v>5312</v>
      </c>
      <c r="I106" s="7" t="s">
        <v>4801</v>
      </c>
      <c r="J106" s="7" t="s">
        <v>4927</v>
      </c>
      <c r="K106" s="7" t="s">
        <v>5233</v>
      </c>
      <c r="L106" s="7" t="s">
        <v>5102</v>
      </c>
      <c r="M106" s="7" t="s">
        <v>5203</v>
      </c>
      <c r="N106" s="7" t="s">
        <v>5313</v>
      </c>
      <c r="O106" s="7" t="s">
        <v>4782</v>
      </c>
      <c r="P106" s="7" t="s">
        <v>4782</v>
      </c>
      <c r="Q106" s="7" t="s">
        <v>4782</v>
      </c>
      <c r="R106" s="7" t="s">
        <v>4782</v>
      </c>
      <c r="S106" s="7">
        <f t="array" ref="S106">SUM(IFERROR(IF(MATCH(I106:R106,$F$4:$Q$4,0)&gt;0,1,0),0))</f>
        <v>2</v>
      </c>
      <c r="T106" s="7">
        <f t="shared" ca="1" si="33"/>
        <v>4</v>
      </c>
      <c r="U106" s="7">
        <f ca="1">T106+COUNTIF(T$5:$T105,T106)</f>
        <v>10</v>
      </c>
      <c r="Y106" t="s">
        <v>122</v>
      </c>
      <c r="Z106" s="7">
        <f ca="1">OFFSET(AA106,0,$Z$5-1)</f>
        <v>10</v>
      </c>
      <c r="AA106">
        <v>0</v>
      </c>
      <c r="AB106">
        <v>0</v>
      </c>
      <c r="AC106">
        <v>0</v>
      </c>
      <c r="AD106">
        <v>0</v>
      </c>
      <c r="AE106">
        <v>0</v>
      </c>
      <c r="AF106">
        <v>0</v>
      </c>
      <c r="AG106">
        <v>0</v>
      </c>
      <c r="AH106">
        <v>0</v>
      </c>
      <c r="AI106">
        <v>0</v>
      </c>
      <c r="AJ106">
        <v>0</v>
      </c>
      <c r="AK106">
        <v>0</v>
      </c>
      <c r="AL106">
        <v>0</v>
      </c>
      <c r="AM106">
        <v>0</v>
      </c>
      <c r="AN106">
        <v>10</v>
      </c>
      <c r="AO106" s="25">
        <v>10</v>
      </c>
      <c r="AX106" s="28">
        <v>7500</v>
      </c>
      <c r="AY106" s="28" t="s">
        <v>4687</v>
      </c>
      <c r="AZ106" s="28" t="s">
        <v>4674</v>
      </c>
      <c r="BA106" s="28" t="s">
        <v>4739</v>
      </c>
      <c r="BB106" s="28">
        <v>40</v>
      </c>
      <c r="CD106" s="38">
        <v>102</v>
      </c>
      <c r="CE106" s="38">
        <f t="shared" si="25"/>
        <v>3.2942434220541261</v>
      </c>
      <c r="CF106" s="38">
        <f t="shared" si="32"/>
        <v>103.04467</v>
      </c>
      <c r="CG106" s="38">
        <f t="shared" si="23"/>
        <v>103</v>
      </c>
      <c r="CP106" s="40">
        <v>454</v>
      </c>
      <c r="CQ106" s="41" t="s">
        <v>3523</v>
      </c>
      <c r="CR106" s="41" t="s">
        <v>5491</v>
      </c>
      <c r="CS106" s="41">
        <v>150</v>
      </c>
      <c r="CT106" s="41">
        <v>3</v>
      </c>
      <c r="CU106" s="41">
        <v>20</v>
      </c>
      <c r="CV106" s="41">
        <v>5</v>
      </c>
      <c r="CW106" s="40"/>
      <c r="CX106" s="41" t="s">
        <v>4716</v>
      </c>
      <c r="CY106" s="40" t="s">
        <v>3096</v>
      </c>
      <c r="DB106" t="s">
        <v>172</v>
      </c>
      <c r="DC106" s="7">
        <f ca="1">DC8</f>
        <v>5</v>
      </c>
    </row>
    <row r="107" spans="4:112" ht="14.6">
      <c r="D107" s="6" t="str">
        <f t="shared" si="27"/>
        <v>家乡建筑-&gt;骷髅陷阱</v>
      </c>
      <c r="E107" s="6" t="str">
        <f t="shared" si="28"/>
        <v>#'2.3家乡建筑'!BA119:BF125</v>
      </c>
      <c r="F107" s="6" t="s">
        <v>1374</v>
      </c>
      <c r="G107" s="6" t="s">
        <v>5492</v>
      </c>
      <c r="H107" s="6" t="s">
        <v>5312</v>
      </c>
      <c r="I107" s="7" t="s">
        <v>4801</v>
      </c>
      <c r="J107" s="7" t="s">
        <v>5010</v>
      </c>
      <c r="K107" s="7" t="s">
        <v>5234</v>
      </c>
      <c r="L107" s="7" t="s">
        <v>5436</v>
      </c>
      <c r="M107" s="7" t="s">
        <v>5437</v>
      </c>
      <c r="N107" s="7" t="s">
        <v>4782</v>
      </c>
      <c r="O107" s="7" t="s">
        <v>4782</v>
      </c>
      <c r="P107" s="7" t="s">
        <v>4782</v>
      </c>
      <c r="Q107" s="7" t="s">
        <v>4782</v>
      </c>
      <c r="R107" s="7" t="s">
        <v>4782</v>
      </c>
      <c r="S107" s="7">
        <f t="array" ref="S107">SUM(IFERROR(IF(MATCH(I107:R107,$F$4:$Q$4,0)&gt;0,1,0),0))</f>
        <v>0</v>
      </c>
      <c r="T107" s="7">
        <f t="shared" ca="1" si="33"/>
        <v>37</v>
      </c>
      <c r="U107" s="7">
        <f ca="1">T107+COUNTIF(T$5:$T106,T107)</f>
        <v>125</v>
      </c>
      <c r="Y107" t="s">
        <v>125</v>
      </c>
      <c r="Z107" s="7">
        <f ca="1">OFFSET(AA107,0,$Z$5-1)</f>
        <v>10</v>
      </c>
      <c r="AA107">
        <v>0</v>
      </c>
      <c r="AB107">
        <v>0</v>
      </c>
      <c r="AC107">
        <v>0</v>
      </c>
      <c r="AD107">
        <v>0</v>
      </c>
      <c r="AE107">
        <v>0</v>
      </c>
      <c r="AF107">
        <v>0</v>
      </c>
      <c r="AG107">
        <v>0</v>
      </c>
      <c r="AH107">
        <v>0</v>
      </c>
      <c r="AI107">
        <v>0</v>
      </c>
      <c r="AJ107">
        <v>0</v>
      </c>
      <c r="AK107">
        <v>0</v>
      </c>
      <c r="AL107">
        <v>0</v>
      </c>
      <c r="AM107">
        <v>0</v>
      </c>
      <c r="AN107">
        <v>10</v>
      </c>
      <c r="AO107" s="25">
        <v>10</v>
      </c>
      <c r="AX107" s="28">
        <v>12000</v>
      </c>
      <c r="AY107" s="28" t="s">
        <v>4910</v>
      </c>
      <c r="AZ107" s="28" t="s">
        <v>4771</v>
      </c>
      <c r="BA107" s="28" t="s">
        <v>3432</v>
      </c>
      <c r="BB107" s="28">
        <v>60</v>
      </c>
      <c r="CD107" s="38">
        <v>103</v>
      </c>
      <c r="CE107" s="38">
        <f t="shared" si="25"/>
        <v>3.2991214708346139</v>
      </c>
      <c r="CF107" s="38">
        <f t="shared" si="32"/>
        <v>104.04325</v>
      </c>
      <c r="CG107" s="38">
        <f t="shared" si="23"/>
        <v>104</v>
      </c>
      <c r="CP107" s="40">
        <v>455</v>
      </c>
      <c r="CQ107" s="41" t="s">
        <v>3523</v>
      </c>
      <c r="CR107" s="41" t="s">
        <v>5493</v>
      </c>
      <c r="CS107" s="41">
        <v>300</v>
      </c>
      <c r="CT107" s="41">
        <v>8</v>
      </c>
      <c r="CU107" s="41">
        <v>15</v>
      </c>
      <c r="CV107" s="41">
        <v>10</v>
      </c>
      <c r="CW107" s="40"/>
      <c r="CX107" s="41" t="s">
        <v>4716</v>
      </c>
      <c r="CY107" s="40" t="s">
        <v>4717</v>
      </c>
      <c r="DC107" s="7"/>
    </row>
    <row r="108" spans="4:112" ht="14.6">
      <c r="D108" s="6" t="str">
        <f t="shared" si="27"/>
        <v>家乡建筑-&gt;巨型炸弹</v>
      </c>
      <c r="E108" s="6" t="str">
        <f t="shared" si="28"/>
        <v>#'2.3家乡建筑'!BA106:BG115</v>
      </c>
      <c r="F108" s="6" t="s">
        <v>1370</v>
      </c>
      <c r="G108" s="6" t="s">
        <v>5494</v>
      </c>
      <c r="H108" s="6" t="s">
        <v>5312</v>
      </c>
      <c r="I108" s="7" t="s">
        <v>4801</v>
      </c>
      <c r="J108" s="7" t="s">
        <v>4927</v>
      </c>
      <c r="K108" s="7" t="s">
        <v>5233</v>
      </c>
      <c r="L108" s="7" t="s">
        <v>5015</v>
      </c>
      <c r="M108" s="7" t="s">
        <v>5016</v>
      </c>
      <c r="N108" s="7" t="s">
        <v>4782</v>
      </c>
      <c r="O108" s="7" t="s">
        <v>4782</v>
      </c>
      <c r="P108" s="7" t="s">
        <v>4782</v>
      </c>
      <c r="Q108" s="7" t="s">
        <v>4782</v>
      </c>
      <c r="R108" s="7" t="s">
        <v>4782</v>
      </c>
      <c r="S108" s="7">
        <f t="array" ref="S108">SUM(IFERROR(IF(MATCH(I108:R108,$F$4:$Q$4,0)&gt;0,1,0),0))</f>
        <v>0</v>
      </c>
      <c r="T108" s="7">
        <f t="shared" ca="1" si="33"/>
        <v>37</v>
      </c>
      <c r="U108" s="7">
        <f ca="1">T108+COUNTIF(T$5:$T107,T108)</f>
        <v>126</v>
      </c>
      <c r="Y108" t="s">
        <v>128</v>
      </c>
      <c r="Z108" s="7">
        <f ca="1">OFFSET(AA108,0,$Z$5-1)</f>
        <v>10</v>
      </c>
      <c r="AA108">
        <v>0</v>
      </c>
      <c r="AB108">
        <v>0</v>
      </c>
      <c r="AC108">
        <v>0</v>
      </c>
      <c r="AD108">
        <v>0</v>
      </c>
      <c r="AE108">
        <v>0</v>
      </c>
      <c r="AF108">
        <v>0</v>
      </c>
      <c r="AG108">
        <v>0</v>
      </c>
      <c r="AH108">
        <v>0</v>
      </c>
      <c r="AI108">
        <v>0</v>
      </c>
      <c r="AJ108">
        <v>0</v>
      </c>
      <c r="AK108">
        <v>0</v>
      </c>
      <c r="AL108">
        <v>0</v>
      </c>
      <c r="AM108">
        <v>0</v>
      </c>
      <c r="AN108">
        <v>10</v>
      </c>
      <c r="AO108" s="25">
        <v>10</v>
      </c>
      <c r="AX108" s="28">
        <v>18000</v>
      </c>
      <c r="AY108" s="28" t="s">
        <v>4909</v>
      </c>
      <c r="AZ108" s="28" t="s">
        <v>5495</v>
      </c>
      <c r="BA108" s="28" t="s">
        <v>4845</v>
      </c>
      <c r="BB108" s="28">
        <v>80</v>
      </c>
      <c r="CD108" s="38">
        <v>104</v>
      </c>
      <c r="CE108" s="38">
        <f t="shared" si="25"/>
        <v>3.3039523887090101</v>
      </c>
      <c r="CF108" s="38">
        <f t="shared" si="32"/>
        <v>105.04185</v>
      </c>
      <c r="CG108" s="38">
        <f t="shared" si="23"/>
        <v>105</v>
      </c>
      <c r="CP108" s="40">
        <v>456</v>
      </c>
      <c r="CQ108" s="41" t="s">
        <v>3523</v>
      </c>
      <c r="CR108" s="41" t="s">
        <v>5496</v>
      </c>
      <c r="CS108" s="41">
        <v>600</v>
      </c>
      <c r="CT108" s="41">
        <v>24</v>
      </c>
      <c r="CU108" s="41">
        <v>10</v>
      </c>
      <c r="CV108" s="41">
        <v>15</v>
      </c>
      <c r="CW108" s="40"/>
      <c r="CX108" s="41" t="s">
        <v>4716</v>
      </c>
      <c r="CY108" s="40" t="s">
        <v>3104</v>
      </c>
      <c r="DB108" t="s">
        <v>14</v>
      </c>
      <c r="DC108" s="7" t="str">
        <f ca="1">IF($DC$8&gt;0,OFFSET(DD108,0,$DC$8-1),0)</f>
        <v>05_120</v>
      </c>
      <c r="DD108" t="s">
        <v>5497</v>
      </c>
      <c r="DE108" t="s">
        <v>5498</v>
      </c>
      <c r="DF108" t="s">
        <v>5499</v>
      </c>
      <c r="DG108" t="s">
        <v>5500</v>
      </c>
      <c r="DH108" t="s">
        <v>5501</v>
      </c>
    </row>
    <row r="109" spans="4:112" ht="14.6">
      <c r="D109" s="6" t="str">
        <f t="shared" si="27"/>
        <v>夜本军队-&gt;战争机器</v>
      </c>
      <c r="E109" s="6" t="str">
        <f t="shared" si="28"/>
        <v>#'3.1夜本军队'!AF5:AP31</v>
      </c>
      <c r="F109" s="6" t="s">
        <v>1435</v>
      </c>
      <c r="G109" s="6" t="s">
        <v>5502</v>
      </c>
      <c r="H109" s="6" t="s">
        <v>5503</v>
      </c>
      <c r="I109" s="7" t="s">
        <v>5274</v>
      </c>
      <c r="J109" s="7" t="s">
        <v>4970</v>
      </c>
      <c r="K109" s="7" t="s">
        <v>5504</v>
      </c>
      <c r="L109" s="7" t="s">
        <v>5409</v>
      </c>
      <c r="M109" s="7" t="s">
        <v>5397</v>
      </c>
      <c r="N109" s="7" t="s">
        <v>4782</v>
      </c>
      <c r="O109" s="7" t="s">
        <v>4782</v>
      </c>
      <c r="P109" s="7" t="s">
        <v>4782</v>
      </c>
      <c r="Q109" s="7" t="s">
        <v>4782</v>
      </c>
      <c r="R109" s="7" t="s">
        <v>4782</v>
      </c>
      <c r="S109" s="7">
        <f t="array" ref="S109">SUM(IFERROR(IF(MATCH(I109:R109,$F$4:$Q$4,0)&gt;0,1,0),0))</f>
        <v>0</v>
      </c>
      <c r="T109" s="7">
        <f t="shared" ca="1" si="33"/>
        <v>37</v>
      </c>
      <c r="U109" s="7">
        <f ca="1">T109+COUNTIF(T$5:$T108,T109)</f>
        <v>127</v>
      </c>
      <c r="Y109" t="s">
        <v>129</v>
      </c>
      <c r="Z109" s="7">
        <f t="shared" ref="Z109:Z112" ca="1" si="34">OFFSET(AA109,0,$Z$5-1)</f>
        <v>10</v>
      </c>
      <c r="AA109">
        <v>0</v>
      </c>
      <c r="AB109">
        <v>0</v>
      </c>
      <c r="AC109">
        <v>0</v>
      </c>
      <c r="AD109">
        <v>0</v>
      </c>
      <c r="AE109">
        <v>0</v>
      </c>
      <c r="AF109">
        <v>0</v>
      </c>
      <c r="AG109">
        <v>0</v>
      </c>
      <c r="AH109">
        <v>0</v>
      </c>
      <c r="AI109">
        <v>0</v>
      </c>
      <c r="AJ109">
        <v>0</v>
      </c>
      <c r="AK109">
        <v>0</v>
      </c>
      <c r="AL109">
        <v>0</v>
      </c>
      <c r="AM109">
        <v>0</v>
      </c>
      <c r="AN109">
        <v>0</v>
      </c>
      <c r="AO109">
        <v>10</v>
      </c>
      <c r="AX109" s="28">
        <v>30000</v>
      </c>
      <c r="AY109" s="28" t="s">
        <v>5164</v>
      </c>
      <c r="AZ109" s="28" t="s">
        <v>5505</v>
      </c>
      <c r="BA109" s="28" t="s">
        <v>4738</v>
      </c>
      <c r="BB109" s="28">
        <v>100</v>
      </c>
      <c r="CD109" s="38">
        <v>105</v>
      </c>
      <c r="CE109" s="38">
        <f t="shared" si="25"/>
        <v>3.3087370777042255</v>
      </c>
      <c r="CF109" s="38">
        <f t="shared" si="32"/>
        <v>106.04047</v>
      </c>
      <c r="CG109" s="38">
        <f t="shared" si="23"/>
        <v>106</v>
      </c>
      <c r="CP109" s="40">
        <v>457</v>
      </c>
      <c r="CQ109" s="41" t="s">
        <v>3529</v>
      </c>
      <c r="CR109" s="41" t="s">
        <v>5506</v>
      </c>
      <c r="CS109" s="41">
        <v>200</v>
      </c>
      <c r="CT109" s="41">
        <v>3</v>
      </c>
      <c r="CU109" s="41">
        <v>15</v>
      </c>
      <c r="CV109" s="41">
        <v>5</v>
      </c>
      <c r="CW109" s="40"/>
      <c r="CX109" s="41" t="s">
        <v>4716</v>
      </c>
      <c r="CY109" s="40" t="s">
        <v>3096</v>
      </c>
      <c r="DB109" t="s">
        <v>2</v>
      </c>
      <c r="DC109" s="7" t="str">
        <f t="shared" ref="DC109:DC135" ca="1" si="35">IF($DC$8&gt;0,OFFSET(DD109,0,$DC$8-1),0)</f>
        <v>05_016</v>
      </c>
      <c r="DD109" t="s">
        <v>5507</v>
      </c>
      <c r="DE109" t="s">
        <v>5361</v>
      </c>
      <c r="DF109" t="s">
        <v>5508</v>
      </c>
      <c r="DG109" t="s">
        <v>5509</v>
      </c>
      <c r="DH109" t="s">
        <v>5510</v>
      </c>
    </row>
    <row r="110" spans="4:112" ht="14.6">
      <c r="D110" s="6" t="str">
        <f t="shared" si="27"/>
        <v>夜本军队-&gt;野猪飞骑</v>
      </c>
      <c r="E110" s="6" t="str">
        <f t="shared" si="28"/>
        <v>#'3.1夜本军队'!F115:P134</v>
      </c>
      <c r="F110" s="6" t="s">
        <v>1471</v>
      </c>
      <c r="G110" s="6" t="s">
        <v>5511</v>
      </c>
      <c r="H110" s="6" t="s">
        <v>5503</v>
      </c>
      <c r="I110" s="7" t="s">
        <v>5274</v>
      </c>
      <c r="J110" s="7" t="s">
        <v>4829</v>
      </c>
      <c r="K110" s="7" t="s">
        <v>4902</v>
      </c>
      <c r="L110" s="7" t="s">
        <v>4968</v>
      </c>
      <c r="M110" s="7" t="s">
        <v>4903</v>
      </c>
      <c r="N110" s="7" t="s">
        <v>4904</v>
      </c>
      <c r="O110" s="7" t="s">
        <v>4782</v>
      </c>
      <c r="P110" s="7" t="s">
        <v>4782</v>
      </c>
      <c r="Q110" s="7" t="s">
        <v>4782</v>
      </c>
      <c r="R110" s="7" t="s">
        <v>4782</v>
      </c>
      <c r="S110" s="7">
        <f t="array" ref="S110">SUM(IFERROR(IF(MATCH(I110:R110,$F$4:$Q$4,0)&gt;0,1,0),0))</f>
        <v>1</v>
      </c>
      <c r="T110" s="7">
        <f t="shared" ca="1" si="33"/>
        <v>20</v>
      </c>
      <c r="U110" s="7">
        <f ca="1">T110+COUNTIF(T$5:$T109,T110)</f>
        <v>25</v>
      </c>
      <c r="Y110" t="s">
        <v>131</v>
      </c>
      <c r="Z110" s="7">
        <f t="shared" ca="1" si="34"/>
        <v>10</v>
      </c>
      <c r="AA110">
        <v>0</v>
      </c>
      <c r="AB110">
        <v>0</v>
      </c>
      <c r="AC110">
        <v>0</v>
      </c>
      <c r="AD110">
        <v>0</v>
      </c>
      <c r="AE110">
        <v>0</v>
      </c>
      <c r="AF110">
        <v>0</v>
      </c>
      <c r="AG110">
        <v>0</v>
      </c>
      <c r="AH110">
        <v>0</v>
      </c>
      <c r="AI110">
        <v>0</v>
      </c>
      <c r="AJ110">
        <v>0</v>
      </c>
      <c r="AK110">
        <v>0</v>
      </c>
      <c r="AL110">
        <v>0</v>
      </c>
      <c r="AM110">
        <v>0</v>
      </c>
      <c r="AN110">
        <v>0</v>
      </c>
      <c r="AO110">
        <v>10</v>
      </c>
      <c r="AX110" s="28">
        <v>50000</v>
      </c>
      <c r="AY110" s="28" t="s">
        <v>5376</v>
      </c>
      <c r="AZ110" s="28" t="s">
        <v>5004</v>
      </c>
      <c r="BA110" s="28" t="s">
        <v>5512</v>
      </c>
      <c r="BB110" s="28">
        <v>120</v>
      </c>
      <c r="CD110" s="38">
        <v>106</v>
      </c>
      <c r="CE110" s="38">
        <f t="shared" si="25"/>
        <v>3.3134764141971167</v>
      </c>
      <c r="CF110" s="38">
        <f t="shared" si="32"/>
        <v>107.03909</v>
      </c>
      <c r="CG110" s="38">
        <f t="shared" si="23"/>
        <v>107</v>
      </c>
      <c r="CP110" s="40">
        <v>458</v>
      </c>
      <c r="CQ110" s="41" t="s">
        <v>3529</v>
      </c>
      <c r="CR110" s="41" t="s">
        <v>5513</v>
      </c>
      <c r="CS110" s="41">
        <v>400</v>
      </c>
      <c r="CT110" s="41">
        <v>8</v>
      </c>
      <c r="CU110" s="41">
        <v>10</v>
      </c>
      <c r="CV110" s="41">
        <v>10</v>
      </c>
      <c r="CW110" s="40"/>
      <c r="CX110" s="41" t="s">
        <v>4716</v>
      </c>
      <c r="CY110" s="40" t="s">
        <v>4717</v>
      </c>
      <c r="DB110" t="s">
        <v>177</v>
      </c>
      <c r="DC110" s="7" t="str">
        <f t="shared" ca="1" si="35"/>
        <v>05_014</v>
      </c>
      <c r="DD110" t="s">
        <v>5507</v>
      </c>
      <c r="DE110" t="s">
        <v>5514</v>
      </c>
      <c r="DF110" t="s">
        <v>5515</v>
      </c>
      <c r="DG110" t="s">
        <v>5516</v>
      </c>
      <c r="DH110" t="s">
        <v>5364</v>
      </c>
    </row>
    <row r="111" spans="4:112" ht="14.6">
      <c r="D111" s="6" t="str">
        <f t="shared" si="27"/>
        <v>夜本军队-&gt;巨人拳击手</v>
      </c>
      <c r="E111" s="6" t="str">
        <f t="shared" si="28"/>
        <v>#'3.1夜本军队'!F27:O46</v>
      </c>
      <c r="F111" s="6" t="s">
        <v>1444</v>
      </c>
      <c r="G111" s="6" t="s">
        <v>5517</v>
      </c>
      <c r="H111" s="6" t="s">
        <v>5503</v>
      </c>
      <c r="I111" s="7" t="s">
        <v>5274</v>
      </c>
      <c r="J111" s="7" t="s">
        <v>4927</v>
      </c>
      <c r="K111" s="7" t="s">
        <v>4831</v>
      </c>
      <c r="L111" s="7" t="s">
        <v>5518</v>
      </c>
      <c r="M111" s="7" t="s">
        <v>5441</v>
      </c>
      <c r="N111" s="7" t="s">
        <v>4890</v>
      </c>
      <c r="O111" s="7" t="s">
        <v>4782</v>
      </c>
      <c r="P111" s="7" t="s">
        <v>4782</v>
      </c>
      <c r="Q111" s="7" t="s">
        <v>4782</v>
      </c>
      <c r="R111" s="7" t="s">
        <v>4782</v>
      </c>
      <c r="S111" s="7">
        <f t="array" ref="S111">SUM(IFERROR(IF(MATCH(I111:R111,$F$4:$Q$4,0)&gt;0,1,0),0))</f>
        <v>0</v>
      </c>
      <c r="T111" s="7">
        <f t="shared" ca="1" si="33"/>
        <v>37</v>
      </c>
      <c r="U111" s="7">
        <f ca="1">T111+COUNTIF(T$5:$T110,T111)</f>
        <v>128</v>
      </c>
      <c r="Y111" t="s">
        <v>133</v>
      </c>
      <c r="Z111" s="7">
        <f t="shared" ca="1" si="34"/>
        <v>10</v>
      </c>
      <c r="AA111">
        <v>0</v>
      </c>
      <c r="AB111">
        <v>0</v>
      </c>
      <c r="AC111">
        <v>0</v>
      </c>
      <c r="AD111">
        <v>0</v>
      </c>
      <c r="AE111">
        <v>0</v>
      </c>
      <c r="AF111">
        <v>0</v>
      </c>
      <c r="AG111">
        <v>0</v>
      </c>
      <c r="AH111">
        <v>0</v>
      </c>
      <c r="AI111">
        <v>0</v>
      </c>
      <c r="AJ111">
        <v>0</v>
      </c>
      <c r="AK111">
        <v>0</v>
      </c>
      <c r="AL111">
        <v>0</v>
      </c>
      <c r="AM111">
        <v>0</v>
      </c>
      <c r="AN111">
        <v>0</v>
      </c>
      <c r="AO111">
        <v>10</v>
      </c>
      <c r="AX111" s="28">
        <v>3000</v>
      </c>
      <c r="AY111" s="28" t="s">
        <v>4739</v>
      </c>
      <c r="AZ111" s="28" t="s">
        <v>4713</v>
      </c>
      <c r="BA111" s="28" t="s">
        <v>4770</v>
      </c>
      <c r="BB111" s="28">
        <v>20</v>
      </c>
      <c r="CD111" s="38">
        <v>107</v>
      </c>
      <c r="CE111" s="38">
        <f t="shared" si="25"/>
        <v>3.3181712498778677</v>
      </c>
      <c r="CF111" s="38">
        <f t="shared" si="32"/>
        <v>108.03773</v>
      </c>
      <c r="CG111" s="38">
        <f t="shared" si="23"/>
        <v>108</v>
      </c>
      <c r="CP111" s="40">
        <v>459</v>
      </c>
      <c r="CQ111" s="41" t="s">
        <v>3529</v>
      </c>
      <c r="CR111" s="41" t="s">
        <v>5519</v>
      </c>
      <c r="CS111" s="41">
        <v>800</v>
      </c>
      <c r="CT111" s="41">
        <v>24</v>
      </c>
      <c r="CU111" s="41">
        <v>5</v>
      </c>
      <c r="CV111" s="41">
        <v>15</v>
      </c>
      <c r="CW111" s="40"/>
      <c r="CX111" s="41" t="s">
        <v>4716</v>
      </c>
      <c r="CY111" s="40" t="s">
        <v>3104</v>
      </c>
      <c r="DB111" t="s">
        <v>26</v>
      </c>
      <c r="DC111" s="7" t="str">
        <f t="shared" ca="1" si="35"/>
        <v>05_003</v>
      </c>
      <c r="DD111" t="s">
        <v>4989</v>
      </c>
      <c r="DE111" t="s">
        <v>4754</v>
      </c>
      <c r="DF111" t="s">
        <v>5073</v>
      </c>
      <c r="DG111" t="s">
        <v>4920</v>
      </c>
      <c r="DH111" t="s">
        <v>4835</v>
      </c>
    </row>
    <row r="112" spans="4:112" ht="14.6">
      <c r="D112" s="6" t="str">
        <f t="shared" si="27"/>
        <v>夜本军队-&gt;炸弹兵</v>
      </c>
      <c r="E112" s="6" t="str">
        <f t="shared" si="28"/>
        <v>#'3.1夜本军队'!F49:O68</v>
      </c>
      <c r="F112" s="6" t="s">
        <v>1453</v>
      </c>
      <c r="G112" s="6" t="s">
        <v>5520</v>
      </c>
      <c r="H112" s="6" t="s">
        <v>5503</v>
      </c>
      <c r="I112" s="7" t="s">
        <v>5274</v>
      </c>
      <c r="J112" s="7" t="s">
        <v>5015</v>
      </c>
      <c r="K112" s="7" t="s">
        <v>5016</v>
      </c>
      <c r="L112" s="7" t="s">
        <v>5024</v>
      </c>
      <c r="M112" s="7" t="s">
        <v>5048</v>
      </c>
      <c r="N112" s="7" t="s">
        <v>4890</v>
      </c>
      <c r="O112" s="7" t="s">
        <v>4782</v>
      </c>
      <c r="P112" s="7" t="s">
        <v>4782</v>
      </c>
      <c r="Q112" s="7" t="s">
        <v>4782</v>
      </c>
      <c r="R112" s="7" t="s">
        <v>4782</v>
      </c>
      <c r="S112" s="7">
        <f t="array" ref="S112">SUM(IFERROR(IF(MATCH(I112:R112,$F$4:$Q$4,0)&gt;0,1,0),0))</f>
        <v>0</v>
      </c>
      <c r="T112" s="7">
        <f t="shared" ca="1" si="33"/>
        <v>37</v>
      </c>
      <c r="U112" s="7">
        <f ca="1">T112+COUNTIF(T$5:$T111,T112)</f>
        <v>129</v>
      </c>
      <c r="Y112" t="s">
        <v>135</v>
      </c>
      <c r="Z112" s="7">
        <f t="shared" ca="1" si="34"/>
        <v>10</v>
      </c>
      <c r="AA112">
        <v>0</v>
      </c>
      <c r="AB112">
        <v>0</v>
      </c>
      <c r="AC112">
        <v>0</v>
      </c>
      <c r="AD112">
        <v>0</v>
      </c>
      <c r="AE112">
        <v>0</v>
      </c>
      <c r="AF112">
        <v>0</v>
      </c>
      <c r="AG112">
        <v>0</v>
      </c>
      <c r="AH112">
        <v>0</v>
      </c>
      <c r="AI112">
        <v>0</v>
      </c>
      <c r="AJ112">
        <v>0</v>
      </c>
      <c r="AK112">
        <v>0</v>
      </c>
      <c r="AL112">
        <v>0</v>
      </c>
      <c r="AM112">
        <v>0</v>
      </c>
      <c r="AN112">
        <v>0</v>
      </c>
      <c r="AO112">
        <v>10</v>
      </c>
      <c r="AX112" s="28">
        <v>7500</v>
      </c>
      <c r="AY112" s="28" t="s">
        <v>4689</v>
      </c>
      <c r="AZ112" s="28" t="s">
        <v>4688</v>
      </c>
      <c r="BA112" s="28" t="s">
        <v>4714</v>
      </c>
      <c r="BB112" s="28">
        <v>40</v>
      </c>
      <c r="CD112" s="38">
        <v>108</v>
      </c>
      <c r="CE112" s="38">
        <f t="shared" si="25"/>
        <v>3.3228224126685655</v>
      </c>
      <c r="CF112" s="38">
        <f t="shared" si="32"/>
        <v>109.03637999999999</v>
      </c>
      <c r="CG112" s="38">
        <f t="shared" si="23"/>
        <v>109</v>
      </c>
      <c r="CP112" s="40">
        <v>460</v>
      </c>
      <c r="CQ112" s="41" t="s">
        <v>3538</v>
      </c>
      <c r="CR112" s="41" t="s">
        <v>5521</v>
      </c>
      <c r="CS112" s="41">
        <v>150</v>
      </c>
      <c r="CT112" s="41">
        <v>3</v>
      </c>
      <c r="CU112" s="41">
        <v>20</v>
      </c>
      <c r="CV112" s="41">
        <v>5</v>
      </c>
      <c r="CW112" s="40"/>
      <c r="CX112" s="41" t="s">
        <v>4716</v>
      </c>
      <c r="CY112" s="40" t="s">
        <v>3096</v>
      </c>
      <c r="DB112" t="s">
        <v>178</v>
      </c>
      <c r="DC112" s="7" t="str">
        <f t="shared" ca="1" si="35"/>
        <v>05_002</v>
      </c>
      <c r="DD112" t="s">
        <v>4989</v>
      </c>
      <c r="DE112" t="s">
        <v>4754</v>
      </c>
      <c r="DF112" t="s">
        <v>4755</v>
      </c>
      <c r="DG112" t="s">
        <v>4756</v>
      </c>
      <c r="DH112" t="s">
        <v>4757</v>
      </c>
    </row>
    <row r="113" spans="4:112" ht="14.6">
      <c r="D113" s="6" t="str">
        <f t="shared" si="27"/>
        <v>夜本军队-&gt;狂暴野蛮人</v>
      </c>
      <c r="E113" s="6" t="str">
        <f t="shared" si="28"/>
        <v>#'3.1夜本军队'!F5:O24</v>
      </c>
      <c r="F113" s="6" t="s">
        <v>1434</v>
      </c>
      <c r="G113" s="6" t="s">
        <v>5522</v>
      </c>
      <c r="H113" s="6" t="s">
        <v>5503</v>
      </c>
      <c r="I113" s="7" t="s">
        <v>5274</v>
      </c>
      <c r="J113" s="7" t="s">
        <v>5242</v>
      </c>
      <c r="K113" s="7" t="s">
        <v>5243</v>
      </c>
      <c r="L113" s="7" t="s">
        <v>4829</v>
      </c>
      <c r="M113" s="7" t="s">
        <v>4830</v>
      </c>
      <c r="N113" s="7" t="s">
        <v>4831</v>
      </c>
      <c r="O113" s="7" t="s">
        <v>4832</v>
      </c>
      <c r="P113" s="7" t="s">
        <v>4833</v>
      </c>
      <c r="Q113" s="7" t="s">
        <v>4782</v>
      </c>
      <c r="R113" s="7" t="s">
        <v>4782</v>
      </c>
      <c r="S113" s="7">
        <f t="array" ref="S113">SUM(IFERROR(IF(MATCH(I113:R113,$F$4:$Q$4,0)&gt;0,1,0),0))</f>
        <v>0</v>
      </c>
      <c r="T113" s="7">
        <f t="shared" ca="1" si="33"/>
        <v>37</v>
      </c>
      <c r="U113" s="7">
        <f ca="1">T113+COUNTIF(T$5:$T112,T113)</f>
        <v>130</v>
      </c>
      <c r="AX113" s="28">
        <v>12000</v>
      </c>
      <c r="AY113" s="28" t="s">
        <v>4674</v>
      </c>
      <c r="AZ113" s="28" t="s">
        <v>4963</v>
      </c>
      <c r="BA113" s="28" t="s">
        <v>4845</v>
      </c>
      <c r="BB113" s="28">
        <v>60</v>
      </c>
      <c r="CD113" s="38">
        <v>109</v>
      </c>
      <c r="CE113" s="38">
        <f t="shared" si="25"/>
        <v>3.3274307075994409</v>
      </c>
      <c r="CF113" s="38">
        <f t="shared" si="32"/>
        <v>110.03505</v>
      </c>
      <c r="CG113" s="38">
        <f t="shared" si="23"/>
        <v>110</v>
      </c>
      <c r="CP113" s="40">
        <v>461</v>
      </c>
      <c r="CQ113" s="41" t="s">
        <v>3538</v>
      </c>
      <c r="CR113" s="41" t="s">
        <v>5523</v>
      </c>
      <c r="CS113" s="41">
        <v>300</v>
      </c>
      <c r="CT113" s="41">
        <v>8</v>
      </c>
      <c r="CU113" s="41">
        <v>15</v>
      </c>
      <c r="CV113" s="41">
        <v>10</v>
      </c>
      <c r="CW113" s="40"/>
      <c r="CX113" s="41" t="s">
        <v>4716</v>
      </c>
      <c r="CY113" s="40" t="s">
        <v>4717</v>
      </c>
      <c r="DB113" t="s">
        <v>49</v>
      </c>
      <c r="DC113" s="7" t="str">
        <f t="shared" ca="1" si="35"/>
        <v>05_002</v>
      </c>
      <c r="DD113" t="s">
        <v>4989</v>
      </c>
      <c r="DE113" t="s">
        <v>4754</v>
      </c>
      <c r="DF113" t="s">
        <v>4755</v>
      </c>
      <c r="DG113" t="s">
        <v>4756</v>
      </c>
      <c r="DH113" t="s">
        <v>4757</v>
      </c>
    </row>
    <row r="114" spans="4:112" ht="14.6">
      <c r="D114" s="6" t="str">
        <f t="shared" si="27"/>
        <v>夜本军队-&gt;加农炮战车</v>
      </c>
      <c r="E114" s="6" t="str">
        <f t="shared" si="28"/>
        <v>#'3.1夜本军队'!F71:N90</v>
      </c>
      <c r="F114" s="6" t="s">
        <v>1459</v>
      </c>
      <c r="G114" s="6" t="s">
        <v>5524</v>
      </c>
      <c r="H114" s="6" t="s">
        <v>5503</v>
      </c>
      <c r="I114" s="7" t="s">
        <v>5274</v>
      </c>
      <c r="J114" s="7" t="s">
        <v>5447</v>
      </c>
      <c r="K114" s="7" t="s">
        <v>5448</v>
      </c>
      <c r="L114" s="7" t="s">
        <v>5327</v>
      </c>
      <c r="M114" s="7" t="s">
        <v>4970</v>
      </c>
      <c r="N114" s="7" t="s">
        <v>5177</v>
      </c>
      <c r="O114" s="7" t="s">
        <v>4782</v>
      </c>
      <c r="P114" s="7" t="s">
        <v>4782</v>
      </c>
      <c r="Q114" s="7" t="s">
        <v>4782</v>
      </c>
      <c r="R114" s="7" t="s">
        <v>4782</v>
      </c>
      <c r="S114" s="7">
        <f t="array" ref="S114">SUM(IFERROR(IF(MATCH(I114:R114,$F$4:$Q$4,0)&gt;0,1,0),0))</f>
        <v>0</v>
      </c>
      <c r="T114" s="7">
        <f t="shared" ca="1" si="33"/>
        <v>37</v>
      </c>
      <c r="U114" s="7">
        <f ca="1">T114+COUNTIF(T$5:$T113,T114)</f>
        <v>131</v>
      </c>
      <c r="Y114" s="12" t="s">
        <v>88</v>
      </c>
      <c r="Z114" s="7">
        <f t="shared" ref="Z114:Z120" ca="1" si="36">OFFSET(AA114,0,$Z$5-1)</f>
        <v>4</v>
      </c>
      <c r="AA114">
        <v>0</v>
      </c>
      <c r="AB114">
        <v>0</v>
      </c>
      <c r="AC114">
        <v>0</v>
      </c>
      <c r="AD114">
        <v>0</v>
      </c>
      <c r="AE114">
        <v>0</v>
      </c>
      <c r="AF114">
        <v>0</v>
      </c>
      <c r="AG114">
        <v>0</v>
      </c>
      <c r="AH114">
        <v>0</v>
      </c>
      <c r="AI114">
        <v>0</v>
      </c>
      <c r="AJ114">
        <v>0</v>
      </c>
      <c r="AK114">
        <v>0</v>
      </c>
      <c r="AL114">
        <v>3</v>
      </c>
      <c r="AM114" s="15">
        <v>4</v>
      </c>
      <c r="AN114" s="15">
        <v>4</v>
      </c>
      <c r="AO114" s="21">
        <v>4</v>
      </c>
      <c r="AX114" s="28">
        <v>18000</v>
      </c>
      <c r="AY114" s="28" t="s">
        <v>5505</v>
      </c>
      <c r="AZ114" s="28" t="s">
        <v>5495</v>
      </c>
      <c r="BA114" s="28" t="s">
        <v>5476</v>
      </c>
      <c r="BB114" s="28">
        <v>80</v>
      </c>
      <c r="CD114" s="38">
        <v>110</v>
      </c>
      <c r="CE114" s="38">
        <f t="shared" si="25"/>
        <v>3.3319969176451032</v>
      </c>
      <c r="CF114" s="38">
        <f t="shared" si="32"/>
        <v>111.03372</v>
      </c>
      <c r="CG114" s="38">
        <f t="shared" si="23"/>
        <v>111</v>
      </c>
      <c r="CP114" s="40">
        <v>462</v>
      </c>
      <c r="CQ114" s="41" t="s">
        <v>3538</v>
      </c>
      <c r="CR114" s="41" t="s">
        <v>5525</v>
      </c>
      <c r="CS114" s="41">
        <v>600</v>
      </c>
      <c r="CT114" s="41">
        <v>24</v>
      </c>
      <c r="CU114" s="41">
        <v>10</v>
      </c>
      <c r="CV114" s="41">
        <v>15</v>
      </c>
      <c r="CW114" s="40"/>
      <c r="CX114" s="41" t="s">
        <v>4716</v>
      </c>
      <c r="CY114" s="40" t="s">
        <v>3104</v>
      </c>
      <c r="DB114" t="s">
        <v>153</v>
      </c>
      <c r="DC114" s="7" t="str">
        <f t="shared" ca="1" si="35"/>
        <v>05_004</v>
      </c>
      <c r="DD114" t="s">
        <v>4989</v>
      </c>
      <c r="DE114" t="s">
        <v>4754</v>
      </c>
      <c r="DF114" t="s">
        <v>4755</v>
      </c>
      <c r="DG114" t="s">
        <v>4920</v>
      </c>
      <c r="DH114" t="s">
        <v>4921</v>
      </c>
    </row>
    <row r="115" spans="4:112" ht="14.6">
      <c r="D115" s="6" t="str">
        <f t="shared" si="27"/>
        <v>夜本军队-&gt;骷髅气球</v>
      </c>
      <c r="E115" s="6" t="str">
        <f t="shared" si="28"/>
        <v>#'3.1夜本军队'!F93:O112</v>
      </c>
      <c r="F115" s="6" t="s">
        <v>1466</v>
      </c>
      <c r="G115" s="6" t="s">
        <v>5526</v>
      </c>
      <c r="H115" s="6" t="s">
        <v>5503</v>
      </c>
      <c r="I115" s="7" t="s">
        <v>5274</v>
      </c>
      <c r="J115" s="7" t="s">
        <v>5010</v>
      </c>
      <c r="K115" s="7" t="s">
        <v>5234</v>
      </c>
      <c r="L115" s="7" t="s">
        <v>5022</v>
      </c>
      <c r="M115" s="7" t="s">
        <v>5023</v>
      </c>
      <c r="N115" s="7" t="s">
        <v>4782</v>
      </c>
      <c r="O115" s="7" t="s">
        <v>4782</v>
      </c>
      <c r="P115" s="7" t="s">
        <v>4782</v>
      </c>
      <c r="Q115" s="7" t="s">
        <v>4782</v>
      </c>
      <c r="R115" s="7" t="s">
        <v>4782</v>
      </c>
      <c r="S115" s="7">
        <f t="array" ref="S115">SUM(IFERROR(IF(MATCH(I115:R115,$F$4:$Q$4,0)&gt;0,1,0),0))</f>
        <v>0</v>
      </c>
      <c r="T115" s="7">
        <f t="shared" ca="1" si="33"/>
        <v>37</v>
      </c>
      <c r="U115" s="7">
        <f ca="1">T115+COUNTIF(T$5:$T114,T115)</f>
        <v>132</v>
      </c>
      <c r="Y115" s="12" t="s">
        <v>91</v>
      </c>
      <c r="Z115" s="7">
        <f t="shared" ca="1" si="36"/>
        <v>4</v>
      </c>
      <c r="AA115">
        <v>0</v>
      </c>
      <c r="AB115">
        <v>0</v>
      </c>
      <c r="AC115">
        <v>0</v>
      </c>
      <c r="AD115">
        <v>0</v>
      </c>
      <c r="AE115">
        <v>0</v>
      </c>
      <c r="AF115">
        <v>0</v>
      </c>
      <c r="AG115">
        <v>0</v>
      </c>
      <c r="AH115">
        <v>0</v>
      </c>
      <c r="AI115">
        <v>0</v>
      </c>
      <c r="AJ115">
        <v>0</v>
      </c>
      <c r="AK115">
        <v>0</v>
      </c>
      <c r="AL115">
        <v>3</v>
      </c>
      <c r="AM115" s="15">
        <v>4</v>
      </c>
      <c r="AN115" s="15">
        <v>4</v>
      </c>
      <c r="AO115" s="21">
        <v>4</v>
      </c>
      <c r="AX115" s="28">
        <v>30000</v>
      </c>
      <c r="AY115" s="28" t="s">
        <v>4751</v>
      </c>
      <c r="AZ115" s="28" t="s">
        <v>4745</v>
      </c>
      <c r="BA115" s="28" t="s">
        <v>5527</v>
      </c>
      <c r="BB115" s="28">
        <v>100</v>
      </c>
      <c r="CD115" s="38">
        <v>111</v>
      </c>
      <c r="CE115" s="38">
        <f t="shared" si="25"/>
        <v>3.3365218045229312</v>
      </c>
      <c r="CF115" s="38">
        <f t="shared" si="32"/>
        <v>112.03241</v>
      </c>
      <c r="CG115" s="38">
        <f t="shared" si="23"/>
        <v>112</v>
      </c>
      <c r="CP115" s="40">
        <v>463</v>
      </c>
      <c r="CQ115" s="41" t="s">
        <v>3544</v>
      </c>
      <c r="CR115" s="41" t="s">
        <v>5528</v>
      </c>
      <c r="CS115" s="41">
        <v>150</v>
      </c>
      <c r="CT115" s="41">
        <v>3</v>
      </c>
      <c r="CU115" s="41">
        <v>20</v>
      </c>
      <c r="CV115" s="41">
        <v>5</v>
      </c>
      <c r="CW115" s="40"/>
      <c r="CX115" s="41" t="s">
        <v>4716</v>
      </c>
      <c r="CY115" s="40" t="s">
        <v>3096</v>
      </c>
      <c r="DB115" t="s">
        <v>181</v>
      </c>
      <c r="DC115" s="7" t="str">
        <f t="shared" ca="1" si="35"/>
        <v>05_004</v>
      </c>
      <c r="DD115" t="s">
        <v>4895</v>
      </c>
      <c r="DE115" t="s">
        <v>4896</v>
      </c>
      <c r="DF115" t="s">
        <v>4897</v>
      </c>
      <c r="DG115" t="s">
        <v>5050</v>
      </c>
      <c r="DH115" t="s">
        <v>4921</v>
      </c>
    </row>
    <row r="116" spans="4:112" ht="14.6">
      <c r="D116" s="6" t="str">
        <f t="shared" si="27"/>
        <v>夜本军队-&gt;异变亡灵</v>
      </c>
      <c r="E116" s="6" t="str">
        <f t="shared" si="28"/>
        <v>#'3.1夜本军队'!R27:Z46</v>
      </c>
      <c r="F116" s="6" t="s">
        <v>1450</v>
      </c>
      <c r="G116" s="6" t="s">
        <v>5529</v>
      </c>
      <c r="H116" s="6" t="s">
        <v>5503</v>
      </c>
      <c r="I116" s="7" t="s">
        <v>5274</v>
      </c>
      <c r="J116" s="7" t="s">
        <v>5530</v>
      </c>
      <c r="K116" s="7" t="s">
        <v>5531</v>
      </c>
      <c r="L116" s="7" t="s">
        <v>4802</v>
      </c>
      <c r="M116" s="7" t="s">
        <v>4803</v>
      </c>
      <c r="N116" s="7" t="s">
        <v>4804</v>
      </c>
      <c r="O116" s="7" t="s">
        <v>4805</v>
      </c>
      <c r="P116" s="7" t="s">
        <v>4782</v>
      </c>
      <c r="Q116" s="7" t="s">
        <v>4782</v>
      </c>
      <c r="R116" s="7" t="s">
        <v>4782</v>
      </c>
      <c r="S116" s="7">
        <f t="array" ref="S116">SUM(IFERROR(IF(MATCH(I116:R116,$F$4:$Q$4,0)&gt;0,1,0),0))</f>
        <v>0</v>
      </c>
      <c r="T116" s="7">
        <f t="shared" ca="1" si="33"/>
        <v>37</v>
      </c>
      <c r="U116" s="7">
        <f ca="1">T116+COUNTIF(T$5:$T115,T116)</f>
        <v>133</v>
      </c>
      <c r="Y116" s="12" t="s">
        <v>94</v>
      </c>
      <c r="Z116" s="7">
        <f t="shared" ca="1" si="36"/>
        <v>4</v>
      </c>
      <c r="AA116">
        <v>0</v>
      </c>
      <c r="AB116">
        <v>0</v>
      </c>
      <c r="AC116">
        <v>0</v>
      </c>
      <c r="AD116">
        <v>0</v>
      </c>
      <c r="AE116">
        <v>0</v>
      </c>
      <c r="AF116">
        <v>0</v>
      </c>
      <c r="AG116">
        <v>0</v>
      </c>
      <c r="AH116">
        <v>0</v>
      </c>
      <c r="AI116">
        <v>0</v>
      </c>
      <c r="AJ116">
        <v>0</v>
      </c>
      <c r="AK116">
        <v>0</v>
      </c>
      <c r="AL116">
        <v>3</v>
      </c>
      <c r="AM116" s="15">
        <v>4</v>
      </c>
      <c r="AN116" s="15">
        <v>4</v>
      </c>
      <c r="AO116" s="21">
        <v>4</v>
      </c>
      <c r="AX116" s="28">
        <v>50000</v>
      </c>
      <c r="AY116" s="28" t="s">
        <v>4746</v>
      </c>
      <c r="AZ116" s="28" t="s">
        <v>4750</v>
      </c>
      <c r="BA116" s="28" t="s">
        <v>4752</v>
      </c>
      <c r="BB116" s="28">
        <v>120</v>
      </c>
      <c r="CD116" s="38">
        <v>112</v>
      </c>
      <c r="CE116" s="38">
        <f t="shared" si="25"/>
        <v>3.3410061094556665</v>
      </c>
      <c r="CF116" s="38">
        <f t="shared" si="32"/>
        <v>113.03111</v>
      </c>
      <c r="CG116" s="38">
        <f t="shared" si="23"/>
        <v>113</v>
      </c>
      <c r="CP116" s="40">
        <v>464</v>
      </c>
      <c r="CQ116" s="41" t="s">
        <v>3544</v>
      </c>
      <c r="CR116" s="41" t="s">
        <v>5532</v>
      </c>
      <c r="CS116" s="41">
        <v>300</v>
      </c>
      <c r="CT116" s="41">
        <v>8</v>
      </c>
      <c r="CU116" s="41">
        <v>15</v>
      </c>
      <c r="CV116" s="41">
        <v>10</v>
      </c>
      <c r="CW116" s="40"/>
      <c r="CX116" s="41" t="s">
        <v>4716</v>
      </c>
      <c r="CY116" s="40" t="s">
        <v>4717</v>
      </c>
      <c r="DB116" t="s">
        <v>149</v>
      </c>
      <c r="DC116" s="7" t="str">
        <f t="shared" ca="1" si="35"/>
        <v>05_002</v>
      </c>
      <c r="DD116" t="s">
        <v>4989</v>
      </c>
      <c r="DE116" t="s">
        <v>4754</v>
      </c>
      <c r="DF116" t="s">
        <v>4755</v>
      </c>
      <c r="DG116" t="s">
        <v>4756</v>
      </c>
      <c r="DH116" t="s">
        <v>4757</v>
      </c>
    </row>
    <row r="117" spans="4:112" ht="14.6">
      <c r="D117" s="6" t="str">
        <f t="shared" si="27"/>
        <v>夜本军队-&gt;飞龙宝宝</v>
      </c>
      <c r="E117" s="6" t="str">
        <f t="shared" si="28"/>
        <v>#'3.1夜本军队'!R49:AB68</v>
      </c>
      <c r="F117" s="6" t="s">
        <v>1457</v>
      </c>
      <c r="G117" s="6" t="s">
        <v>5533</v>
      </c>
      <c r="H117" s="6" t="s">
        <v>5503</v>
      </c>
      <c r="I117" s="7" t="s">
        <v>5274</v>
      </c>
      <c r="J117" s="7" t="s">
        <v>4968</v>
      </c>
      <c r="K117" s="7" t="s">
        <v>5072</v>
      </c>
      <c r="L117" s="7" t="s">
        <v>5090</v>
      </c>
      <c r="M117" s="7" t="s">
        <v>5090</v>
      </c>
      <c r="N117" s="7" t="s">
        <v>4782</v>
      </c>
      <c r="O117" s="7" t="s">
        <v>4782</v>
      </c>
      <c r="P117" s="7" t="s">
        <v>4782</v>
      </c>
      <c r="Q117" s="7" t="s">
        <v>4782</v>
      </c>
      <c r="R117" s="7" t="s">
        <v>4782</v>
      </c>
      <c r="S117" s="7">
        <f t="array" ref="S117">SUM(IFERROR(IF(MATCH(I117:R117,$F$4:$Q$4,0)&gt;0,1,0),0))</f>
        <v>2</v>
      </c>
      <c r="T117" s="7">
        <f t="shared" ca="1" si="33"/>
        <v>4</v>
      </c>
      <c r="U117" s="7">
        <f ca="1">T117+COUNTIF(T$5:$T116,T117)</f>
        <v>11</v>
      </c>
      <c r="Y117" s="12" t="s">
        <v>97</v>
      </c>
      <c r="Z117" s="7">
        <f t="shared" ca="1" si="36"/>
        <v>4</v>
      </c>
      <c r="AM117" s="15">
        <v>4</v>
      </c>
      <c r="AN117" s="15">
        <v>4</v>
      </c>
      <c r="AO117" s="21">
        <v>4</v>
      </c>
      <c r="AX117" s="28">
        <v>3000</v>
      </c>
      <c r="AY117" s="28" t="s">
        <v>4674</v>
      </c>
      <c r="AZ117" s="28" t="s">
        <v>4963</v>
      </c>
      <c r="BA117" s="28" t="s">
        <v>4714</v>
      </c>
      <c r="BB117" s="28">
        <v>20</v>
      </c>
      <c r="CD117" s="38">
        <v>113</v>
      </c>
      <c r="CE117" s="38">
        <f t="shared" si="25"/>
        <v>3.3454505539001107</v>
      </c>
      <c r="CF117" s="38">
        <f t="shared" si="32"/>
        <v>114.02982</v>
      </c>
      <c r="CG117" s="38">
        <f t="shared" si="23"/>
        <v>114</v>
      </c>
      <c r="CP117" s="40">
        <v>465</v>
      </c>
      <c r="CQ117" s="41" t="s">
        <v>3544</v>
      </c>
      <c r="CR117" s="41" t="s">
        <v>5534</v>
      </c>
      <c r="CS117" s="41">
        <v>600</v>
      </c>
      <c r="CT117" s="41">
        <v>24</v>
      </c>
      <c r="CU117" s="41">
        <v>10</v>
      </c>
      <c r="CV117" s="41">
        <v>15</v>
      </c>
      <c r="CW117" s="40"/>
      <c r="CX117" s="41" t="s">
        <v>4716</v>
      </c>
      <c r="CY117" s="40" t="s">
        <v>3104</v>
      </c>
      <c r="DB117" t="s">
        <v>180</v>
      </c>
      <c r="DC117" s="7" t="str">
        <f t="shared" ca="1" si="35"/>
        <v>05_002</v>
      </c>
      <c r="DD117" t="s">
        <v>4989</v>
      </c>
      <c r="DE117" t="s">
        <v>4754</v>
      </c>
      <c r="DF117" t="s">
        <v>4755</v>
      </c>
      <c r="DG117" t="s">
        <v>4756</v>
      </c>
      <c r="DH117" t="s">
        <v>4757</v>
      </c>
    </row>
    <row r="118" spans="4:112" ht="14.6">
      <c r="D118" s="6" t="str">
        <f t="shared" si="27"/>
        <v>夜本军队-&gt;隐秘弓箭手</v>
      </c>
      <c r="E118" s="6" t="str">
        <f t="shared" si="28"/>
        <v>#'3.1夜本军队'!R5:Z24</v>
      </c>
      <c r="F118" s="6" t="s">
        <v>1436</v>
      </c>
      <c r="G118" s="6" t="s">
        <v>5535</v>
      </c>
      <c r="H118" s="6" t="s">
        <v>5503</v>
      </c>
      <c r="I118" s="7" t="s">
        <v>5274</v>
      </c>
      <c r="J118" s="7" t="s">
        <v>5226</v>
      </c>
      <c r="K118" s="7" t="s">
        <v>5227</v>
      </c>
      <c r="L118" s="7" t="s">
        <v>4869</v>
      </c>
      <c r="M118" s="7" t="s">
        <v>4870</v>
      </c>
      <c r="N118" s="7" t="s">
        <v>4890</v>
      </c>
      <c r="O118" s="7" t="s">
        <v>4782</v>
      </c>
      <c r="P118" s="7" t="s">
        <v>4782</v>
      </c>
      <c r="Q118" s="7" t="s">
        <v>4782</v>
      </c>
      <c r="R118" s="7" t="s">
        <v>4782</v>
      </c>
      <c r="S118" s="7">
        <f t="array" ref="S118">SUM(IFERROR(IF(MATCH(I118:R118,$F$4:$Q$4,0)&gt;0,1,0),0))</f>
        <v>0</v>
      </c>
      <c r="T118" s="7">
        <f t="shared" ca="1" si="33"/>
        <v>37</v>
      </c>
      <c r="U118" s="7">
        <f ca="1">T118+COUNTIF(T$5:$T117,T118)</f>
        <v>134</v>
      </c>
      <c r="Y118" s="12" t="s">
        <v>102</v>
      </c>
      <c r="Z118" s="7">
        <f t="shared" ca="1" si="36"/>
        <v>4</v>
      </c>
      <c r="AA118">
        <v>0</v>
      </c>
      <c r="AB118">
        <v>0</v>
      </c>
      <c r="AC118">
        <v>0</v>
      </c>
      <c r="AD118">
        <v>0</v>
      </c>
      <c r="AE118">
        <v>0</v>
      </c>
      <c r="AF118">
        <v>0</v>
      </c>
      <c r="AG118">
        <v>0</v>
      </c>
      <c r="AH118">
        <v>0</v>
      </c>
      <c r="AI118">
        <v>0</v>
      </c>
      <c r="AJ118">
        <v>0</v>
      </c>
      <c r="AK118">
        <v>0</v>
      </c>
      <c r="AL118">
        <v>0</v>
      </c>
      <c r="AM118" s="15">
        <v>4</v>
      </c>
      <c r="AN118" s="15">
        <v>4</v>
      </c>
      <c r="AO118" s="21">
        <v>4</v>
      </c>
      <c r="AX118" s="28">
        <v>7500</v>
      </c>
      <c r="AY118" s="28" t="s">
        <v>4747</v>
      </c>
      <c r="AZ118" s="28" t="s">
        <v>4739</v>
      </c>
      <c r="BA118" s="28" t="s">
        <v>4770</v>
      </c>
      <c r="BB118" s="28">
        <v>40</v>
      </c>
      <c r="CD118" s="38">
        <v>114</v>
      </c>
      <c r="CE118" s="38">
        <f t="shared" si="25"/>
        <v>3.3498558402437228</v>
      </c>
      <c r="CF118" s="38">
        <f t="shared" si="32"/>
        <v>115.02854000000001</v>
      </c>
      <c r="CG118" s="38">
        <f t="shared" si="23"/>
        <v>115</v>
      </c>
      <c r="CP118" s="40">
        <v>466</v>
      </c>
      <c r="CQ118" s="41" t="s">
        <v>3550</v>
      </c>
      <c r="CR118" s="41" t="s">
        <v>5536</v>
      </c>
      <c r="CS118" s="41">
        <v>150</v>
      </c>
      <c r="CT118" s="41">
        <v>3</v>
      </c>
      <c r="CU118" s="41">
        <v>20</v>
      </c>
      <c r="CV118" s="41">
        <v>5</v>
      </c>
      <c r="CW118" s="40"/>
      <c r="CX118" s="41" t="s">
        <v>4716</v>
      </c>
      <c r="CY118" s="40" t="s">
        <v>3096</v>
      </c>
      <c r="DB118" t="s">
        <v>186</v>
      </c>
      <c r="DC118" s="7" t="str">
        <f t="shared" ca="1" si="35"/>
        <v>05_004</v>
      </c>
      <c r="DD118" t="s">
        <v>5213</v>
      </c>
      <c r="DE118" t="s">
        <v>4754</v>
      </c>
      <c r="DF118" t="s">
        <v>4755</v>
      </c>
      <c r="DG118" t="s">
        <v>4920</v>
      </c>
      <c r="DH118" t="s">
        <v>4921</v>
      </c>
    </row>
    <row r="119" spans="4:112" ht="14.6">
      <c r="D119" s="6" t="str">
        <f t="shared" si="27"/>
        <v>夜本军队-&gt;暗夜女巫</v>
      </c>
      <c r="E119" s="6" t="str">
        <f t="shared" si="28"/>
        <v>#'3.1夜本军队'!R71:Ad90</v>
      </c>
      <c r="F119" s="6" t="s">
        <v>1462</v>
      </c>
      <c r="G119" s="6" t="s">
        <v>5537</v>
      </c>
      <c r="H119" s="6" t="s">
        <v>5503</v>
      </c>
      <c r="I119" s="7" t="s">
        <v>5274</v>
      </c>
      <c r="J119" s="7" t="s">
        <v>5379</v>
      </c>
      <c r="K119" s="7" t="s">
        <v>5274</v>
      </c>
      <c r="L119" s="7" t="s">
        <v>4871</v>
      </c>
      <c r="M119" s="7" t="s">
        <v>5008</v>
      </c>
      <c r="N119" s="7" t="s">
        <v>5275</v>
      </c>
      <c r="O119" s="7" t="s">
        <v>5276</v>
      </c>
      <c r="P119" s="7" t="s">
        <v>4782</v>
      </c>
      <c r="Q119" s="7" t="s">
        <v>4782</v>
      </c>
      <c r="R119" s="7" t="s">
        <v>4782</v>
      </c>
      <c r="S119" s="7">
        <f t="array" ref="S119">SUM(IFERROR(IF(MATCH(I119:R119,$F$4:$Q$4,0)&gt;0,1,0),0))</f>
        <v>0</v>
      </c>
      <c r="T119" s="7">
        <f t="shared" ca="1" si="33"/>
        <v>37</v>
      </c>
      <c r="U119" s="7">
        <f ca="1">T119+COUNTIF(T$5:$T118,T119)</f>
        <v>135</v>
      </c>
      <c r="Y119" s="12" t="s">
        <v>106</v>
      </c>
      <c r="Z119" s="7">
        <f t="shared" ca="1" si="36"/>
        <v>4</v>
      </c>
      <c r="AA119">
        <v>0</v>
      </c>
      <c r="AB119">
        <v>0</v>
      </c>
      <c r="AC119">
        <v>0</v>
      </c>
      <c r="AD119">
        <v>0</v>
      </c>
      <c r="AE119">
        <v>0</v>
      </c>
      <c r="AF119">
        <v>0</v>
      </c>
      <c r="AG119">
        <v>0</v>
      </c>
      <c r="AH119">
        <v>0</v>
      </c>
      <c r="AI119">
        <v>0</v>
      </c>
      <c r="AJ119">
        <v>0</v>
      </c>
      <c r="AK119">
        <v>0</v>
      </c>
      <c r="AL119">
        <v>0</v>
      </c>
      <c r="AM119" s="15">
        <v>0</v>
      </c>
      <c r="AN119" s="15">
        <v>4</v>
      </c>
      <c r="AO119" s="21">
        <v>4</v>
      </c>
      <c r="AX119" s="28">
        <v>12000</v>
      </c>
      <c r="AY119" s="28" t="s">
        <v>4688</v>
      </c>
      <c r="AZ119" s="28" t="s">
        <v>5538</v>
      </c>
      <c r="BA119" s="28" t="s">
        <v>5476</v>
      </c>
      <c r="BB119" s="28">
        <v>60</v>
      </c>
      <c r="CD119" s="38">
        <v>115</v>
      </c>
      <c r="CE119" s="38">
        <f t="shared" si="25"/>
        <v>3.354222652470797</v>
      </c>
      <c r="CF119" s="38">
        <f t="shared" si="32"/>
        <v>116.02728</v>
      </c>
      <c r="CG119" s="38">
        <f t="shared" si="23"/>
        <v>116</v>
      </c>
      <c r="CP119" s="40">
        <v>467</v>
      </c>
      <c r="CQ119" s="41" t="s">
        <v>3550</v>
      </c>
      <c r="CR119" s="41" t="s">
        <v>5539</v>
      </c>
      <c r="CS119" s="41">
        <v>300</v>
      </c>
      <c r="CT119" s="41">
        <v>8</v>
      </c>
      <c r="CU119" s="41">
        <v>15</v>
      </c>
      <c r="CV119" s="41">
        <v>10</v>
      </c>
      <c r="CW119" s="40"/>
      <c r="CX119" s="41" t="s">
        <v>4716</v>
      </c>
      <c r="CY119" s="40" t="s">
        <v>4717</v>
      </c>
      <c r="DB119" t="s">
        <v>59</v>
      </c>
      <c r="DC119" s="7" t="str">
        <f t="shared" ca="1" si="35"/>
        <v>05_002</v>
      </c>
      <c r="DD119" t="s">
        <v>5213</v>
      </c>
      <c r="DE119" t="s">
        <v>5213</v>
      </c>
      <c r="DF119" t="s">
        <v>4755</v>
      </c>
      <c r="DG119" t="s">
        <v>4756</v>
      </c>
      <c r="DH119" t="s">
        <v>4757</v>
      </c>
    </row>
    <row r="120" spans="4:112" ht="14.6">
      <c r="D120" s="6" t="str">
        <f t="shared" si="27"/>
        <v>夜本军队-&gt;超级皮卡</v>
      </c>
      <c r="E120" s="6" t="str">
        <f t="shared" si="28"/>
        <v>#'3.1夜本军队'!R93:Z112</v>
      </c>
      <c r="F120" s="6" t="s">
        <v>1469</v>
      </c>
      <c r="G120" s="6" t="s">
        <v>5540</v>
      </c>
      <c r="H120" s="6" t="s">
        <v>5503</v>
      </c>
      <c r="I120" s="7" t="s">
        <v>5274</v>
      </c>
      <c r="J120" s="7" t="s">
        <v>5085</v>
      </c>
      <c r="K120" s="7" t="s">
        <v>5155</v>
      </c>
      <c r="L120" s="7" t="s">
        <v>4999</v>
      </c>
      <c r="M120" s="7" t="s">
        <v>5084</v>
      </c>
      <c r="N120" s="7" t="s">
        <v>4782</v>
      </c>
      <c r="O120" s="7" t="s">
        <v>4782</v>
      </c>
      <c r="P120" s="7" t="s">
        <v>4782</v>
      </c>
      <c r="Q120" s="7" t="s">
        <v>4782</v>
      </c>
      <c r="R120" s="7" t="s">
        <v>4782</v>
      </c>
      <c r="S120" s="7">
        <f t="array" ref="S120">SUM(IFERROR(IF(MATCH(I120:R120,$F$4:$Q$4,0)&gt;0,1,0),0))</f>
        <v>0</v>
      </c>
      <c r="T120" s="7">
        <f t="shared" ca="1" si="33"/>
        <v>37</v>
      </c>
      <c r="U120" s="7">
        <f ca="1">T120+COUNTIF(T$5:$T119,T120)</f>
        <v>136</v>
      </c>
      <c r="Y120" s="12" t="s">
        <v>5541</v>
      </c>
      <c r="Z120" s="7">
        <f t="shared" ca="1" si="36"/>
        <v>4</v>
      </c>
      <c r="AA120">
        <v>0</v>
      </c>
      <c r="AB120">
        <v>0</v>
      </c>
      <c r="AC120">
        <v>0</v>
      </c>
      <c r="AD120">
        <v>0</v>
      </c>
      <c r="AE120">
        <v>0</v>
      </c>
      <c r="AF120">
        <v>0</v>
      </c>
      <c r="AG120">
        <v>0</v>
      </c>
      <c r="AH120">
        <v>0</v>
      </c>
      <c r="AI120">
        <v>0</v>
      </c>
      <c r="AJ120">
        <v>0</v>
      </c>
      <c r="AK120">
        <v>0</v>
      </c>
      <c r="AL120">
        <v>0</v>
      </c>
      <c r="AM120">
        <v>0</v>
      </c>
      <c r="AN120" s="15">
        <v>0</v>
      </c>
      <c r="AO120" s="15">
        <v>4</v>
      </c>
      <c r="AX120" s="28">
        <v>18000</v>
      </c>
      <c r="AY120" s="28" t="s">
        <v>5542</v>
      </c>
      <c r="AZ120" s="28" t="s">
        <v>4771</v>
      </c>
      <c r="BA120" s="28" t="s">
        <v>4845</v>
      </c>
      <c r="BB120" s="28">
        <v>80</v>
      </c>
      <c r="CD120" s="38">
        <v>116</v>
      </c>
      <c r="CE120" s="38">
        <f t="shared" si="25"/>
        <v>3.3585516567998015</v>
      </c>
      <c r="CF120" s="38">
        <f t="shared" si="32"/>
        <v>117.02602</v>
      </c>
      <c r="CG120" s="38">
        <f t="shared" si="23"/>
        <v>117</v>
      </c>
      <c r="CP120" s="40">
        <v>468</v>
      </c>
      <c r="CQ120" s="41" t="s">
        <v>3550</v>
      </c>
      <c r="CR120" s="41" t="s">
        <v>5543</v>
      </c>
      <c r="CS120" s="41">
        <v>600</v>
      </c>
      <c r="CT120" s="41">
        <v>24</v>
      </c>
      <c r="CU120" s="41">
        <v>10</v>
      </c>
      <c r="CV120" s="41">
        <v>15</v>
      </c>
      <c r="CW120" s="40"/>
      <c r="CX120" s="41" t="s">
        <v>4716</v>
      </c>
      <c r="CY120" s="40" t="s">
        <v>3104</v>
      </c>
      <c r="DC120" s="7">
        <f t="shared" ca="1" si="35"/>
        <v>0</v>
      </c>
    </row>
    <row r="121" spans="4:112" ht="14.6">
      <c r="D121" s="6" t="str">
        <f t="shared" si="27"/>
        <v>夜本建筑-&gt;实验室</v>
      </c>
      <c r="E121" s="6" t="str">
        <f t="shared" si="28"/>
        <v>#'3.2夜本建筑'!AL19:AQ29</v>
      </c>
      <c r="F121" s="6" t="s">
        <v>1581</v>
      </c>
      <c r="G121" s="6" t="s">
        <v>5544</v>
      </c>
      <c r="H121" s="6" t="s">
        <v>5545</v>
      </c>
      <c r="I121" s="7" t="s">
        <v>5274</v>
      </c>
      <c r="J121" s="7" t="s">
        <v>5423</v>
      </c>
      <c r="K121" s="7" t="s">
        <v>5424</v>
      </c>
      <c r="L121" s="7" t="s">
        <v>5425</v>
      </c>
      <c r="M121" s="7" t="s">
        <v>5546</v>
      </c>
      <c r="N121" s="7" t="s">
        <v>5429</v>
      </c>
      <c r="O121" s="7" t="s">
        <v>4782</v>
      </c>
      <c r="P121" s="7" t="s">
        <v>4782</v>
      </c>
      <c r="Q121" s="7" t="s">
        <v>4782</v>
      </c>
      <c r="R121" s="7" t="s">
        <v>4782</v>
      </c>
      <c r="S121" s="7">
        <f t="array" ref="S121">SUM(IFERROR(IF(MATCH(I121:R121,$F$4:$Q$4,0)&gt;0,1,0),0))</f>
        <v>0</v>
      </c>
      <c r="T121" s="7">
        <f t="shared" ca="1" si="33"/>
        <v>37</v>
      </c>
      <c r="U121" s="7">
        <f ca="1">T121+COUNTIF(T$5:$T120,T121)</f>
        <v>137</v>
      </c>
      <c r="Y121" s="12" t="s">
        <v>13</v>
      </c>
      <c r="Z121" s="7">
        <f t="shared" ref="Z121:Z132" ca="1" si="37">OFFSET(AA121,0,$Z$5-1)</f>
        <v>1400</v>
      </c>
      <c r="AA121">
        <v>5</v>
      </c>
      <c r="AB121">
        <v>10</v>
      </c>
      <c r="AC121">
        <v>50</v>
      </c>
      <c r="AD121">
        <v>100</v>
      </c>
      <c r="AE121">
        <v>150</v>
      </c>
      <c r="AF121">
        <v>250</v>
      </c>
      <c r="AG121">
        <v>350</v>
      </c>
      <c r="AH121">
        <v>550</v>
      </c>
      <c r="AI121">
        <v>750</v>
      </c>
      <c r="AJ121">
        <v>900</v>
      </c>
      <c r="AK121">
        <v>1000</v>
      </c>
      <c r="AL121">
        <v>1100</v>
      </c>
      <c r="AM121" s="15">
        <v>1200</v>
      </c>
      <c r="AN121" s="15">
        <v>1300</v>
      </c>
      <c r="AO121" s="21">
        <v>1400</v>
      </c>
      <c r="AX121" s="28">
        <v>30000</v>
      </c>
      <c r="AY121" s="28" t="s">
        <v>5163</v>
      </c>
      <c r="AZ121" s="28" t="s">
        <v>5164</v>
      </c>
      <c r="BA121" s="28" t="s">
        <v>4945</v>
      </c>
      <c r="BB121" s="28">
        <v>100</v>
      </c>
      <c r="CD121" s="38">
        <v>117</v>
      </c>
      <c r="CE121" s="38">
        <f t="shared" si="25"/>
        <v>3.3628435022933636</v>
      </c>
      <c r="CF121" s="38">
        <f t="shared" si="32"/>
        <v>118.02478000000001</v>
      </c>
      <c r="CG121" s="38">
        <f t="shared" si="23"/>
        <v>118</v>
      </c>
      <c r="CP121" s="40">
        <v>469</v>
      </c>
      <c r="CQ121" s="41" t="s">
        <v>3560</v>
      </c>
      <c r="CR121" s="41" t="s">
        <v>5547</v>
      </c>
      <c r="CS121" s="41">
        <v>150</v>
      </c>
      <c r="CT121" s="41">
        <v>3</v>
      </c>
      <c r="CU121" s="41">
        <v>20</v>
      </c>
      <c r="CV121" s="41">
        <v>5</v>
      </c>
      <c r="CW121" s="40"/>
      <c r="CX121" s="41" t="s">
        <v>4716</v>
      </c>
      <c r="CY121" s="40" t="s">
        <v>3096</v>
      </c>
      <c r="DC121" s="7">
        <f t="shared" ca="1" si="35"/>
        <v>0</v>
      </c>
    </row>
    <row r="122" spans="4:112" ht="14.6">
      <c r="D122" s="6" t="str">
        <f t="shared" si="27"/>
        <v>夜本建筑-&gt;储金库</v>
      </c>
      <c r="E122" s="6" t="str">
        <f t="shared" si="28"/>
        <v>#'3.2夜本建筑'!AL33:AR43</v>
      </c>
      <c r="F122" s="6" t="s">
        <v>1593</v>
      </c>
      <c r="G122" s="6" t="s">
        <v>5548</v>
      </c>
      <c r="H122" s="6" t="s">
        <v>5545</v>
      </c>
      <c r="I122" s="7" t="s">
        <v>5274</v>
      </c>
      <c r="J122" s="7" t="s">
        <v>5373</v>
      </c>
      <c r="K122" s="7" t="s">
        <v>5367</v>
      </c>
      <c r="L122" s="7" t="s">
        <v>5549</v>
      </c>
      <c r="M122" s="7" t="s">
        <v>4782</v>
      </c>
      <c r="N122" s="7" t="s">
        <v>4782</v>
      </c>
      <c r="O122" s="7" t="s">
        <v>4782</v>
      </c>
      <c r="P122" s="7" t="s">
        <v>4782</v>
      </c>
      <c r="Q122" s="7" t="s">
        <v>4782</v>
      </c>
      <c r="R122" s="7" t="s">
        <v>4782</v>
      </c>
      <c r="S122" s="7">
        <f t="array" ref="S122">SUM(IFERROR(IF(MATCH(I122:R122,$F$4:$Q$4,0)&gt;0,1,0),0))</f>
        <v>0</v>
      </c>
      <c r="T122" s="7">
        <f t="shared" ca="1" si="33"/>
        <v>37</v>
      </c>
      <c r="U122" s="7">
        <f ca="1">T122+COUNTIF(T$5:$T121,T122)</f>
        <v>138</v>
      </c>
      <c r="Y122" s="12" t="s">
        <v>5550</v>
      </c>
      <c r="Z122" s="7">
        <f t="shared" ca="1" si="37"/>
        <v>10</v>
      </c>
      <c r="AA122">
        <v>20</v>
      </c>
      <c r="AB122">
        <v>20</v>
      </c>
      <c r="AC122">
        <v>20</v>
      </c>
      <c r="AD122">
        <v>20</v>
      </c>
      <c r="AE122">
        <v>20</v>
      </c>
      <c r="AF122">
        <v>20</v>
      </c>
      <c r="AG122">
        <v>18</v>
      </c>
      <c r="AH122">
        <v>16</v>
      </c>
      <c r="AI122">
        <v>14</v>
      </c>
      <c r="AJ122">
        <v>12</v>
      </c>
      <c r="AK122">
        <v>10</v>
      </c>
      <c r="AL122">
        <v>10</v>
      </c>
      <c r="AM122" s="15">
        <v>10</v>
      </c>
      <c r="AN122" s="15">
        <v>10</v>
      </c>
      <c r="AO122" s="21">
        <v>10</v>
      </c>
      <c r="AX122" s="28">
        <v>50000</v>
      </c>
      <c r="AY122" s="28" t="s">
        <v>4943</v>
      </c>
      <c r="AZ122" s="28" t="s">
        <v>4865</v>
      </c>
      <c r="BA122" s="28" t="s">
        <v>5512</v>
      </c>
      <c r="BB122" s="28">
        <v>120</v>
      </c>
      <c r="CD122" s="38">
        <v>118</v>
      </c>
      <c r="CE122" s="38">
        <f t="shared" si="25"/>
        <v>3.3670988214422999</v>
      </c>
      <c r="CF122" s="38">
        <f t="shared" si="32"/>
        <v>119.02354</v>
      </c>
      <c r="CG122" s="38">
        <f t="shared" si="23"/>
        <v>119</v>
      </c>
      <c r="CP122" s="40">
        <v>470</v>
      </c>
      <c r="CQ122" s="41" t="s">
        <v>3560</v>
      </c>
      <c r="CR122" s="41" t="s">
        <v>5551</v>
      </c>
      <c r="CS122" s="41">
        <v>300</v>
      </c>
      <c r="CT122" s="41">
        <v>8</v>
      </c>
      <c r="CU122" s="41">
        <v>15</v>
      </c>
      <c r="CV122" s="41">
        <v>10</v>
      </c>
      <c r="CW122" s="40"/>
      <c r="CX122" s="41" t="s">
        <v>4716</v>
      </c>
      <c r="CY122" s="40" t="s">
        <v>4717</v>
      </c>
      <c r="DB122" t="s">
        <v>190</v>
      </c>
      <c r="DC122" s="7" t="str">
        <f t="shared" ca="1" si="35"/>
        <v>05_001</v>
      </c>
      <c r="DD122" t="s">
        <v>4834</v>
      </c>
      <c r="DE122" t="s">
        <v>4784</v>
      </c>
      <c r="DF122" t="s">
        <v>4785</v>
      </c>
      <c r="DG122" t="s">
        <v>4873</v>
      </c>
      <c r="DH122" t="s">
        <v>4941</v>
      </c>
    </row>
    <row r="123" spans="4:112" ht="14.6">
      <c r="D123" s="6" t="str">
        <f t="shared" si="27"/>
        <v>夜本建筑-&gt;时光钟楼</v>
      </c>
      <c r="E123" s="6" t="str">
        <f t="shared" si="28"/>
        <v>#'3.2夜本建筑'!AL46:AR56</v>
      </c>
      <c r="F123" s="6" t="s">
        <v>1602</v>
      </c>
      <c r="G123" s="6" t="s">
        <v>5552</v>
      </c>
      <c r="H123" s="6" t="s">
        <v>5545</v>
      </c>
      <c r="I123" s="7" t="s">
        <v>5274</v>
      </c>
      <c r="J123" s="7" t="s">
        <v>2043</v>
      </c>
      <c r="K123" s="7" t="s">
        <v>5553</v>
      </c>
      <c r="L123" s="7" t="s">
        <v>5554</v>
      </c>
      <c r="M123" s="7" t="s">
        <v>5555</v>
      </c>
      <c r="N123" s="7" t="s">
        <v>4782</v>
      </c>
      <c r="O123" s="7" t="s">
        <v>4782</v>
      </c>
      <c r="P123" s="7" t="s">
        <v>4782</v>
      </c>
      <c r="Q123" s="7" t="s">
        <v>4782</v>
      </c>
      <c r="R123" s="7" t="s">
        <v>4782</v>
      </c>
      <c r="S123" s="7">
        <f t="array" ref="S123">SUM(IFERROR(IF(MATCH(I123:R123,$F$4:$Q$4,0)&gt;0,1,0),0))</f>
        <v>0</v>
      </c>
      <c r="T123" s="7">
        <f t="shared" ca="1" si="33"/>
        <v>37</v>
      </c>
      <c r="U123" s="7">
        <f ca="1">T123+COUNTIF(T$5:$T122,T123)</f>
        <v>139</v>
      </c>
      <c r="Y123" s="12" t="s">
        <v>24</v>
      </c>
      <c r="Z123" s="7">
        <f t="shared" ca="1" si="37"/>
        <v>4</v>
      </c>
      <c r="AA123">
        <v>6</v>
      </c>
      <c r="AB123">
        <v>6</v>
      </c>
      <c r="AC123">
        <v>6</v>
      </c>
      <c r="AD123">
        <v>6</v>
      </c>
      <c r="AE123">
        <v>6</v>
      </c>
      <c r="AF123">
        <v>6</v>
      </c>
      <c r="AG123">
        <v>6</v>
      </c>
      <c r="AH123">
        <v>6</v>
      </c>
      <c r="AI123">
        <v>5</v>
      </c>
      <c r="AJ123">
        <v>4</v>
      </c>
      <c r="AK123">
        <v>4</v>
      </c>
      <c r="AL123">
        <v>4</v>
      </c>
      <c r="AM123" s="15">
        <v>4</v>
      </c>
      <c r="AN123" s="15">
        <v>4</v>
      </c>
      <c r="AO123" s="21">
        <v>4</v>
      </c>
      <c r="AX123" s="28">
        <v>3000</v>
      </c>
      <c r="AY123" s="28" t="s">
        <v>4712</v>
      </c>
      <c r="AZ123" s="28" t="s">
        <v>5538</v>
      </c>
      <c r="BA123" s="28" t="s">
        <v>4675</v>
      </c>
      <c r="BB123" s="28">
        <v>20</v>
      </c>
      <c r="CD123" s="38">
        <v>119</v>
      </c>
      <c r="CE123" s="38">
        <f t="shared" si="25"/>
        <v>3.3713182307250005</v>
      </c>
      <c r="CF123" s="38">
        <f t="shared" si="32"/>
        <v>120.02231999999999</v>
      </c>
      <c r="CG123" s="38">
        <f t="shared" si="23"/>
        <v>120</v>
      </c>
      <c r="CP123" s="40">
        <v>471</v>
      </c>
      <c r="CQ123" s="41" t="s">
        <v>3560</v>
      </c>
      <c r="CR123" s="41" t="s">
        <v>5556</v>
      </c>
      <c r="CS123" s="41">
        <v>600</v>
      </c>
      <c r="CT123" s="41">
        <v>24</v>
      </c>
      <c r="CU123" s="41">
        <v>10</v>
      </c>
      <c r="CV123" s="41">
        <v>15</v>
      </c>
      <c r="CW123" s="40"/>
      <c r="CX123" s="41" t="s">
        <v>4716</v>
      </c>
      <c r="CY123" s="40" t="s">
        <v>3104</v>
      </c>
      <c r="DB123" t="s">
        <v>196</v>
      </c>
      <c r="DC123" s="7" t="str">
        <f t="shared" ca="1" si="35"/>
        <v>05_001</v>
      </c>
      <c r="DD123" t="s">
        <v>4834</v>
      </c>
      <c r="DE123" t="s">
        <v>4784</v>
      </c>
      <c r="DF123" t="s">
        <v>4785</v>
      </c>
      <c r="DG123" t="s">
        <v>4873</v>
      </c>
      <c r="DH123" t="s">
        <v>4941</v>
      </c>
    </row>
    <row r="124" spans="4:112" ht="14.6">
      <c r="D124" s="6" t="str">
        <f t="shared" si="27"/>
        <v>夜本建筑-&gt;小型地雷</v>
      </c>
      <c r="E124" s="6" t="str">
        <f t="shared" si="28"/>
        <v>#'3.2夜本建筑'!AL59:AQ69</v>
      </c>
      <c r="F124" s="6" t="s">
        <v>1611</v>
      </c>
      <c r="G124" s="6" t="s">
        <v>5557</v>
      </c>
      <c r="H124" s="6" t="s">
        <v>5545</v>
      </c>
      <c r="I124" s="7" t="s">
        <v>5274</v>
      </c>
      <c r="J124" s="7" t="s">
        <v>5091</v>
      </c>
      <c r="K124" s="7" t="s">
        <v>5233</v>
      </c>
      <c r="L124" s="7" t="s">
        <v>5102</v>
      </c>
      <c r="M124" s="7" t="s">
        <v>5120</v>
      </c>
      <c r="N124" s="7" t="s">
        <v>4782</v>
      </c>
      <c r="O124" s="7" t="s">
        <v>4782</v>
      </c>
      <c r="P124" s="7" t="s">
        <v>4782</v>
      </c>
      <c r="Q124" s="7" t="s">
        <v>4782</v>
      </c>
      <c r="R124" s="7" t="s">
        <v>4782</v>
      </c>
      <c r="S124" s="7">
        <f t="array" ref="S124">SUM(IFERROR(IF(MATCH(I124:R124,$F$4:$Q$4,0)&gt;0,1,0),0))</f>
        <v>1</v>
      </c>
      <c r="T124" s="7">
        <f t="shared" ca="1" si="33"/>
        <v>20</v>
      </c>
      <c r="U124" s="7">
        <f ca="1">T124+COUNTIF(T$5:$T123,T124)</f>
        <v>26</v>
      </c>
      <c r="Y124" s="12" t="s">
        <v>5558</v>
      </c>
      <c r="Z124" s="7">
        <f t="shared" ca="1" si="37"/>
        <v>650000</v>
      </c>
      <c r="AA124">
        <v>200000</v>
      </c>
      <c r="AB124">
        <v>200000</v>
      </c>
      <c r="AC124">
        <v>200000</v>
      </c>
      <c r="AD124">
        <v>200000</v>
      </c>
      <c r="AE124">
        <v>200000</v>
      </c>
      <c r="AF124">
        <v>200000</v>
      </c>
      <c r="AG124">
        <v>250000</v>
      </c>
      <c r="AH124">
        <v>300000</v>
      </c>
      <c r="AI124">
        <v>350000</v>
      </c>
      <c r="AJ124">
        <v>400000</v>
      </c>
      <c r="AK124">
        <v>450000</v>
      </c>
      <c r="AL124">
        <v>500000</v>
      </c>
      <c r="AM124" s="15">
        <v>550000</v>
      </c>
      <c r="AN124" s="15">
        <v>600000</v>
      </c>
      <c r="AO124" s="21">
        <v>650000</v>
      </c>
      <c r="AX124" s="28">
        <v>7500</v>
      </c>
      <c r="AY124" s="28" t="s">
        <v>4688</v>
      </c>
      <c r="AZ124" s="28" t="s">
        <v>5467</v>
      </c>
      <c r="BA124" s="28" t="s">
        <v>4795</v>
      </c>
      <c r="BB124" s="28">
        <v>40</v>
      </c>
      <c r="CD124" s="38">
        <v>120</v>
      </c>
      <c r="CE124" s="38">
        <f t="shared" si="25"/>
        <v>3.3755023311434105</v>
      </c>
      <c r="CF124" s="38">
        <f t="shared" si="32"/>
        <v>121.0211</v>
      </c>
      <c r="CG124" s="38">
        <f t="shared" si="23"/>
        <v>121</v>
      </c>
      <c r="CP124" s="40">
        <v>472</v>
      </c>
      <c r="CQ124" s="41" t="s">
        <v>3566</v>
      </c>
      <c r="CR124" s="41" t="s">
        <v>5559</v>
      </c>
      <c r="CS124" s="41">
        <v>200</v>
      </c>
      <c r="CT124" s="41">
        <v>3</v>
      </c>
      <c r="CU124" s="41">
        <v>15</v>
      </c>
      <c r="CV124" s="41">
        <v>5</v>
      </c>
      <c r="CW124" s="40"/>
      <c r="CX124" s="41" t="s">
        <v>4716</v>
      </c>
      <c r="CY124" s="40" t="s">
        <v>3096</v>
      </c>
      <c r="DB124" t="s">
        <v>201</v>
      </c>
      <c r="DC124" s="7" t="str">
        <f t="shared" ca="1" si="35"/>
        <v>05_001</v>
      </c>
      <c r="DD124" t="s">
        <v>5280</v>
      </c>
      <c r="DE124" t="s">
        <v>4784</v>
      </c>
      <c r="DF124" t="s">
        <v>4785</v>
      </c>
      <c r="DG124" t="s">
        <v>4873</v>
      </c>
      <c r="DH124" t="s">
        <v>4941</v>
      </c>
    </row>
    <row r="125" spans="4:112" ht="14.6">
      <c r="D125" s="6" t="str">
        <f t="shared" si="27"/>
        <v>夜本建筑-&gt;大本营</v>
      </c>
      <c r="E125" s="6" t="str">
        <f t="shared" si="28"/>
        <v>#'3.2夜本建筑'!AL6:AR16</v>
      </c>
      <c r="F125" s="6" t="s">
        <v>1080</v>
      </c>
      <c r="G125" s="6" t="s">
        <v>5560</v>
      </c>
      <c r="H125" s="6" t="s">
        <v>5545</v>
      </c>
      <c r="I125" s="7" t="s">
        <v>5274</v>
      </c>
      <c r="J125" s="7" t="s">
        <v>4859</v>
      </c>
      <c r="K125" s="7" t="s">
        <v>5357</v>
      </c>
      <c r="L125" s="7" t="s">
        <v>5217</v>
      </c>
      <c r="M125" s="7" t="s">
        <v>4782</v>
      </c>
      <c r="N125" s="7" t="s">
        <v>4782</v>
      </c>
      <c r="O125" s="7" t="s">
        <v>4782</v>
      </c>
      <c r="P125" s="7" t="s">
        <v>4782</v>
      </c>
      <c r="Q125" s="7" t="s">
        <v>4782</v>
      </c>
      <c r="R125" s="7" t="s">
        <v>4782</v>
      </c>
      <c r="S125" s="7">
        <f t="array" ref="S125">SUM(IFERROR(IF(MATCH(I125:R125,$F$4:$Q$4,0)&gt;0,1,0),0))</f>
        <v>0</v>
      </c>
      <c r="T125" s="7">
        <f t="shared" ca="1" si="33"/>
        <v>37</v>
      </c>
      <c r="U125" s="7">
        <f ca="1">T125+COUNTIF(T$5:$T124,T125)</f>
        <v>140</v>
      </c>
      <c r="Y125" s="12" t="s">
        <v>36</v>
      </c>
      <c r="Z125" s="7">
        <f t="shared" ca="1" si="37"/>
        <v>5500</v>
      </c>
      <c r="AA125">
        <v>2000</v>
      </c>
      <c r="AB125">
        <v>2000</v>
      </c>
      <c r="AC125">
        <v>2000</v>
      </c>
      <c r="AD125">
        <v>2000</v>
      </c>
      <c r="AE125">
        <v>2000</v>
      </c>
      <c r="AF125">
        <v>2000</v>
      </c>
      <c r="AG125">
        <v>2000</v>
      </c>
      <c r="AH125">
        <v>2000</v>
      </c>
      <c r="AI125">
        <v>2500</v>
      </c>
      <c r="AJ125">
        <v>3000</v>
      </c>
      <c r="AK125">
        <v>3500</v>
      </c>
      <c r="AL125">
        <v>4000</v>
      </c>
      <c r="AM125" s="15">
        <v>4500</v>
      </c>
      <c r="AN125" s="15">
        <v>5000</v>
      </c>
      <c r="AO125" s="21">
        <v>5500</v>
      </c>
      <c r="AX125" s="28">
        <v>12000</v>
      </c>
      <c r="AY125" s="28" t="s">
        <v>4963</v>
      </c>
      <c r="AZ125" s="28" t="s">
        <v>4689</v>
      </c>
      <c r="BA125" s="28" t="s">
        <v>4770</v>
      </c>
      <c r="BB125" s="28">
        <v>60</v>
      </c>
      <c r="CD125" s="38">
        <v>121</v>
      </c>
      <c r="CE125" s="38">
        <f t="shared" si="25"/>
        <v>3.3796517087367715</v>
      </c>
      <c r="CF125" s="38">
        <f t="shared" si="32"/>
        <v>122.01990000000001</v>
      </c>
      <c r="CG125" s="38">
        <f t="shared" si="23"/>
        <v>122</v>
      </c>
      <c r="CP125" s="40">
        <v>473</v>
      </c>
      <c r="CQ125" s="41" t="s">
        <v>3566</v>
      </c>
      <c r="CR125" s="41" t="s">
        <v>5561</v>
      </c>
      <c r="CS125" s="41">
        <v>400</v>
      </c>
      <c r="CT125" s="41">
        <v>8</v>
      </c>
      <c r="CU125" s="41">
        <v>10</v>
      </c>
      <c r="CV125" s="41">
        <v>10</v>
      </c>
      <c r="CW125" s="40"/>
      <c r="CX125" s="41" t="s">
        <v>4716</v>
      </c>
      <c r="CY125" s="40" t="s">
        <v>4717</v>
      </c>
      <c r="DB125" t="s">
        <v>207</v>
      </c>
      <c r="DC125" s="7" t="str">
        <f t="shared" ca="1" si="35"/>
        <v>05_001</v>
      </c>
      <c r="DD125" t="s">
        <v>5213</v>
      </c>
      <c r="DE125" t="s">
        <v>4784</v>
      </c>
      <c r="DF125" t="s">
        <v>4785</v>
      </c>
      <c r="DG125" t="s">
        <v>4873</v>
      </c>
      <c r="DH125" t="s">
        <v>4941</v>
      </c>
    </row>
    <row r="126" spans="4:112" ht="14.6">
      <c r="D126" s="6" t="str">
        <f t="shared" si="27"/>
        <v>夜本建筑-&gt;圣水瓶</v>
      </c>
      <c r="E126" s="6" t="str">
        <f t="shared" si="28"/>
        <v>#'3.2夜本建筑'!AV19:BB29</v>
      </c>
      <c r="F126" s="6" t="s">
        <v>1584</v>
      </c>
      <c r="G126" s="6" t="s">
        <v>5562</v>
      </c>
      <c r="H126" s="6" t="s">
        <v>5545</v>
      </c>
      <c r="I126" s="7" t="s">
        <v>5274</v>
      </c>
      <c r="J126" s="7" t="s">
        <v>5393</v>
      </c>
      <c r="K126" s="7" t="s">
        <v>5394</v>
      </c>
      <c r="L126" s="7" t="s">
        <v>5401</v>
      </c>
      <c r="M126" s="7" t="s">
        <v>4782</v>
      </c>
      <c r="N126" s="7" t="s">
        <v>4782</v>
      </c>
      <c r="O126" s="7" t="s">
        <v>4782</v>
      </c>
      <c r="P126" s="7" t="s">
        <v>4782</v>
      </c>
      <c r="Q126" s="7" t="s">
        <v>4782</v>
      </c>
      <c r="R126" s="7" t="s">
        <v>4782</v>
      </c>
      <c r="S126" s="7">
        <f t="array" ref="S126">SUM(IFERROR(IF(MATCH(I126:R126,$F$4:$Q$4,0)&gt;0,1,0),0))</f>
        <v>0</v>
      </c>
      <c r="T126" s="7">
        <f t="shared" ca="1" si="33"/>
        <v>37</v>
      </c>
      <c r="U126" s="7">
        <f ca="1">T126+COUNTIF(T$5:$T125,T126)</f>
        <v>141</v>
      </c>
      <c r="Y126" s="12" t="s">
        <v>5563</v>
      </c>
      <c r="Z126" s="7">
        <f t="shared" ca="1" si="37"/>
        <v>150000</v>
      </c>
      <c r="AA126">
        <v>1000</v>
      </c>
      <c r="AB126">
        <v>2500</v>
      </c>
      <c r="AC126">
        <v>6250</v>
      </c>
      <c r="AD126">
        <v>12500</v>
      </c>
      <c r="AE126">
        <v>20000</v>
      </c>
      <c r="AF126">
        <v>30000</v>
      </c>
      <c r="AG126">
        <v>40000</v>
      </c>
      <c r="AH126">
        <v>55000</v>
      </c>
      <c r="AI126">
        <v>70000</v>
      </c>
      <c r="AJ126">
        <v>90000</v>
      </c>
      <c r="AK126">
        <v>110000</v>
      </c>
      <c r="AL126">
        <v>120000</v>
      </c>
      <c r="AM126" s="15">
        <v>130000</v>
      </c>
      <c r="AN126" s="15">
        <v>140000</v>
      </c>
      <c r="AO126" s="21">
        <v>150000</v>
      </c>
      <c r="AX126" s="28">
        <v>18000</v>
      </c>
      <c r="AY126" s="28" t="s">
        <v>4934</v>
      </c>
      <c r="AZ126" s="28" t="s">
        <v>5164</v>
      </c>
      <c r="BA126" s="28" t="s">
        <v>5564</v>
      </c>
      <c r="BB126" s="28">
        <v>80</v>
      </c>
      <c r="CD126" s="38">
        <v>122</v>
      </c>
      <c r="CE126" s="38">
        <f t="shared" si="25"/>
        <v>3.3837669350742199</v>
      </c>
      <c r="CF126" s="38">
        <f t="shared" si="32"/>
        <v>123.01871</v>
      </c>
      <c r="CG126" s="38">
        <f t="shared" si="23"/>
        <v>123</v>
      </c>
      <c r="CP126" s="40">
        <v>474</v>
      </c>
      <c r="CQ126" s="41" t="s">
        <v>3566</v>
      </c>
      <c r="CR126" s="41" t="s">
        <v>5565</v>
      </c>
      <c r="CS126" s="41">
        <v>800</v>
      </c>
      <c r="CT126" s="41">
        <v>24</v>
      </c>
      <c r="CU126" s="41">
        <v>5</v>
      </c>
      <c r="CV126" s="41">
        <v>15</v>
      </c>
      <c r="CW126" s="40"/>
      <c r="CX126" s="41" t="s">
        <v>4716</v>
      </c>
      <c r="CY126" s="40" t="s">
        <v>3104</v>
      </c>
      <c r="DC126" s="7">
        <f t="shared" ca="1" si="35"/>
        <v>0</v>
      </c>
    </row>
    <row r="127" spans="4:112" ht="14.6">
      <c r="D127" s="6" t="str">
        <f t="shared" si="27"/>
        <v>夜本建筑-&gt;采金场</v>
      </c>
      <c r="E127" s="6" t="str">
        <f t="shared" si="28"/>
        <v>#'3.2夜本建筑'!AV33:BD43</v>
      </c>
      <c r="F127" s="6" t="s">
        <v>1597</v>
      </c>
      <c r="G127" s="6" t="s">
        <v>5566</v>
      </c>
      <c r="H127" s="6" t="s">
        <v>5545</v>
      </c>
      <c r="I127" s="7" t="s">
        <v>5274</v>
      </c>
      <c r="J127" s="7" t="s">
        <v>5366</v>
      </c>
      <c r="K127" s="7" t="s">
        <v>5367</v>
      </c>
      <c r="L127" s="7" t="s">
        <v>5368</v>
      </c>
      <c r="M127" s="7" t="s">
        <v>4782</v>
      </c>
      <c r="N127" s="7" t="s">
        <v>5103</v>
      </c>
      <c r="O127" s="7" t="s">
        <v>4782</v>
      </c>
      <c r="P127" s="7" t="s">
        <v>4782</v>
      </c>
      <c r="Q127" s="7" t="s">
        <v>4782</v>
      </c>
      <c r="R127" s="7" t="s">
        <v>4782</v>
      </c>
      <c r="S127" s="7">
        <f t="array" ref="S127">SUM(IFERROR(IF(MATCH(I127:R127,$F$4:$Q$4,0)&gt;0,1,0),0))</f>
        <v>0</v>
      </c>
      <c r="T127" s="7">
        <f t="shared" ca="1" si="33"/>
        <v>37</v>
      </c>
      <c r="U127" s="7">
        <f ca="1">T127+COUNTIF(T$5:$T126,T127)</f>
        <v>142</v>
      </c>
      <c r="Y127" s="12" t="s">
        <v>5567</v>
      </c>
      <c r="Z127" s="7">
        <f t="shared" ca="1" si="37"/>
        <v>800</v>
      </c>
      <c r="AA127">
        <v>0</v>
      </c>
      <c r="AB127">
        <v>0</v>
      </c>
      <c r="AC127">
        <v>0</v>
      </c>
      <c r="AD127">
        <v>0</v>
      </c>
      <c r="AE127">
        <v>0</v>
      </c>
      <c r="AF127">
        <v>0</v>
      </c>
      <c r="AG127">
        <v>125</v>
      </c>
      <c r="AH127">
        <v>200</v>
      </c>
      <c r="AI127">
        <v>333</v>
      </c>
      <c r="AJ127">
        <v>500</v>
      </c>
      <c r="AK127">
        <v>600</v>
      </c>
      <c r="AL127">
        <v>650</v>
      </c>
      <c r="AM127" s="15">
        <v>700</v>
      </c>
      <c r="AN127" s="15">
        <v>750</v>
      </c>
      <c r="AO127" s="21">
        <v>800</v>
      </c>
      <c r="AX127" s="28">
        <v>30000</v>
      </c>
      <c r="AY127" s="28" t="s">
        <v>4745</v>
      </c>
      <c r="AZ127" s="28" t="s">
        <v>5568</v>
      </c>
      <c r="BA127" s="28" t="s">
        <v>5569</v>
      </c>
      <c r="BB127" s="28">
        <v>100</v>
      </c>
      <c r="CD127" s="38">
        <v>123</v>
      </c>
      <c r="CE127" s="38">
        <f t="shared" si="25"/>
        <v>3.3878485677272812</v>
      </c>
      <c r="CF127" s="38">
        <f t="shared" si="32"/>
        <v>124.01752</v>
      </c>
      <c r="CG127" s="38">
        <f t="shared" si="23"/>
        <v>124</v>
      </c>
      <c r="CP127" s="40">
        <v>475</v>
      </c>
      <c r="CQ127" s="41" t="s">
        <v>3573</v>
      </c>
      <c r="CR127" s="41" t="s">
        <v>5570</v>
      </c>
      <c r="CS127" s="41">
        <v>150</v>
      </c>
      <c r="CT127" s="41">
        <v>3</v>
      </c>
      <c r="CU127" s="41">
        <v>20</v>
      </c>
      <c r="CV127" s="41">
        <v>5</v>
      </c>
      <c r="CW127" s="40"/>
      <c r="CX127" s="41" t="s">
        <v>4716</v>
      </c>
      <c r="CY127" s="40" t="s">
        <v>3096</v>
      </c>
      <c r="DC127" s="7">
        <f t="shared" ca="1" si="35"/>
        <v>0</v>
      </c>
    </row>
    <row r="128" spans="4:112" ht="14.6">
      <c r="D128" s="6" t="str">
        <f t="shared" si="27"/>
        <v>夜本建筑-&gt;弹射陷阱</v>
      </c>
      <c r="E128" s="6" t="str">
        <f t="shared" si="28"/>
        <v>#'3.2夜本建筑'!AV46:BA56</v>
      </c>
      <c r="F128" s="6" t="s">
        <v>1604</v>
      </c>
      <c r="G128" s="6" t="s">
        <v>5571</v>
      </c>
      <c r="H128" s="6" t="s">
        <v>5545</v>
      </c>
      <c r="I128" s="7" t="s">
        <v>5274</v>
      </c>
      <c r="J128" s="7" t="s">
        <v>5016</v>
      </c>
      <c r="K128" s="7" t="s">
        <v>5572</v>
      </c>
      <c r="L128" s="7" t="s">
        <v>5436</v>
      </c>
      <c r="M128" s="7" t="s">
        <v>5437</v>
      </c>
      <c r="N128" s="7" t="s">
        <v>4782</v>
      </c>
      <c r="O128" s="7" t="s">
        <v>4782</v>
      </c>
      <c r="P128" s="7" t="s">
        <v>4782</v>
      </c>
      <c r="Q128" s="7" t="s">
        <v>4782</v>
      </c>
      <c r="R128" s="7" t="s">
        <v>4782</v>
      </c>
      <c r="S128" s="7">
        <f t="array" ref="S128">SUM(IFERROR(IF(MATCH(I128:R128,$F$4:$Q$4,0)&gt;0,1,0),0))</f>
        <v>0</v>
      </c>
      <c r="T128" s="7">
        <f t="shared" ca="1" si="33"/>
        <v>37</v>
      </c>
      <c r="U128" s="7">
        <f ca="1">T128+COUNTIF(T$5:$T127,T128)</f>
        <v>143</v>
      </c>
      <c r="Y128" s="12" t="s">
        <v>52</v>
      </c>
      <c r="Z128" s="7">
        <f t="shared" ca="1" si="37"/>
        <v>13</v>
      </c>
      <c r="AA128">
        <v>1</v>
      </c>
      <c r="AB128">
        <v>1</v>
      </c>
      <c r="AC128">
        <v>1</v>
      </c>
      <c r="AD128">
        <v>2</v>
      </c>
      <c r="AE128">
        <v>2</v>
      </c>
      <c r="AF128">
        <v>2</v>
      </c>
      <c r="AG128">
        <v>3</v>
      </c>
      <c r="AH128">
        <v>4</v>
      </c>
      <c r="AI128">
        <v>5</v>
      </c>
      <c r="AJ128">
        <v>7</v>
      </c>
      <c r="AK128">
        <v>9</v>
      </c>
      <c r="AL128">
        <v>10</v>
      </c>
      <c r="AM128" s="15">
        <v>11</v>
      </c>
      <c r="AN128" s="15">
        <v>12</v>
      </c>
      <c r="AO128" s="21">
        <v>13</v>
      </c>
      <c r="AX128" s="28">
        <v>50000</v>
      </c>
      <c r="AY128" s="28" t="s">
        <v>4751</v>
      </c>
      <c r="AZ128" s="28" t="s">
        <v>5003</v>
      </c>
      <c r="BA128" s="28" t="s">
        <v>5476</v>
      </c>
      <c r="BB128" s="28">
        <v>120</v>
      </c>
      <c r="CD128" s="38">
        <v>124</v>
      </c>
      <c r="CE128" s="38">
        <f t="shared" si="25"/>
        <v>3.3918971507232327</v>
      </c>
      <c r="CF128" s="38">
        <f t="shared" si="32"/>
        <v>125.01635</v>
      </c>
      <c r="CG128" s="38">
        <f t="shared" si="23"/>
        <v>125</v>
      </c>
      <c r="CP128" s="40">
        <v>476</v>
      </c>
      <c r="CQ128" s="41" t="s">
        <v>3573</v>
      </c>
      <c r="CR128" s="41" t="s">
        <v>5573</v>
      </c>
      <c r="CS128" s="41">
        <v>300</v>
      </c>
      <c r="CT128" s="41">
        <v>8</v>
      </c>
      <c r="CU128" s="41">
        <v>15</v>
      </c>
      <c r="CV128" s="41">
        <v>10</v>
      </c>
      <c r="CW128" s="40"/>
      <c r="CX128" s="41" t="s">
        <v>4716</v>
      </c>
      <c r="CY128" s="40" t="s">
        <v>4717</v>
      </c>
      <c r="DC128" s="7">
        <f t="shared" ca="1" si="35"/>
        <v>0</v>
      </c>
    </row>
    <row r="129" spans="4:112" ht="14.6">
      <c r="D129" s="6" t="str">
        <f t="shared" si="27"/>
        <v>夜本建筑-&gt;大型地雷</v>
      </c>
      <c r="E129" s="6" t="str">
        <f t="shared" si="28"/>
        <v>#'3.2夜本建筑'!AV59:BA69</v>
      </c>
      <c r="F129" s="6" t="s">
        <v>1614</v>
      </c>
      <c r="G129" s="6" t="s">
        <v>5574</v>
      </c>
      <c r="H129" s="6" t="s">
        <v>5545</v>
      </c>
      <c r="I129" s="7" t="s">
        <v>5274</v>
      </c>
      <c r="J129" s="7" t="s">
        <v>4859</v>
      </c>
      <c r="K129" s="7" t="s">
        <v>5233</v>
      </c>
      <c r="L129" s="7" t="s">
        <v>5102</v>
      </c>
      <c r="M129" s="7" t="s">
        <v>5120</v>
      </c>
      <c r="N129" s="7" t="s">
        <v>4927</v>
      </c>
      <c r="O129" s="7" t="s">
        <v>4782</v>
      </c>
      <c r="P129" s="7" t="s">
        <v>4782</v>
      </c>
      <c r="Q129" s="7" t="s">
        <v>4782</v>
      </c>
      <c r="R129" s="7" t="s">
        <v>4782</v>
      </c>
      <c r="S129" s="7">
        <f t="array" ref="S129">SUM(IFERROR(IF(MATCH(I129:R129,$F$4:$Q$4,0)&gt;0,1,0),0))</f>
        <v>1</v>
      </c>
      <c r="T129" s="7">
        <f t="shared" ca="1" si="33"/>
        <v>20</v>
      </c>
      <c r="U129" s="7">
        <f ca="1">T129+COUNTIF(T$5:$T128,T129)</f>
        <v>27</v>
      </c>
      <c r="Y129" s="12" t="s">
        <v>5575</v>
      </c>
      <c r="Z129" s="7">
        <f t="shared" ca="1" si="37"/>
        <v>3000000</v>
      </c>
      <c r="AA129">
        <v>200000</v>
      </c>
      <c r="AB129">
        <v>200000</v>
      </c>
      <c r="AC129">
        <v>200000</v>
      </c>
      <c r="AD129">
        <v>200000</v>
      </c>
      <c r="AE129">
        <v>600000</v>
      </c>
      <c r="AF129">
        <v>1000000</v>
      </c>
      <c r="AG129">
        <v>1400000</v>
      </c>
      <c r="AH129">
        <v>1600000</v>
      </c>
      <c r="AI129">
        <v>1800000</v>
      </c>
      <c r="AJ129">
        <v>2000000</v>
      </c>
      <c r="AK129">
        <v>2200000</v>
      </c>
      <c r="AL129">
        <v>2400000</v>
      </c>
      <c r="AM129" s="15">
        <v>2600000</v>
      </c>
      <c r="AN129" s="15">
        <v>2800000</v>
      </c>
      <c r="AO129" s="21">
        <v>3000000</v>
      </c>
      <c r="AX129" s="28">
        <v>75000</v>
      </c>
      <c r="AY129" s="28" t="s">
        <v>4746</v>
      </c>
      <c r="AZ129" s="28" t="s">
        <v>4865</v>
      </c>
      <c r="BA129" s="28" t="s">
        <v>5512</v>
      </c>
      <c r="BB129" s="28">
        <v>140</v>
      </c>
      <c r="CD129" s="38">
        <v>125</v>
      </c>
      <c r="CE129" s="38">
        <f t="shared" si="25"/>
        <v>3.3959132149802609</v>
      </c>
      <c r="CF129" s="38">
        <f t="shared" si="32"/>
        <v>126.01519</v>
      </c>
      <c r="CG129" s="38">
        <f t="shared" si="23"/>
        <v>126</v>
      </c>
      <c r="CP129" s="40">
        <v>477</v>
      </c>
      <c r="CQ129" s="41" t="s">
        <v>3573</v>
      </c>
      <c r="CR129" s="41" t="s">
        <v>5576</v>
      </c>
      <c r="CS129" s="41">
        <v>600</v>
      </c>
      <c r="CT129" s="41">
        <v>24</v>
      </c>
      <c r="CU129" s="41">
        <v>10</v>
      </c>
      <c r="CV129" s="41">
        <v>15</v>
      </c>
      <c r="CW129" s="40"/>
      <c r="CX129" s="41" t="s">
        <v>4716</v>
      </c>
      <c r="CY129" s="40" t="s">
        <v>3104</v>
      </c>
      <c r="DB129" t="s">
        <v>213</v>
      </c>
      <c r="DC129" s="7" t="str">
        <f t="shared" ca="1" si="35"/>
        <v>05_010</v>
      </c>
      <c r="DD129" t="s">
        <v>5577</v>
      </c>
      <c r="DE129" t="s">
        <v>5578</v>
      </c>
      <c r="DF129" t="s">
        <v>5579</v>
      </c>
      <c r="DG129" t="s">
        <v>5097</v>
      </c>
      <c r="DH129" t="s">
        <v>5580</v>
      </c>
    </row>
    <row r="130" spans="4:112" ht="14.6">
      <c r="D130" s="6" t="str">
        <f t="shared" si="27"/>
        <v>夜本建筑-&gt;训练营</v>
      </c>
      <c r="E130" s="6" t="str">
        <f t="shared" si="28"/>
        <v>#'3.2夜本建筑'!AV6:BB17</v>
      </c>
      <c r="F130" s="6" t="s">
        <v>1574</v>
      </c>
      <c r="G130" s="6" t="s">
        <v>5581</v>
      </c>
      <c r="H130" s="6" t="s">
        <v>5545</v>
      </c>
      <c r="I130" s="7" t="s">
        <v>5274</v>
      </c>
      <c r="J130" s="7" t="s">
        <v>5215</v>
      </c>
      <c r="K130" s="7" t="s">
        <v>5216</v>
      </c>
      <c r="L130" s="7" t="s">
        <v>5217</v>
      </c>
      <c r="M130" s="7" t="s">
        <v>4782</v>
      </c>
      <c r="N130" s="7" t="s">
        <v>4782</v>
      </c>
      <c r="O130" s="7" t="s">
        <v>4782</v>
      </c>
      <c r="P130" s="7" t="s">
        <v>4782</v>
      </c>
      <c r="Q130" s="7" t="s">
        <v>4782</v>
      </c>
      <c r="R130" s="7" t="s">
        <v>4782</v>
      </c>
      <c r="S130" s="7">
        <f t="array" ref="S130">SUM(IFERROR(IF(MATCH(I130:R130,$F$4:$Q$4,0)&gt;0,1,0),0))</f>
        <v>0</v>
      </c>
      <c r="T130" s="7">
        <f t="shared" ca="1" si="33"/>
        <v>37</v>
      </c>
      <c r="U130" s="7">
        <f ca="1">T130+COUNTIF(T$5:$T129,T130)</f>
        <v>144</v>
      </c>
      <c r="Y130" s="12" t="s">
        <v>36</v>
      </c>
      <c r="Z130" s="7">
        <f t="shared" ca="1" si="37"/>
        <v>6000</v>
      </c>
      <c r="AA130">
        <v>0</v>
      </c>
      <c r="AB130">
        <v>0</v>
      </c>
      <c r="AC130">
        <v>0</v>
      </c>
      <c r="AD130">
        <v>0</v>
      </c>
      <c r="AE130">
        <v>0</v>
      </c>
      <c r="AF130">
        <v>0</v>
      </c>
      <c r="AG130">
        <v>2800</v>
      </c>
      <c r="AH130">
        <v>3200</v>
      </c>
      <c r="AI130">
        <v>3600</v>
      </c>
      <c r="AJ130">
        <v>4000</v>
      </c>
      <c r="AK130">
        <v>4400</v>
      </c>
      <c r="AL130">
        <v>4800</v>
      </c>
      <c r="AM130" s="15">
        <v>5200</v>
      </c>
      <c r="AN130" s="15">
        <v>5600</v>
      </c>
      <c r="AO130" s="21">
        <v>6000</v>
      </c>
      <c r="AX130" s="28">
        <v>3000</v>
      </c>
      <c r="AY130" s="28" t="s">
        <v>4739</v>
      </c>
      <c r="AZ130" s="28" t="s">
        <v>4963</v>
      </c>
      <c r="BA130" s="28" t="s">
        <v>5468</v>
      </c>
      <c r="BB130" s="28">
        <v>20</v>
      </c>
      <c r="CD130" s="38">
        <v>126</v>
      </c>
      <c r="CE130" s="38">
        <f t="shared" si="25"/>
        <v>3.3998972787252808</v>
      </c>
      <c r="CF130" s="38">
        <f t="shared" si="32"/>
        <v>127.01403000000001</v>
      </c>
      <c r="CG130" s="38">
        <f t="shared" si="23"/>
        <v>127</v>
      </c>
      <c r="CP130" s="40">
        <v>478</v>
      </c>
      <c r="CQ130" s="41" t="s">
        <v>3579</v>
      </c>
      <c r="CR130" s="41" t="s">
        <v>5582</v>
      </c>
      <c r="CS130" s="41">
        <v>150</v>
      </c>
      <c r="CT130" s="41">
        <v>3</v>
      </c>
      <c r="CU130" s="41">
        <v>20</v>
      </c>
      <c r="CV130" s="41">
        <v>5</v>
      </c>
      <c r="CW130" s="40"/>
      <c r="CX130" s="41" t="s">
        <v>4716</v>
      </c>
      <c r="CY130" s="40" t="s">
        <v>3096</v>
      </c>
      <c r="DB130" t="s">
        <v>214</v>
      </c>
      <c r="DC130" s="7" t="str">
        <f t="shared" ca="1" si="35"/>
        <v>05_003</v>
      </c>
      <c r="DD130" t="s">
        <v>5213</v>
      </c>
      <c r="DE130" t="s">
        <v>5213</v>
      </c>
      <c r="DF130" t="s">
        <v>4785</v>
      </c>
      <c r="DG130" t="s">
        <v>4756</v>
      </c>
      <c r="DH130" t="s">
        <v>4835</v>
      </c>
    </row>
    <row r="131" spans="4:112" ht="14.6">
      <c r="D131" s="6" t="str">
        <f t="shared" si="27"/>
        <v>夜本建筑-&gt;圣水泵</v>
      </c>
      <c r="E131" s="6" t="str">
        <f t="shared" si="28"/>
        <v>#'3.2夜本建筑'!BF19:BN29</v>
      </c>
      <c r="F131" s="6" t="s">
        <v>1588</v>
      </c>
      <c r="G131" s="6" t="s">
        <v>5583</v>
      </c>
      <c r="H131" s="6" t="s">
        <v>5545</v>
      </c>
      <c r="I131" s="7" t="s">
        <v>5274</v>
      </c>
      <c r="J131" s="7" t="s">
        <v>5393</v>
      </c>
      <c r="K131" s="7" t="s">
        <v>5394</v>
      </c>
      <c r="L131" s="7" t="s">
        <v>5395</v>
      </c>
      <c r="M131" s="7" t="s">
        <v>5366</v>
      </c>
      <c r="N131" s="7" t="s">
        <v>5396</v>
      </c>
      <c r="O131" s="7" t="s">
        <v>5397</v>
      </c>
      <c r="P131" s="7" t="s">
        <v>4782</v>
      </c>
      <c r="Q131" s="7" t="s">
        <v>4782</v>
      </c>
      <c r="R131" s="7" t="s">
        <v>4782</v>
      </c>
      <c r="S131" s="7">
        <f t="array" ref="S131">SUM(IFERROR(IF(MATCH(I131:R131,$F$4:$Q$4,0)&gt;0,1,0),0))</f>
        <v>0</v>
      </c>
      <c r="T131" s="7">
        <f t="shared" ca="1" si="33"/>
        <v>37</v>
      </c>
      <c r="U131" s="7">
        <f ca="1">T131+COUNTIF(T$5:$T130,T131)</f>
        <v>145</v>
      </c>
      <c r="Y131" s="12" t="s">
        <v>5584</v>
      </c>
      <c r="Z131" s="7">
        <f t="shared" ca="1" si="37"/>
        <v>4800000</v>
      </c>
      <c r="AA131">
        <v>50000</v>
      </c>
      <c r="AB131">
        <v>200000</v>
      </c>
      <c r="AC131">
        <v>400000</v>
      </c>
      <c r="AD131">
        <v>600000</v>
      </c>
      <c r="AE131">
        <v>800000</v>
      </c>
      <c r="AF131">
        <v>1200000</v>
      </c>
      <c r="AG131">
        <v>1600000</v>
      </c>
      <c r="AH131">
        <v>2000000</v>
      </c>
      <c r="AI131">
        <v>2400000</v>
      </c>
      <c r="AJ131">
        <v>2800000</v>
      </c>
      <c r="AK131">
        <v>3200000</v>
      </c>
      <c r="AL131">
        <v>3600000</v>
      </c>
      <c r="AM131" s="15">
        <v>4000000</v>
      </c>
      <c r="AN131" s="15">
        <v>4400000</v>
      </c>
      <c r="AO131" s="15">
        <v>4800000</v>
      </c>
      <c r="AX131" s="28">
        <v>7500</v>
      </c>
      <c r="AY131" s="28" t="s">
        <v>4712</v>
      </c>
      <c r="AZ131" s="28" t="s">
        <v>4689</v>
      </c>
      <c r="BA131" s="28" t="s">
        <v>5467</v>
      </c>
      <c r="BB131" s="28">
        <v>40</v>
      </c>
      <c r="CD131" s="38">
        <v>127</v>
      </c>
      <c r="CE131" s="38">
        <f t="shared" si="25"/>
        <v>3.4038498478952413</v>
      </c>
      <c r="CF131" s="38">
        <f t="shared" si="32"/>
        <v>128.01288</v>
      </c>
      <c r="CG131" s="38">
        <f t="shared" si="23"/>
        <v>128</v>
      </c>
      <c r="CP131" s="40">
        <v>479</v>
      </c>
      <c r="CQ131" s="41" t="s">
        <v>3579</v>
      </c>
      <c r="CR131" s="41" t="s">
        <v>5585</v>
      </c>
      <c r="CS131" s="41">
        <v>300</v>
      </c>
      <c r="CT131" s="41">
        <v>8</v>
      </c>
      <c r="CU131" s="41">
        <v>15</v>
      </c>
      <c r="CV131" s="41">
        <v>10</v>
      </c>
      <c r="CW131" s="40"/>
      <c r="CX131" s="41" t="s">
        <v>4716</v>
      </c>
      <c r="CY131" s="40" t="s">
        <v>4717</v>
      </c>
      <c r="DB131" t="s">
        <v>215</v>
      </c>
      <c r="DC131" s="7" t="str">
        <f t="shared" ca="1" si="35"/>
        <v>05_004</v>
      </c>
      <c r="DD131" t="s">
        <v>4895</v>
      </c>
      <c r="DE131" t="s">
        <v>4896</v>
      </c>
      <c r="DF131" t="s">
        <v>4897</v>
      </c>
      <c r="DG131" t="s">
        <v>5050</v>
      </c>
      <c r="DH131" t="s">
        <v>4921</v>
      </c>
    </row>
    <row r="132" spans="4:112" ht="14.6">
      <c r="D132" s="6" t="str">
        <f t="shared" si="27"/>
        <v>夜本建筑-&gt;宝石矿井</v>
      </c>
      <c r="E132" s="6" t="str">
        <f t="shared" si="28"/>
        <v>#'3.2夜本建筑'!BF33:BM43</v>
      </c>
      <c r="F132" s="6" t="s">
        <v>1600</v>
      </c>
      <c r="G132" s="6" t="s">
        <v>5586</v>
      </c>
      <c r="H132" s="6" t="s">
        <v>5545</v>
      </c>
      <c r="I132" s="7" t="s">
        <v>5274</v>
      </c>
      <c r="J132" s="7" t="s">
        <v>5090</v>
      </c>
      <c r="K132" s="7" t="s">
        <v>4981</v>
      </c>
      <c r="L132" s="7" t="s">
        <v>5103</v>
      </c>
      <c r="M132" s="7" t="s">
        <v>5416</v>
      </c>
      <c r="N132" s="7" t="s">
        <v>4782</v>
      </c>
      <c r="O132" s="7" t="s">
        <v>4782</v>
      </c>
      <c r="P132" s="7" t="s">
        <v>4782</v>
      </c>
      <c r="Q132" s="7" t="s">
        <v>4782</v>
      </c>
      <c r="R132" s="7" t="s">
        <v>4782</v>
      </c>
      <c r="S132" s="7">
        <f t="array" ref="S132">SUM(IFERROR(IF(MATCH(I132:R132,$F$4:$Q$4,0)&gt;0,1,0),0))</f>
        <v>0</v>
      </c>
      <c r="T132" s="7">
        <f t="shared" ca="1" si="33"/>
        <v>37</v>
      </c>
      <c r="U132" s="7">
        <f ca="1">T132+COUNTIF(T$5:$T131,T132)</f>
        <v>146</v>
      </c>
      <c r="Y132" s="12" t="s">
        <v>5587</v>
      </c>
      <c r="Z132" s="7">
        <f t="shared" ca="1" si="37"/>
        <v>24000</v>
      </c>
      <c r="AA132">
        <v>0</v>
      </c>
      <c r="AB132">
        <v>0</v>
      </c>
      <c r="AC132">
        <v>0</v>
      </c>
      <c r="AD132">
        <v>0</v>
      </c>
      <c r="AE132">
        <v>0</v>
      </c>
      <c r="AF132">
        <v>0</v>
      </c>
      <c r="AG132">
        <v>8000</v>
      </c>
      <c r="AH132">
        <v>10000</v>
      </c>
      <c r="AI132">
        <v>12000</v>
      </c>
      <c r="AJ132">
        <v>14000</v>
      </c>
      <c r="AK132">
        <v>16000</v>
      </c>
      <c r="AL132">
        <v>18000</v>
      </c>
      <c r="AM132" s="15">
        <v>20000</v>
      </c>
      <c r="AN132" s="15">
        <v>22000</v>
      </c>
      <c r="AO132" s="15">
        <v>24000</v>
      </c>
      <c r="AX132" s="28">
        <v>12000</v>
      </c>
      <c r="AY132" s="28" t="s">
        <v>4688</v>
      </c>
      <c r="AZ132" s="28" t="s">
        <v>4674</v>
      </c>
      <c r="BA132" s="28" t="s">
        <v>5476</v>
      </c>
      <c r="BB132" s="28">
        <v>60</v>
      </c>
      <c r="CD132" s="38">
        <v>128</v>
      </c>
      <c r="CE132" s="38">
        <f t="shared" si="25"/>
        <v>3.4077714165226922</v>
      </c>
      <c r="CF132" s="38">
        <f t="shared" ref="CF132:CF149" si="38">MAX(CEILING($CC$4*(1-CE132*$CC$6)/$CC$8,1),0)+CD132+ROUND(MOD($CC$4*(1-CE132*$CC$6),$CC$8)/$CC$4,5)</f>
        <v>129.01175000000001</v>
      </c>
      <c r="CG132" s="38">
        <f t="shared" ref="CG132:CG195" si="39">RANK(CF132,$CF$4:$CF$305,1)</f>
        <v>129</v>
      </c>
      <c r="CP132" s="40">
        <v>480</v>
      </c>
      <c r="CQ132" s="41" t="s">
        <v>3579</v>
      </c>
      <c r="CR132" s="41" t="s">
        <v>5588</v>
      </c>
      <c r="CS132" s="41">
        <v>600</v>
      </c>
      <c r="CT132" s="41">
        <v>24</v>
      </c>
      <c r="CU132" s="41">
        <v>10</v>
      </c>
      <c r="CV132" s="41">
        <v>15</v>
      </c>
      <c r="CW132" s="40"/>
      <c r="CX132" s="41" t="s">
        <v>4716</v>
      </c>
      <c r="CY132" s="40" t="s">
        <v>3104</v>
      </c>
      <c r="DC132" s="7">
        <f t="shared" ca="1" si="35"/>
        <v>0</v>
      </c>
    </row>
    <row r="133" spans="4:112" ht="14.6">
      <c r="D133" s="6" t="str">
        <f t="shared" si="27"/>
        <v>夜本建筑-&gt;隐形弹簧</v>
      </c>
      <c r="E133" s="6" t="str">
        <f t="shared" si="28"/>
        <v>#'3.2夜本建筑'!BF46:BK51</v>
      </c>
      <c r="F133" s="6" t="s">
        <v>1608</v>
      </c>
      <c r="G133" s="6" t="s">
        <v>5589</v>
      </c>
      <c r="H133" s="6" t="s">
        <v>5545</v>
      </c>
      <c r="I133" s="7" t="s">
        <v>5274</v>
      </c>
      <c r="J133" s="7" t="s">
        <v>5226</v>
      </c>
      <c r="K133" s="7" t="s">
        <v>5293</v>
      </c>
      <c r="L133" s="7" t="s">
        <v>5016</v>
      </c>
      <c r="M133" s="7" t="s">
        <v>5474</v>
      </c>
      <c r="N133" s="7" t="s">
        <v>4782</v>
      </c>
      <c r="O133" s="7" t="s">
        <v>4782</v>
      </c>
      <c r="P133" s="7" t="s">
        <v>4782</v>
      </c>
      <c r="Q133" s="7" t="s">
        <v>4782</v>
      </c>
      <c r="R133" s="7" t="s">
        <v>4782</v>
      </c>
      <c r="S133" s="7">
        <f t="array" ref="S133">SUM(IFERROR(IF(MATCH(I133:R133,$F$4:$Q$4,0)&gt;0,1,0),0))</f>
        <v>0</v>
      </c>
      <c r="T133" s="7">
        <f t="shared" ca="1" si="33"/>
        <v>37</v>
      </c>
      <c r="U133" s="7">
        <f ca="1">T133+COUNTIF(T$5:$T132,T133)</f>
        <v>147</v>
      </c>
      <c r="Y133" s="12" t="s">
        <v>5590</v>
      </c>
      <c r="Z133" s="7">
        <f t="shared" ref="Z133:Z143" ca="1" si="40">OFFSET(AA133,0,$Z$5-1)</f>
        <v>18000000</v>
      </c>
      <c r="AA133">
        <v>5000</v>
      </c>
      <c r="AB133">
        <v>25000</v>
      </c>
      <c r="AC133">
        <v>150000</v>
      </c>
      <c r="AD133">
        <v>1000000</v>
      </c>
      <c r="AE133">
        <v>4000000</v>
      </c>
      <c r="AF133">
        <v>6000000</v>
      </c>
      <c r="AG133">
        <v>8000000</v>
      </c>
      <c r="AH133">
        <v>10000000</v>
      </c>
      <c r="AI133">
        <v>11500000</v>
      </c>
      <c r="AJ133">
        <v>13000000</v>
      </c>
      <c r="AK133">
        <v>14000000</v>
      </c>
      <c r="AL133">
        <v>15000000</v>
      </c>
      <c r="AM133" s="15">
        <v>16000000</v>
      </c>
      <c r="AN133" s="15">
        <v>17000000</v>
      </c>
      <c r="AO133" s="21">
        <v>18000000</v>
      </c>
      <c r="AX133" s="28">
        <v>18000</v>
      </c>
      <c r="AY133" s="28" t="s">
        <v>5527</v>
      </c>
      <c r="AZ133" s="28" t="s">
        <v>4934</v>
      </c>
      <c r="BA133" s="28" t="s">
        <v>5591</v>
      </c>
      <c r="BB133" s="28">
        <v>80</v>
      </c>
      <c r="CD133" s="38">
        <v>129</v>
      </c>
      <c r="CE133" s="38">
        <f t="shared" si="25"/>
        <v>3.4116624671063498</v>
      </c>
      <c r="CF133" s="38">
        <f t="shared" si="38"/>
        <v>130.01061999999999</v>
      </c>
      <c r="CG133" s="38">
        <f t="shared" si="39"/>
        <v>130</v>
      </c>
      <c r="CP133" s="40">
        <v>481</v>
      </c>
      <c r="CQ133" s="41" t="s">
        <v>3586</v>
      </c>
      <c r="CR133" s="41" t="s">
        <v>5592</v>
      </c>
      <c r="CS133" s="41">
        <v>150</v>
      </c>
      <c r="CT133" s="41">
        <v>3</v>
      </c>
      <c r="CU133" s="41">
        <v>20</v>
      </c>
      <c r="CV133" s="41">
        <v>5</v>
      </c>
      <c r="CW133" s="40"/>
      <c r="CX133" s="41" t="s">
        <v>4716</v>
      </c>
      <c r="CY133" s="40" t="s">
        <v>3096</v>
      </c>
      <c r="DC133" s="7">
        <f t="shared" ca="1" si="35"/>
        <v>0</v>
      </c>
    </row>
    <row r="134" spans="4:112" ht="14.6">
      <c r="D134" s="6" t="str">
        <f t="shared" si="27"/>
        <v>夜本建筑-&gt;小型兵营</v>
      </c>
      <c r="E134" s="6" t="str">
        <f t="shared" si="28"/>
        <v>#'3.2夜本建筑'!BF6:BK14</v>
      </c>
      <c r="F134" s="6" t="s">
        <v>1576</v>
      </c>
      <c r="G134" s="6" t="s">
        <v>5593</v>
      </c>
      <c r="H134" s="6" t="s">
        <v>5545</v>
      </c>
      <c r="I134" s="7" t="s">
        <v>5274</v>
      </c>
      <c r="J134" s="7" t="s">
        <v>5091</v>
      </c>
      <c r="K134" s="7" t="s">
        <v>5233</v>
      </c>
      <c r="L134" s="7" t="s">
        <v>5024</v>
      </c>
      <c r="M134" s="7" t="s">
        <v>5217</v>
      </c>
      <c r="N134" s="7" t="s">
        <v>4782</v>
      </c>
      <c r="O134" s="7" t="s">
        <v>4782</v>
      </c>
      <c r="P134" s="7" t="s">
        <v>4782</v>
      </c>
      <c r="Q134" s="7" t="s">
        <v>4782</v>
      </c>
      <c r="R134" s="7" t="s">
        <v>4782</v>
      </c>
      <c r="S134" s="7">
        <f t="array" ref="S134">SUM(IFERROR(IF(MATCH(I134:R134,$F$4:$Q$4,0)&gt;0,1,0),0))</f>
        <v>0</v>
      </c>
      <c r="T134" s="7">
        <f t="shared" ref="T134:T165" ca="1" si="41">RANK(S134,INDIRECT($T$4))</f>
        <v>37</v>
      </c>
      <c r="U134" s="7">
        <f ca="1">T134+COUNTIF(T$5:$T133,T134)</f>
        <v>148</v>
      </c>
      <c r="Y134" t="s">
        <v>5594</v>
      </c>
      <c r="Z134" s="7">
        <f t="shared" ca="1" si="40"/>
        <v>180000</v>
      </c>
      <c r="AA134">
        <v>0</v>
      </c>
      <c r="AB134">
        <v>0</v>
      </c>
      <c r="AC134">
        <v>0</v>
      </c>
      <c r="AD134">
        <v>0</v>
      </c>
      <c r="AE134">
        <v>0</v>
      </c>
      <c r="AF134">
        <v>0</v>
      </c>
      <c r="AG134">
        <v>80000</v>
      </c>
      <c r="AH134">
        <v>100000</v>
      </c>
      <c r="AI134">
        <v>115000</v>
      </c>
      <c r="AJ134">
        <v>130000</v>
      </c>
      <c r="AK134">
        <v>140000</v>
      </c>
      <c r="AL134">
        <v>150000</v>
      </c>
      <c r="AM134">
        <v>160000</v>
      </c>
      <c r="AN134">
        <v>170000</v>
      </c>
      <c r="AO134" s="25">
        <v>180000</v>
      </c>
      <c r="AX134" s="28">
        <v>30000</v>
      </c>
      <c r="AY134" s="28" t="s">
        <v>4855</v>
      </c>
      <c r="AZ134" s="28" t="s">
        <v>5164</v>
      </c>
      <c r="BA134" s="28" t="s">
        <v>5568</v>
      </c>
      <c r="BB134" s="28">
        <v>100</v>
      </c>
      <c r="CD134" s="38">
        <v>130</v>
      </c>
      <c r="CE134" s="38">
        <f t="shared" ref="CE134:CE197" si="42">CE133+1/(2*CD134-1)</f>
        <v>3.4155234709673539</v>
      </c>
      <c r="CF134" s="38">
        <f t="shared" si="38"/>
        <v>131.0095</v>
      </c>
      <c r="CG134" s="38">
        <f t="shared" si="39"/>
        <v>131</v>
      </c>
      <c r="CP134" s="40">
        <v>482</v>
      </c>
      <c r="CQ134" s="41" t="s">
        <v>3586</v>
      </c>
      <c r="CR134" s="41" t="s">
        <v>5595</v>
      </c>
      <c r="CS134" s="41">
        <v>300</v>
      </c>
      <c r="CT134" s="41">
        <v>8</v>
      </c>
      <c r="CU134" s="41">
        <v>15</v>
      </c>
      <c r="CV134" s="41">
        <v>10</v>
      </c>
      <c r="CW134" s="40"/>
      <c r="CX134" s="41" t="s">
        <v>4716</v>
      </c>
      <c r="CY134" s="40" t="s">
        <v>4717</v>
      </c>
      <c r="DB134" t="s">
        <v>217</v>
      </c>
      <c r="DC134" s="7">
        <f t="shared" ca="1" si="35"/>
        <v>10</v>
      </c>
      <c r="DD134">
        <v>4</v>
      </c>
      <c r="DE134">
        <v>6</v>
      </c>
      <c r="DF134">
        <v>8</v>
      </c>
      <c r="DG134">
        <v>10</v>
      </c>
      <c r="DH134">
        <v>10</v>
      </c>
    </row>
    <row r="135" spans="4:112" ht="14.6">
      <c r="D135" s="6" t="str">
        <f t="shared" si="27"/>
        <v>夜本建筑-&gt;多功能箭塔</v>
      </c>
      <c r="E135" s="6" t="str">
        <f t="shared" si="28"/>
        <v>#'3.2夜本建筑'!F19:N29</v>
      </c>
      <c r="F135" s="6" t="s">
        <v>1580</v>
      </c>
      <c r="G135" s="6" t="s">
        <v>5596</v>
      </c>
      <c r="H135" s="6" t="s">
        <v>5545</v>
      </c>
      <c r="I135" s="7" t="s">
        <v>5274</v>
      </c>
      <c r="J135" s="7" t="s">
        <v>5597</v>
      </c>
      <c r="K135" s="7" t="s">
        <v>5598</v>
      </c>
      <c r="L135" s="7" t="s">
        <v>5599</v>
      </c>
      <c r="M135" s="7" t="s">
        <v>4870</v>
      </c>
      <c r="N135" s="7" t="s">
        <v>5313</v>
      </c>
      <c r="O135" s="7" t="s">
        <v>4782</v>
      </c>
      <c r="P135" s="7" t="s">
        <v>4782</v>
      </c>
      <c r="Q135" s="7" t="s">
        <v>4782</v>
      </c>
      <c r="R135" s="7" t="s">
        <v>4782</v>
      </c>
      <c r="S135" s="7">
        <f t="array" ref="S135">SUM(IFERROR(IF(MATCH(I135:R135,$F$4:$Q$4,0)&gt;0,1,0),0))</f>
        <v>0</v>
      </c>
      <c r="T135" s="7">
        <f t="shared" ca="1" si="41"/>
        <v>37</v>
      </c>
      <c r="U135" s="7">
        <f ca="1">T135+COUNTIF(T$5:$T134,T135)</f>
        <v>149</v>
      </c>
      <c r="Z135" s="7"/>
      <c r="AO135" s="25"/>
      <c r="AX135" s="28">
        <v>50000</v>
      </c>
      <c r="AY135" s="28" t="s">
        <v>4866</v>
      </c>
      <c r="AZ135" s="28" t="s">
        <v>4865</v>
      </c>
      <c r="BA135" s="28" t="s">
        <v>4752</v>
      </c>
      <c r="BB135" s="28">
        <v>120</v>
      </c>
      <c r="CD135" s="38">
        <v>131</v>
      </c>
      <c r="CE135" s="38">
        <f t="shared" si="42"/>
        <v>3.419354888591875</v>
      </c>
      <c r="CF135" s="38">
        <f t="shared" si="38"/>
        <v>132.00838999999999</v>
      </c>
      <c r="CG135" s="38">
        <f t="shared" si="39"/>
        <v>132</v>
      </c>
      <c r="CP135" s="40">
        <v>483</v>
      </c>
      <c r="CQ135" s="41" t="s">
        <v>3586</v>
      </c>
      <c r="CR135" s="41" t="s">
        <v>5600</v>
      </c>
      <c r="CS135" s="41">
        <v>600</v>
      </c>
      <c r="CT135" s="41">
        <v>24</v>
      </c>
      <c r="CU135" s="41">
        <v>10</v>
      </c>
      <c r="CV135" s="41">
        <v>15</v>
      </c>
      <c r="CW135" s="40"/>
      <c r="CX135" s="41" t="s">
        <v>4716</v>
      </c>
      <c r="CY135" s="40" t="s">
        <v>3104</v>
      </c>
      <c r="DB135" t="s">
        <v>222</v>
      </c>
      <c r="DC135" s="7">
        <f t="shared" ca="1" si="35"/>
        <v>5</v>
      </c>
      <c r="DD135">
        <v>4</v>
      </c>
      <c r="DE135">
        <v>4</v>
      </c>
      <c r="DF135">
        <v>4</v>
      </c>
      <c r="DG135">
        <v>4</v>
      </c>
      <c r="DH135">
        <v>5</v>
      </c>
    </row>
    <row r="136" spans="4:112" ht="14.6">
      <c r="D136" s="6" t="str">
        <f t="shared" si="27"/>
        <v>夜本建筑-&gt;撼地巨石</v>
      </c>
      <c r="E136" s="6" t="str">
        <f t="shared" si="28"/>
        <v>#'3.2夜本建筑'!F33:M43</v>
      </c>
      <c r="F136" s="6" t="s">
        <v>1592</v>
      </c>
      <c r="G136" s="6" t="s">
        <v>5601</v>
      </c>
      <c r="H136" s="6" t="s">
        <v>5545</v>
      </c>
      <c r="I136" s="7" t="s">
        <v>5274</v>
      </c>
      <c r="J136" s="7" t="s">
        <v>5602</v>
      </c>
      <c r="K136" s="7" t="s">
        <v>5102</v>
      </c>
      <c r="L136" s="7" t="s">
        <v>4927</v>
      </c>
      <c r="M136" s="7" t="s">
        <v>4981</v>
      </c>
      <c r="N136" s="7" t="s">
        <v>4782</v>
      </c>
      <c r="O136" s="7" t="s">
        <v>4782</v>
      </c>
      <c r="P136" s="7" t="s">
        <v>4782</v>
      </c>
      <c r="Q136" s="7" t="s">
        <v>4782</v>
      </c>
      <c r="R136" s="7" t="s">
        <v>4782</v>
      </c>
      <c r="S136" s="7">
        <f t="array" ref="S136">SUM(IFERROR(IF(MATCH(I136:R136,$F$4:$Q$4,0)&gt;0,1,0),0))</f>
        <v>1</v>
      </c>
      <c r="T136" s="7">
        <f t="shared" ca="1" si="41"/>
        <v>20</v>
      </c>
      <c r="U136" s="7">
        <f ca="1">T136+COUNTIF(T$5:$T135,T136)</f>
        <v>28</v>
      </c>
      <c r="Y136" t="s">
        <v>5603</v>
      </c>
      <c r="Z136" s="7">
        <f t="shared" ca="1" si="40"/>
        <v>41040000</v>
      </c>
      <c r="AA136">
        <v>0</v>
      </c>
      <c r="AB136">
        <v>691200</v>
      </c>
      <c r="AC136">
        <v>3369600</v>
      </c>
      <c r="AD136">
        <v>6566400</v>
      </c>
      <c r="AE136">
        <v>12096000</v>
      </c>
      <c r="AF136">
        <v>14515200</v>
      </c>
      <c r="AG136">
        <v>18144000</v>
      </c>
      <c r="AH136">
        <v>21772800</v>
      </c>
      <c r="AI136">
        <v>25401600</v>
      </c>
      <c r="AJ136">
        <v>29635200</v>
      </c>
      <c r="AK136">
        <v>33868800</v>
      </c>
      <c r="AL136">
        <v>36720000</v>
      </c>
      <c r="AM136">
        <v>41040000</v>
      </c>
      <c r="AN136">
        <v>41040000</v>
      </c>
      <c r="AO136" s="25">
        <v>41040000</v>
      </c>
      <c r="AX136" s="28">
        <v>3000</v>
      </c>
      <c r="AY136" s="28" t="s">
        <v>4739</v>
      </c>
      <c r="AZ136" s="28" t="s">
        <v>4877</v>
      </c>
      <c r="BA136" s="28" t="s">
        <v>4713</v>
      </c>
      <c r="BB136" s="28">
        <v>20</v>
      </c>
      <c r="CD136" s="38">
        <v>132</v>
      </c>
      <c r="CE136" s="38">
        <f t="shared" si="42"/>
        <v>3.4231571699606964</v>
      </c>
      <c r="CF136" s="38">
        <f t="shared" si="38"/>
        <v>133.00728000000001</v>
      </c>
      <c r="CG136" s="38">
        <f t="shared" si="39"/>
        <v>133</v>
      </c>
      <c r="CP136" s="40">
        <v>484</v>
      </c>
      <c r="CQ136" s="41" t="s">
        <v>3592</v>
      </c>
      <c r="CR136" s="41" t="s">
        <v>5604</v>
      </c>
      <c r="CS136" s="41">
        <v>150</v>
      </c>
      <c r="CT136" s="41">
        <v>3</v>
      </c>
      <c r="CU136" s="41">
        <v>20</v>
      </c>
      <c r="CV136" s="41">
        <v>5</v>
      </c>
      <c r="CW136" s="40"/>
      <c r="CX136" s="41" t="s">
        <v>4716</v>
      </c>
      <c r="CY136" s="40" t="s">
        <v>3096</v>
      </c>
      <c r="DC136" s="7"/>
    </row>
    <row r="137" spans="4:112" ht="14.6">
      <c r="D137" s="6" t="str">
        <f t="shared" ref="D137:D193" si="43">MID(H137,4,233)&amp;"-&gt;"&amp;MID(F137,4,233)</f>
        <v>夜本建筑-&gt;多管迫击炮</v>
      </c>
      <c r="E137" s="6" t="str">
        <f t="shared" si="28"/>
        <v>#'3.2夜本建筑'!F46:M56</v>
      </c>
      <c r="F137" s="6" t="s">
        <v>1601</v>
      </c>
      <c r="G137" s="6" t="s">
        <v>5605</v>
      </c>
      <c r="H137" s="6" t="s">
        <v>5545</v>
      </c>
      <c r="I137" s="7" t="s">
        <v>5274</v>
      </c>
      <c r="J137" s="7" t="s">
        <v>5597</v>
      </c>
      <c r="K137" s="7" t="s">
        <v>5606</v>
      </c>
      <c r="L137" s="7" t="s">
        <v>5440</v>
      </c>
      <c r="M137" s="7" t="s">
        <v>5441</v>
      </c>
      <c r="N137" s="7" t="s">
        <v>5327</v>
      </c>
      <c r="O137" s="7" t="s">
        <v>4782</v>
      </c>
      <c r="P137" s="7" t="s">
        <v>4782</v>
      </c>
      <c r="Q137" s="7" t="s">
        <v>4782</v>
      </c>
      <c r="R137" s="7" t="s">
        <v>4782</v>
      </c>
      <c r="S137" s="7">
        <f t="array" ref="S137">SUM(IFERROR(IF(MATCH(I137:R137,$F$4:$Q$4,0)&gt;0,1,0),0))</f>
        <v>0</v>
      </c>
      <c r="T137" s="7">
        <f t="shared" ca="1" si="41"/>
        <v>37</v>
      </c>
      <c r="U137" s="7">
        <f ca="1">T137+COUNTIF(T$5:$T136,T137)</f>
        <v>150</v>
      </c>
      <c r="Y137" t="s">
        <v>5607</v>
      </c>
      <c r="Z137" s="7">
        <f t="shared" ca="1" si="40"/>
        <v>55000000</v>
      </c>
      <c r="AA137">
        <v>0</v>
      </c>
      <c r="AB137">
        <v>0</v>
      </c>
      <c r="AC137">
        <v>0</v>
      </c>
      <c r="AD137">
        <v>0</v>
      </c>
      <c r="AE137">
        <v>0</v>
      </c>
      <c r="AF137">
        <v>0</v>
      </c>
      <c r="AG137">
        <v>4860000</v>
      </c>
      <c r="AH137">
        <v>9720000</v>
      </c>
      <c r="AI137">
        <v>32400000</v>
      </c>
      <c r="AJ137">
        <v>38880000</v>
      </c>
      <c r="AK137">
        <v>45360000</v>
      </c>
      <c r="AL137">
        <v>50000000</v>
      </c>
      <c r="AM137">
        <v>55000000</v>
      </c>
      <c r="AN137">
        <v>55000000</v>
      </c>
      <c r="AO137" s="25">
        <v>55000000</v>
      </c>
      <c r="AX137" s="28">
        <v>7500</v>
      </c>
      <c r="AY137" s="28" t="s">
        <v>4688</v>
      </c>
      <c r="AZ137" s="28" t="s">
        <v>4689</v>
      </c>
      <c r="BA137" s="28" t="s">
        <v>5467</v>
      </c>
      <c r="BB137" s="28">
        <v>40</v>
      </c>
      <c r="CD137" s="38">
        <v>133</v>
      </c>
      <c r="CE137" s="38">
        <f t="shared" si="42"/>
        <v>3.426930754866357</v>
      </c>
      <c r="CF137" s="38">
        <f t="shared" si="38"/>
        <v>134.00619</v>
      </c>
      <c r="CG137" s="38">
        <f t="shared" si="39"/>
        <v>134</v>
      </c>
      <c r="CP137" s="40">
        <v>485</v>
      </c>
      <c r="CQ137" s="41" t="s">
        <v>3592</v>
      </c>
      <c r="CR137" s="41" t="s">
        <v>5608</v>
      </c>
      <c r="CS137" s="41">
        <v>300</v>
      </c>
      <c r="CT137" s="41">
        <v>8</v>
      </c>
      <c r="CU137" s="41">
        <v>15</v>
      </c>
      <c r="CV137" s="41">
        <v>10</v>
      </c>
      <c r="CW137" s="40"/>
      <c r="CX137" s="41" t="s">
        <v>4716</v>
      </c>
      <c r="CY137" s="40" t="s">
        <v>4717</v>
      </c>
      <c r="DC137" s="7"/>
    </row>
    <row r="138" spans="4:112" ht="14.6">
      <c r="D138" s="6" t="str">
        <f t="shared" si="43"/>
        <v>夜本建筑-&gt;联排城墙</v>
      </c>
      <c r="E138" s="6" t="str">
        <f t="shared" ref="E138:E201" si="44">"#'"&amp;H138&amp;"'!"&amp;G138</f>
        <v>#'3.2夜本建筑'!F5:K15</v>
      </c>
      <c r="F138" s="6" t="s">
        <v>1569</v>
      </c>
      <c r="G138" s="6" t="s">
        <v>5609</v>
      </c>
      <c r="H138" s="6" t="s">
        <v>5545</v>
      </c>
      <c r="I138" s="7" t="s">
        <v>5274</v>
      </c>
      <c r="J138" s="7" t="s">
        <v>5610</v>
      </c>
      <c r="K138" s="7" t="s">
        <v>5611</v>
      </c>
      <c r="L138" s="7" t="s">
        <v>5168</v>
      </c>
      <c r="M138" s="7" t="s">
        <v>5321</v>
      </c>
      <c r="N138" s="7" t="s">
        <v>4782</v>
      </c>
      <c r="O138" s="7" t="s">
        <v>4782</v>
      </c>
      <c r="P138" s="7" t="s">
        <v>4782</v>
      </c>
      <c r="Q138" s="7" t="s">
        <v>4782</v>
      </c>
      <c r="R138" s="7" t="s">
        <v>4782</v>
      </c>
      <c r="S138" s="7">
        <f t="array" ref="S138">SUM(IFERROR(IF(MATCH(I138:R138,$F$4:$Q$4,0)&gt;0,1,0),0))</f>
        <v>0</v>
      </c>
      <c r="T138" s="7">
        <f t="shared" ca="1" si="41"/>
        <v>37</v>
      </c>
      <c r="U138" s="7">
        <f ca="1">T138+COUNTIF(T$5:$T137,T138)</f>
        <v>151</v>
      </c>
      <c r="Y138" t="s">
        <v>5612</v>
      </c>
      <c r="Z138" s="7">
        <f t="shared" ca="1" si="40"/>
        <v>20520000</v>
      </c>
      <c r="AA138">
        <v>0</v>
      </c>
      <c r="AB138">
        <v>345600</v>
      </c>
      <c r="AC138">
        <v>1684800</v>
      </c>
      <c r="AD138">
        <v>3283200</v>
      </c>
      <c r="AE138">
        <v>6048000</v>
      </c>
      <c r="AF138">
        <v>7258600</v>
      </c>
      <c r="AG138">
        <v>9072000</v>
      </c>
      <c r="AH138">
        <v>10886400</v>
      </c>
      <c r="AI138">
        <v>12700800</v>
      </c>
      <c r="AJ138">
        <v>14817600</v>
      </c>
      <c r="AK138">
        <v>16934400</v>
      </c>
      <c r="AL138">
        <v>18360000</v>
      </c>
      <c r="AM138">
        <v>20520000</v>
      </c>
      <c r="AN138">
        <v>20520000</v>
      </c>
      <c r="AO138" s="25">
        <v>20520000</v>
      </c>
      <c r="AX138" s="28">
        <v>12000</v>
      </c>
      <c r="AY138" s="28" t="s">
        <v>5527</v>
      </c>
      <c r="AZ138" s="28" t="s">
        <v>5591</v>
      </c>
      <c r="BA138" s="28" t="s">
        <v>5468</v>
      </c>
      <c r="BB138" s="28">
        <v>60</v>
      </c>
      <c r="CD138" s="38">
        <v>134</v>
      </c>
      <c r="CE138" s="38">
        <f t="shared" si="42"/>
        <v>3.4306760732184167</v>
      </c>
      <c r="CF138" s="38">
        <f t="shared" si="38"/>
        <v>135.0051</v>
      </c>
      <c r="CG138" s="38">
        <f t="shared" si="39"/>
        <v>135</v>
      </c>
      <c r="CP138" s="40">
        <v>486</v>
      </c>
      <c r="CQ138" s="41" t="s">
        <v>3592</v>
      </c>
      <c r="CR138" s="41" t="s">
        <v>5613</v>
      </c>
      <c r="CS138" s="41">
        <v>600</v>
      </c>
      <c r="CT138" s="41">
        <v>24</v>
      </c>
      <c r="CU138" s="41">
        <v>10</v>
      </c>
      <c r="CV138" s="41">
        <v>15</v>
      </c>
      <c r="CW138" s="40"/>
      <c r="CX138" s="41" t="s">
        <v>4716</v>
      </c>
      <c r="CY138" s="40" t="s">
        <v>3104</v>
      </c>
      <c r="DB138" t="s">
        <v>173</v>
      </c>
      <c r="DC138" s="7">
        <f ca="1">DC9</f>
        <v>5</v>
      </c>
    </row>
    <row r="139" spans="4:112" ht="14.6">
      <c r="D139" s="6" t="str">
        <f t="shared" si="43"/>
        <v>夜本建筑-&gt;超级电塔</v>
      </c>
      <c r="E139" s="6" t="str">
        <f t="shared" si="44"/>
        <v>#'3.2夜本建筑'!F59:M69</v>
      </c>
      <c r="F139" s="6" t="s">
        <v>1609</v>
      </c>
      <c r="G139" s="6" t="s">
        <v>5614</v>
      </c>
      <c r="H139" s="6" t="s">
        <v>5545</v>
      </c>
      <c r="I139" s="7" t="s">
        <v>5274</v>
      </c>
      <c r="J139" s="7" t="s">
        <v>5085</v>
      </c>
      <c r="K139" s="7" t="s">
        <v>5155</v>
      </c>
      <c r="L139" s="7" t="s">
        <v>5121</v>
      </c>
      <c r="M139" s="7" t="s">
        <v>5313</v>
      </c>
      <c r="N139" s="7" t="s">
        <v>5459</v>
      </c>
      <c r="O139" s="7" t="s">
        <v>5460</v>
      </c>
      <c r="P139" s="7" t="s">
        <v>5461</v>
      </c>
      <c r="Q139" s="7" t="s">
        <v>4782</v>
      </c>
      <c r="R139" s="7" t="s">
        <v>4782</v>
      </c>
      <c r="S139" s="7">
        <f t="array" ref="S139">SUM(IFERROR(IF(MATCH(I139:R139,$F$4:$Q$4,0)&gt;0,1,0),0))</f>
        <v>0</v>
      </c>
      <c r="T139" s="7">
        <f t="shared" ca="1" si="41"/>
        <v>37</v>
      </c>
      <c r="U139" s="7">
        <f ca="1">T139+COUNTIF(T$5:$T138,T139)</f>
        <v>152</v>
      </c>
      <c r="Y139" t="s">
        <v>5615</v>
      </c>
      <c r="Z139" s="7">
        <f t="shared" ca="1" si="40"/>
        <v>41040000</v>
      </c>
      <c r="AA139">
        <v>0</v>
      </c>
      <c r="AB139">
        <v>691200</v>
      </c>
      <c r="AC139">
        <v>3369600</v>
      </c>
      <c r="AD139">
        <v>6566400</v>
      </c>
      <c r="AE139">
        <v>12096000</v>
      </c>
      <c r="AF139">
        <v>14515200</v>
      </c>
      <c r="AG139">
        <v>18144000</v>
      </c>
      <c r="AH139">
        <v>21772800</v>
      </c>
      <c r="AI139">
        <v>25401600</v>
      </c>
      <c r="AJ139">
        <v>29635200</v>
      </c>
      <c r="AK139">
        <v>33868800</v>
      </c>
      <c r="AL139">
        <v>36720000</v>
      </c>
      <c r="AM139">
        <v>41040000</v>
      </c>
      <c r="AN139">
        <v>41040000</v>
      </c>
      <c r="AO139" s="25">
        <v>41040000</v>
      </c>
      <c r="AX139" s="28">
        <v>18000</v>
      </c>
      <c r="AY139" s="28" t="s">
        <v>5117</v>
      </c>
      <c r="AZ139" s="28" t="s">
        <v>4934</v>
      </c>
      <c r="BA139" s="28" t="s">
        <v>4845</v>
      </c>
      <c r="BB139" s="28">
        <v>80</v>
      </c>
      <c r="CD139" s="38">
        <v>135</v>
      </c>
      <c r="CE139" s="38">
        <f t="shared" si="42"/>
        <v>3.4343935453373757</v>
      </c>
      <c r="CF139" s="38">
        <f t="shared" si="38"/>
        <v>136.00403</v>
      </c>
      <c r="CG139" s="38">
        <f t="shared" si="39"/>
        <v>136</v>
      </c>
      <c r="CP139" s="40">
        <v>487</v>
      </c>
      <c r="CQ139" s="41" t="s">
        <v>3599</v>
      </c>
      <c r="CR139" s="41" t="s">
        <v>5616</v>
      </c>
      <c r="CS139" s="41">
        <v>200</v>
      </c>
      <c r="CT139" s="41">
        <v>3</v>
      </c>
      <c r="CU139" s="41">
        <v>10</v>
      </c>
      <c r="CV139" s="41">
        <v>5</v>
      </c>
      <c r="CW139" s="40"/>
      <c r="CX139" s="41" t="s">
        <v>4716</v>
      </c>
      <c r="CY139" s="40" t="s">
        <v>3096</v>
      </c>
      <c r="DC139" s="7"/>
    </row>
    <row r="140" spans="4:112" ht="14.6">
      <c r="D140" s="6" t="str">
        <f t="shared" si="43"/>
        <v>夜本建筑-&gt;伏击电塔</v>
      </c>
      <c r="E140" s="6" t="str">
        <f t="shared" si="44"/>
        <v>#'3.2夜本建筑'!P19:W29</v>
      </c>
      <c r="F140" s="6" t="s">
        <v>1583</v>
      </c>
      <c r="G140" s="6" t="s">
        <v>5617</v>
      </c>
      <c r="H140" s="6" t="s">
        <v>5545</v>
      </c>
      <c r="I140" s="7" t="s">
        <v>5274</v>
      </c>
      <c r="J140" s="7" t="s">
        <v>5482</v>
      </c>
      <c r="K140" s="7" t="s">
        <v>5441</v>
      </c>
      <c r="L140" s="7" t="s">
        <v>5121</v>
      </c>
      <c r="M140" s="7" t="s">
        <v>5313</v>
      </c>
      <c r="N140" s="7" t="s">
        <v>5459</v>
      </c>
      <c r="O140" s="7" t="s">
        <v>5460</v>
      </c>
      <c r="P140" s="7" t="s">
        <v>5461</v>
      </c>
      <c r="Q140" s="7" t="s">
        <v>4782</v>
      </c>
      <c r="R140" s="7" t="s">
        <v>4782</v>
      </c>
      <c r="S140" s="7">
        <f t="array" ref="S140">SUM(IFERROR(IF(MATCH(I140:R140,$F$4:$Q$4,0)&gt;0,1,0),0))</f>
        <v>0</v>
      </c>
      <c r="T140" s="7">
        <f t="shared" ca="1" si="41"/>
        <v>37</v>
      </c>
      <c r="U140" s="7">
        <f ca="1">T140+COUNTIF(T$5:$T139,T140)</f>
        <v>153</v>
      </c>
      <c r="Y140" t="s">
        <v>5618</v>
      </c>
      <c r="Z140" s="7">
        <f t="shared" ca="1" si="40"/>
        <v>5</v>
      </c>
      <c r="AA140">
        <v>0</v>
      </c>
      <c r="AB140">
        <v>0</v>
      </c>
      <c r="AC140">
        <v>0</v>
      </c>
      <c r="AD140">
        <v>0</v>
      </c>
      <c r="AE140">
        <v>0</v>
      </c>
      <c r="AF140">
        <v>0</v>
      </c>
      <c r="AG140">
        <v>0</v>
      </c>
      <c r="AH140">
        <v>4</v>
      </c>
      <c r="AI140">
        <v>4</v>
      </c>
      <c r="AJ140">
        <v>5</v>
      </c>
      <c r="AK140">
        <v>5</v>
      </c>
      <c r="AL140">
        <v>5</v>
      </c>
      <c r="AM140">
        <v>5</v>
      </c>
      <c r="AN140">
        <v>5</v>
      </c>
      <c r="AO140" s="25">
        <v>5</v>
      </c>
      <c r="AX140" s="28">
        <v>30000</v>
      </c>
      <c r="AY140" s="28" t="s">
        <v>4866</v>
      </c>
      <c r="AZ140" s="28" t="s">
        <v>4945</v>
      </c>
      <c r="BA140" s="28" t="s">
        <v>4738</v>
      </c>
      <c r="BB140" s="28">
        <v>100</v>
      </c>
      <c r="CD140" s="38">
        <v>136</v>
      </c>
      <c r="CE140" s="38">
        <f t="shared" si="42"/>
        <v>3.4380835822377449</v>
      </c>
      <c r="CF140" s="38">
        <f t="shared" si="38"/>
        <v>137.00296</v>
      </c>
      <c r="CG140" s="38">
        <f t="shared" si="39"/>
        <v>137</v>
      </c>
      <c r="CP140" s="40">
        <v>488</v>
      </c>
      <c r="CQ140" s="41" t="s">
        <v>3599</v>
      </c>
      <c r="CR140" s="41" t="s">
        <v>5619</v>
      </c>
      <c r="CS140" s="41">
        <v>400</v>
      </c>
      <c r="CT140" s="41">
        <v>8</v>
      </c>
      <c r="CU140" s="41">
        <v>5</v>
      </c>
      <c r="CV140" s="41">
        <v>10</v>
      </c>
      <c r="CW140" s="40"/>
      <c r="CX140" s="41" t="s">
        <v>4716</v>
      </c>
      <c r="CY140" s="40" t="s">
        <v>4717</v>
      </c>
      <c r="DB140" t="s">
        <v>14</v>
      </c>
      <c r="DC140" s="7" t="str">
        <f ca="1">IF($DC$9&gt;0,OFFSET(DD140,0,$DC$9-1),0)</f>
        <v>05_180</v>
      </c>
      <c r="DD140" t="s">
        <v>5620</v>
      </c>
      <c r="DE140" t="s">
        <v>5349</v>
      </c>
      <c r="DF140" t="s">
        <v>5173</v>
      </c>
      <c r="DG140" t="s">
        <v>5350</v>
      </c>
      <c r="DH140" t="s">
        <v>5351</v>
      </c>
    </row>
    <row r="141" spans="4:112" ht="14.6">
      <c r="D141" s="6" t="str">
        <f t="shared" si="43"/>
        <v>夜本建筑-&gt;守卫岗哨</v>
      </c>
      <c r="E141" s="6" t="str">
        <f t="shared" si="44"/>
        <v>#'3.2夜本建筑'!P43:W43</v>
      </c>
      <c r="F141" s="6" t="s">
        <v>1596</v>
      </c>
      <c r="G141" s="6" t="s">
        <v>5621</v>
      </c>
      <c r="H141" s="6" t="s">
        <v>5545</v>
      </c>
      <c r="I141" s="7" t="s">
        <v>5274</v>
      </c>
      <c r="J141" s="7" t="s">
        <v>4915</v>
      </c>
      <c r="K141" s="7" t="s">
        <v>5622</v>
      </c>
      <c r="L141" s="7" t="s">
        <v>5623</v>
      </c>
      <c r="M141" s="7" t="s">
        <v>5624</v>
      </c>
      <c r="N141" s="7" t="s">
        <v>4782</v>
      </c>
      <c r="O141" s="7" t="s">
        <v>4782</v>
      </c>
      <c r="P141" s="7" t="s">
        <v>4782</v>
      </c>
      <c r="Q141" s="7" t="s">
        <v>4782</v>
      </c>
      <c r="R141" s="7" t="s">
        <v>4782</v>
      </c>
      <c r="S141" s="7">
        <f t="array" ref="S141">SUM(IFERROR(IF(MATCH(I141:R141,$F$4:$Q$4,0)&gt;0,1,0),0))</f>
        <v>0</v>
      </c>
      <c r="T141" s="7">
        <f t="shared" ca="1" si="41"/>
        <v>37</v>
      </c>
      <c r="U141" s="7">
        <f ca="1">T141+COUNTIF(T$5:$T140,T141)</f>
        <v>154</v>
      </c>
      <c r="Y141" t="s">
        <v>120</v>
      </c>
      <c r="Z141" s="7">
        <f t="shared" ca="1" si="40"/>
        <v>5</v>
      </c>
      <c r="AA141">
        <v>0</v>
      </c>
      <c r="AB141">
        <v>0</v>
      </c>
      <c r="AC141">
        <v>0</v>
      </c>
      <c r="AD141">
        <v>3</v>
      </c>
      <c r="AE141">
        <v>3</v>
      </c>
      <c r="AF141">
        <v>3</v>
      </c>
      <c r="AG141">
        <v>4</v>
      </c>
      <c r="AH141">
        <v>4</v>
      </c>
      <c r="AI141">
        <v>4</v>
      </c>
      <c r="AJ141">
        <v>5</v>
      </c>
      <c r="AK141">
        <v>5</v>
      </c>
      <c r="AL141">
        <v>5</v>
      </c>
      <c r="AM141">
        <v>5</v>
      </c>
      <c r="AN141">
        <v>5</v>
      </c>
      <c r="AO141" s="25">
        <v>5</v>
      </c>
      <c r="AX141" s="28">
        <v>50000</v>
      </c>
      <c r="AY141" s="28" t="s">
        <v>4943</v>
      </c>
      <c r="AZ141" s="28" t="s">
        <v>4746</v>
      </c>
      <c r="BA141" s="28" t="s">
        <v>3432</v>
      </c>
      <c r="BB141" s="28">
        <v>120</v>
      </c>
      <c r="CD141" s="38">
        <v>137</v>
      </c>
      <c r="CE141" s="38">
        <f t="shared" si="42"/>
        <v>3.4417465859007486</v>
      </c>
      <c r="CF141" s="38">
        <f t="shared" si="38"/>
        <v>138.00189</v>
      </c>
      <c r="CG141" s="38">
        <f t="shared" si="39"/>
        <v>138</v>
      </c>
      <c r="CP141" s="40">
        <v>489</v>
      </c>
      <c r="CQ141" s="41" t="s">
        <v>3599</v>
      </c>
      <c r="CR141" s="41" t="s">
        <v>5625</v>
      </c>
      <c r="CS141" s="41">
        <v>800</v>
      </c>
      <c r="CT141" s="41">
        <v>24</v>
      </c>
      <c r="CU141" s="41">
        <v>3</v>
      </c>
      <c r="CV141" s="41">
        <v>15</v>
      </c>
      <c r="CW141" s="40"/>
      <c r="CX141" s="41" t="s">
        <v>4716</v>
      </c>
      <c r="CY141" s="40" t="s">
        <v>3104</v>
      </c>
      <c r="DB141" t="s">
        <v>2</v>
      </c>
      <c r="DC141" s="7" t="str">
        <f t="shared" ref="DC141:DC167" ca="1" si="45">IF($DC$9&gt;0,OFFSET(DD141,0,$DC$9-1),0)</f>
        <v>05_008</v>
      </c>
      <c r="DD141" t="s">
        <v>4960</v>
      </c>
      <c r="DE141" t="s">
        <v>5088</v>
      </c>
      <c r="DF141" t="s">
        <v>5095</v>
      </c>
      <c r="DG141" t="s">
        <v>4992</v>
      </c>
      <c r="DH141" t="s">
        <v>4993</v>
      </c>
    </row>
    <row r="142" spans="4:112" ht="14.6">
      <c r="D142" s="6" t="str">
        <f t="shared" si="43"/>
        <v>夜本建筑-&gt;熔岩火炮</v>
      </c>
      <c r="E142" s="6" t="str">
        <f t="shared" si="44"/>
        <v>#'3.2夜本建筑'!P46:W56</v>
      </c>
      <c r="F142" s="6" t="s">
        <v>1603</v>
      </c>
      <c r="G142" s="6" t="s">
        <v>5626</v>
      </c>
      <c r="H142" s="6" t="s">
        <v>5545</v>
      </c>
      <c r="I142" s="7" t="s">
        <v>5274</v>
      </c>
      <c r="J142" s="7" t="s">
        <v>5029</v>
      </c>
      <c r="K142" s="7" t="s">
        <v>5030</v>
      </c>
      <c r="L142" s="7" t="s">
        <v>5149</v>
      </c>
      <c r="M142" s="7" t="s">
        <v>5327</v>
      </c>
      <c r="N142" s="7" t="s">
        <v>5627</v>
      </c>
      <c r="O142" s="7" t="s">
        <v>5628</v>
      </c>
      <c r="P142" s="7" t="s">
        <v>4782</v>
      </c>
      <c r="Q142" s="7" t="s">
        <v>4782</v>
      </c>
      <c r="R142" s="7" t="s">
        <v>4782</v>
      </c>
      <c r="S142" s="7">
        <f t="array" ref="S142">SUM(IFERROR(IF(MATCH(I142:R142,$F$4:$Q$4,0)&gt;0,1,0),0))</f>
        <v>0</v>
      </c>
      <c r="T142" s="7">
        <f t="shared" ca="1" si="41"/>
        <v>37</v>
      </c>
      <c r="U142" s="7">
        <f ca="1">T142+COUNTIF(T$5:$T141,T142)</f>
        <v>155</v>
      </c>
      <c r="Y142" t="s">
        <v>123</v>
      </c>
      <c r="Z142" s="7">
        <f t="shared" ca="1" si="40"/>
        <v>5</v>
      </c>
      <c r="AA142">
        <v>0</v>
      </c>
      <c r="AB142">
        <v>0</v>
      </c>
      <c r="AC142">
        <v>0</v>
      </c>
      <c r="AD142">
        <v>3</v>
      </c>
      <c r="AE142">
        <v>3</v>
      </c>
      <c r="AF142">
        <v>3</v>
      </c>
      <c r="AG142">
        <v>4</v>
      </c>
      <c r="AH142">
        <v>4</v>
      </c>
      <c r="AI142">
        <v>4</v>
      </c>
      <c r="AJ142">
        <v>5</v>
      </c>
      <c r="AK142">
        <v>5</v>
      </c>
      <c r="AL142">
        <v>5</v>
      </c>
      <c r="AM142">
        <v>5</v>
      </c>
      <c r="AN142">
        <v>5</v>
      </c>
      <c r="AO142" s="25">
        <v>5</v>
      </c>
      <c r="AX142" s="28">
        <v>3000</v>
      </c>
      <c r="AY142" s="28" t="s">
        <v>4739</v>
      </c>
      <c r="AZ142" s="28" t="s">
        <v>4673</v>
      </c>
      <c r="BA142" s="28" t="s">
        <v>5467</v>
      </c>
      <c r="BB142" s="28">
        <v>20</v>
      </c>
      <c r="CD142" s="38">
        <v>138</v>
      </c>
      <c r="CE142" s="38">
        <f t="shared" si="42"/>
        <v>3.445382949537112</v>
      </c>
      <c r="CF142" s="38">
        <f t="shared" si="38"/>
        <v>139.00084000000001</v>
      </c>
      <c r="CG142" s="38">
        <f t="shared" si="39"/>
        <v>139</v>
      </c>
      <c r="CP142" s="40">
        <v>490</v>
      </c>
      <c r="CQ142" s="41" t="s">
        <v>3606</v>
      </c>
      <c r="CR142" s="41" t="s">
        <v>5629</v>
      </c>
      <c r="CS142" s="41">
        <v>150</v>
      </c>
      <c r="CT142" s="41">
        <v>3</v>
      </c>
      <c r="CU142" s="41">
        <v>20</v>
      </c>
      <c r="CV142" s="41">
        <v>5</v>
      </c>
      <c r="CW142" s="40"/>
      <c r="CX142" s="41" t="s">
        <v>4716</v>
      </c>
      <c r="CY142" s="40" t="s">
        <v>3096</v>
      </c>
      <c r="DB142" t="s">
        <v>177</v>
      </c>
      <c r="DC142" s="7" t="str">
        <f t="shared" ca="1" si="45"/>
        <v>05_013</v>
      </c>
      <c r="DD142" t="s">
        <v>5507</v>
      </c>
      <c r="DE142" t="s">
        <v>5514</v>
      </c>
      <c r="DF142" t="s">
        <v>5630</v>
      </c>
      <c r="DG142" t="s">
        <v>5631</v>
      </c>
      <c r="DH142" t="s">
        <v>5632</v>
      </c>
    </row>
    <row r="143" spans="4:112" ht="14.6">
      <c r="D143" s="6" t="str">
        <f t="shared" si="43"/>
        <v>夜本建筑-&gt;加农炮</v>
      </c>
      <c r="E143" s="6" t="str">
        <f t="shared" si="44"/>
        <v>#'3.2夜本建筑'!P5:W15</v>
      </c>
      <c r="F143" s="6" t="s">
        <v>1570</v>
      </c>
      <c r="G143" s="6" t="s">
        <v>5633</v>
      </c>
      <c r="H143" s="6" t="s">
        <v>5545</v>
      </c>
      <c r="I143" s="7" t="s">
        <v>5274</v>
      </c>
      <c r="J143" s="7" t="s">
        <v>5447</v>
      </c>
      <c r="K143" s="7" t="s">
        <v>5448</v>
      </c>
      <c r="L143" s="7" t="s">
        <v>5327</v>
      </c>
      <c r="M143" s="7" t="s">
        <v>4782</v>
      </c>
      <c r="N143" s="7" t="s">
        <v>4782</v>
      </c>
      <c r="O143" s="7" t="s">
        <v>4782</v>
      </c>
      <c r="P143" s="7" t="s">
        <v>4782</v>
      </c>
      <c r="Q143" s="7" t="s">
        <v>4782</v>
      </c>
      <c r="R143" s="7" t="s">
        <v>4782</v>
      </c>
      <c r="S143" s="7">
        <f t="array" ref="S143">SUM(IFERROR(IF(MATCH(I143:R143,$F$4:$Q$4,0)&gt;0,1,0),0))</f>
        <v>0</v>
      </c>
      <c r="T143" s="7">
        <f t="shared" ca="1" si="41"/>
        <v>37</v>
      </c>
      <c r="U143" s="7">
        <f ca="1">T143+COUNTIF(T$5:$T142,T143)</f>
        <v>156</v>
      </c>
      <c r="Y143" t="s">
        <v>126</v>
      </c>
      <c r="Z143" s="7">
        <f t="shared" ca="1" si="40"/>
        <v>5</v>
      </c>
      <c r="AA143">
        <v>0</v>
      </c>
      <c r="AB143">
        <v>0</v>
      </c>
      <c r="AC143">
        <v>0</v>
      </c>
      <c r="AD143">
        <v>3</v>
      </c>
      <c r="AE143">
        <v>3</v>
      </c>
      <c r="AF143">
        <v>3</v>
      </c>
      <c r="AG143">
        <v>4</v>
      </c>
      <c r="AH143">
        <v>4</v>
      </c>
      <c r="AI143">
        <v>4</v>
      </c>
      <c r="AJ143">
        <v>5</v>
      </c>
      <c r="AK143">
        <v>5</v>
      </c>
      <c r="AL143">
        <v>5</v>
      </c>
      <c r="AM143">
        <v>5</v>
      </c>
      <c r="AN143">
        <v>5</v>
      </c>
      <c r="AO143" s="25">
        <v>5</v>
      </c>
      <c r="AX143" s="28">
        <v>7500</v>
      </c>
      <c r="AY143" s="28" t="s">
        <v>4877</v>
      </c>
      <c r="AZ143" s="28" t="s">
        <v>4689</v>
      </c>
      <c r="BA143" s="28" t="s">
        <v>4713</v>
      </c>
      <c r="BB143" s="28">
        <v>40</v>
      </c>
      <c r="CD143" s="38">
        <v>139</v>
      </c>
      <c r="CE143" s="38">
        <f t="shared" si="42"/>
        <v>3.4489930578403611</v>
      </c>
      <c r="CF143" s="38">
        <f t="shared" si="38"/>
        <v>139.24868000000001</v>
      </c>
      <c r="CG143" s="38">
        <f t="shared" si="39"/>
        <v>140</v>
      </c>
      <c r="CP143" s="40">
        <v>491</v>
      </c>
      <c r="CQ143" s="41" t="s">
        <v>3606</v>
      </c>
      <c r="CR143" s="41" t="s">
        <v>5634</v>
      </c>
      <c r="CS143" s="41">
        <v>300</v>
      </c>
      <c r="CT143" s="41">
        <v>8</v>
      </c>
      <c r="CU143" s="41">
        <v>15</v>
      </c>
      <c r="CV143" s="41">
        <v>10</v>
      </c>
      <c r="CW143" s="40"/>
      <c r="CX143" s="41" t="s">
        <v>4716</v>
      </c>
      <c r="CY143" s="40" t="s">
        <v>4717</v>
      </c>
      <c r="DB143" t="s">
        <v>26</v>
      </c>
      <c r="DC143" s="7" t="str">
        <f t="shared" ca="1" si="45"/>
        <v>05_008</v>
      </c>
      <c r="DD143" t="s">
        <v>5577</v>
      </c>
      <c r="DE143" t="s">
        <v>5635</v>
      </c>
      <c r="DF143" t="s">
        <v>4991</v>
      </c>
      <c r="DG143" t="s">
        <v>4992</v>
      </c>
      <c r="DH143" t="s">
        <v>4993</v>
      </c>
    </row>
    <row r="144" spans="4:112" ht="14.6">
      <c r="D144" s="6" t="str">
        <f t="shared" si="43"/>
        <v>夜本建筑-&gt;西瓜投手</v>
      </c>
      <c r="E144" s="6" t="str">
        <f t="shared" si="44"/>
        <v>#'3.2夜本建筑'!P59:W69</v>
      </c>
      <c r="F144" s="6" t="s">
        <v>1612</v>
      </c>
      <c r="G144" s="6" t="s">
        <v>5127</v>
      </c>
      <c r="H144" s="6" t="s">
        <v>5545</v>
      </c>
      <c r="I144" s="7" t="s">
        <v>5274</v>
      </c>
      <c r="J144" s="7" t="s">
        <v>5333</v>
      </c>
      <c r="K144" s="7" t="s">
        <v>5334</v>
      </c>
      <c r="L144" s="7" t="s">
        <v>5048</v>
      </c>
      <c r="M144" s="7" t="s">
        <v>4890</v>
      </c>
      <c r="N144" s="7" t="s">
        <v>5029</v>
      </c>
      <c r="O144" s="7" t="s">
        <v>5030</v>
      </c>
      <c r="P144" s="7" t="s">
        <v>5636</v>
      </c>
      <c r="Q144" s="7" t="s">
        <v>5572</v>
      </c>
      <c r="R144" s="7" t="s">
        <v>5397</v>
      </c>
      <c r="S144" s="7">
        <f t="array" ref="S144">SUM(IFERROR(IF(MATCH(I144:R144,$F$4:$Q$4,0)&gt;0,1,0),0))</f>
        <v>0</v>
      </c>
      <c r="T144" s="7">
        <f t="shared" ca="1" si="41"/>
        <v>37</v>
      </c>
      <c r="U144" s="7">
        <f ca="1">T144+COUNTIF(T$5:$T143,T144)</f>
        <v>157</v>
      </c>
      <c r="AO144" s="25"/>
      <c r="AX144" s="28">
        <v>12000</v>
      </c>
      <c r="AY144" s="28" t="s">
        <v>4934</v>
      </c>
      <c r="AZ144" s="28" t="s">
        <v>4674</v>
      </c>
      <c r="BA144" s="28" t="s">
        <v>5468</v>
      </c>
      <c r="BB144" s="28">
        <v>60</v>
      </c>
      <c r="CD144" s="38">
        <v>140</v>
      </c>
      <c r="CE144" s="38">
        <f t="shared" si="42"/>
        <v>3.4525772872310423</v>
      </c>
      <c r="CF144" s="38">
        <f t="shared" si="38"/>
        <v>140.24763999999999</v>
      </c>
      <c r="CG144" s="38">
        <f t="shared" si="39"/>
        <v>141</v>
      </c>
      <c r="CP144" s="40">
        <v>492</v>
      </c>
      <c r="CQ144" s="41" t="s">
        <v>3606</v>
      </c>
      <c r="CR144" s="41" t="s">
        <v>5637</v>
      </c>
      <c r="CS144" s="41">
        <v>600</v>
      </c>
      <c r="CT144" s="41">
        <v>24</v>
      </c>
      <c r="CU144" s="41">
        <v>10</v>
      </c>
      <c r="CV144" s="41">
        <v>15</v>
      </c>
      <c r="CW144" s="40"/>
      <c r="CX144" s="41" t="s">
        <v>4716</v>
      </c>
      <c r="CY144" s="40" t="s">
        <v>3104</v>
      </c>
      <c r="DB144" t="s">
        <v>178</v>
      </c>
      <c r="DC144" s="7" t="str">
        <f t="shared" ca="1" si="45"/>
        <v>05_004</v>
      </c>
      <c r="DD144" t="s">
        <v>4989</v>
      </c>
      <c r="DE144" t="s">
        <v>5206</v>
      </c>
      <c r="DF144" t="s">
        <v>4897</v>
      </c>
      <c r="DG144" t="s">
        <v>5050</v>
      </c>
      <c r="DH144" t="s">
        <v>4921</v>
      </c>
    </row>
    <row r="145" spans="4:112" ht="14.6">
      <c r="D145" s="6" t="str">
        <f t="shared" si="43"/>
        <v>夜本建筑-&gt;防空火炮</v>
      </c>
      <c r="E145" s="6" t="str">
        <f t="shared" si="44"/>
        <v>#'3.2夜本建筑'!Z19:AG29</v>
      </c>
      <c r="F145" s="6" t="s">
        <v>1586</v>
      </c>
      <c r="G145" s="6" t="s">
        <v>5638</v>
      </c>
      <c r="H145" s="6" t="s">
        <v>5545</v>
      </c>
      <c r="I145" s="7" t="s">
        <v>5274</v>
      </c>
      <c r="J145" s="7" t="s">
        <v>5479</v>
      </c>
      <c r="K145" s="7" t="s">
        <v>5429</v>
      </c>
      <c r="L145" s="7" t="s">
        <v>5149</v>
      </c>
      <c r="M145" s="7" t="s">
        <v>5327</v>
      </c>
      <c r="N145" s="7" t="s">
        <v>4782</v>
      </c>
      <c r="O145" s="7" t="s">
        <v>4782</v>
      </c>
      <c r="P145" s="7" t="s">
        <v>4782</v>
      </c>
      <c r="Q145" s="7" t="s">
        <v>4782</v>
      </c>
      <c r="R145" s="7" t="s">
        <v>4782</v>
      </c>
      <c r="S145" s="7">
        <f t="array" ref="S145">SUM(IFERROR(IF(MATCH(I145:R145,$F$4:$Q$4,0)&gt;0,1,0),0))</f>
        <v>0</v>
      </c>
      <c r="T145" s="7">
        <f t="shared" ca="1" si="41"/>
        <v>37</v>
      </c>
      <c r="U145" s="7">
        <f ca="1">T145+COUNTIF(T$5:$T144,T145)</f>
        <v>158</v>
      </c>
      <c r="Y145" t="s">
        <v>5618</v>
      </c>
      <c r="Z145" s="7">
        <f t="shared" ref="Z145:Z148" ca="1" si="46">OFFSET(AA145,0,$Z$5-1)</f>
        <v>5</v>
      </c>
      <c r="AA145">
        <v>0</v>
      </c>
      <c r="AB145">
        <v>0</v>
      </c>
      <c r="AC145">
        <v>0</v>
      </c>
      <c r="AD145">
        <v>0</v>
      </c>
      <c r="AE145">
        <v>0</v>
      </c>
      <c r="AF145">
        <v>0</v>
      </c>
      <c r="AG145">
        <v>0</v>
      </c>
      <c r="AH145">
        <v>4</v>
      </c>
      <c r="AI145">
        <v>4</v>
      </c>
      <c r="AJ145">
        <v>5</v>
      </c>
      <c r="AK145">
        <v>5</v>
      </c>
      <c r="AL145">
        <v>5</v>
      </c>
      <c r="AM145">
        <v>5</v>
      </c>
      <c r="AN145">
        <v>5</v>
      </c>
      <c r="AO145" s="25">
        <v>5</v>
      </c>
      <c r="AX145" s="28">
        <v>18000</v>
      </c>
      <c r="AY145" s="28" t="s">
        <v>4945</v>
      </c>
      <c r="AZ145" s="28" t="s">
        <v>4738</v>
      </c>
      <c r="BA145" s="28" t="s">
        <v>5591</v>
      </c>
      <c r="BB145" s="28">
        <v>80</v>
      </c>
      <c r="CD145" s="38">
        <v>141</v>
      </c>
      <c r="CE145" s="38">
        <f t="shared" si="42"/>
        <v>3.4561360060922524</v>
      </c>
      <c r="CF145" s="38">
        <f t="shared" si="38"/>
        <v>141.24661</v>
      </c>
      <c r="CG145" s="38">
        <f t="shared" si="39"/>
        <v>142</v>
      </c>
      <c r="CP145" s="40">
        <v>493</v>
      </c>
      <c r="CQ145" s="41" t="s">
        <v>3612</v>
      </c>
      <c r="CR145" s="41" t="s">
        <v>5639</v>
      </c>
      <c r="CS145" s="41">
        <v>150</v>
      </c>
      <c r="CT145" s="41">
        <v>3</v>
      </c>
      <c r="CU145" s="41">
        <v>20</v>
      </c>
      <c r="CV145" s="41">
        <v>5</v>
      </c>
      <c r="CW145" s="40"/>
      <c r="CX145" s="41" t="s">
        <v>4716</v>
      </c>
      <c r="CY145" s="40" t="s">
        <v>3096</v>
      </c>
      <c r="DB145" t="s">
        <v>156</v>
      </c>
      <c r="DC145" s="7" t="str">
        <f t="shared" ca="1" si="45"/>
        <v>05_002</v>
      </c>
      <c r="DD145" t="s">
        <v>4989</v>
      </c>
      <c r="DE145" t="s">
        <v>4754</v>
      </c>
      <c r="DF145" t="s">
        <v>4755</v>
      </c>
      <c r="DG145" t="s">
        <v>4756</v>
      </c>
      <c r="DH145" t="s">
        <v>4757</v>
      </c>
    </row>
    <row r="146" spans="4:112" ht="14.6">
      <c r="D146" s="6" t="str">
        <f t="shared" si="43"/>
        <v>夜本建筑-&gt;空炸起源</v>
      </c>
      <c r="E146" s="6" t="str">
        <f t="shared" si="44"/>
        <v>#'3.2夜本建筑'!Z33:AG43</v>
      </c>
      <c r="F146" s="6" t="s">
        <v>1599</v>
      </c>
      <c r="G146" s="6" t="s">
        <v>5640</v>
      </c>
      <c r="H146" s="6" t="s">
        <v>5545</v>
      </c>
      <c r="I146" s="7" t="s">
        <v>5274</v>
      </c>
      <c r="J146" s="7" t="s">
        <v>5429</v>
      </c>
      <c r="K146" s="7" t="s">
        <v>5015</v>
      </c>
      <c r="L146" s="7" t="s">
        <v>5641</v>
      </c>
      <c r="M146" s="7" t="s">
        <v>5642</v>
      </c>
      <c r="N146" s="7" t="s">
        <v>5430</v>
      </c>
      <c r="O146" s="7" t="s">
        <v>5636</v>
      </c>
      <c r="P146" s="7" t="s">
        <v>5572</v>
      </c>
      <c r="Q146" s="7" t="s">
        <v>5397</v>
      </c>
      <c r="R146" s="7" t="s">
        <v>4782</v>
      </c>
      <c r="S146" s="7">
        <f t="array" ref="S146">SUM(IFERROR(IF(MATCH(I146:R146,$F$4:$Q$4,0)&gt;0,1,0),0))</f>
        <v>0</v>
      </c>
      <c r="T146" s="7">
        <f t="shared" ca="1" si="41"/>
        <v>37</v>
      </c>
      <c r="U146" s="7">
        <f ca="1">T146+COUNTIF(T$5:$T145,T146)</f>
        <v>159</v>
      </c>
      <c r="Y146" t="s">
        <v>120</v>
      </c>
      <c r="Z146" s="7">
        <f t="shared" ca="1" si="46"/>
        <v>5</v>
      </c>
      <c r="AA146">
        <v>0</v>
      </c>
      <c r="AB146">
        <v>0</v>
      </c>
      <c r="AC146">
        <v>0</v>
      </c>
      <c r="AD146">
        <v>3</v>
      </c>
      <c r="AE146">
        <v>3</v>
      </c>
      <c r="AF146">
        <v>3</v>
      </c>
      <c r="AG146">
        <v>4</v>
      </c>
      <c r="AH146">
        <v>4</v>
      </c>
      <c r="AI146">
        <v>4</v>
      </c>
      <c r="AJ146">
        <v>5</v>
      </c>
      <c r="AK146">
        <v>5</v>
      </c>
      <c r="AL146">
        <v>5</v>
      </c>
      <c r="AM146">
        <v>5</v>
      </c>
      <c r="AN146">
        <v>5</v>
      </c>
      <c r="AO146" s="25">
        <v>5</v>
      </c>
      <c r="AX146" s="28">
        <v>30000</v>
      </c>
      <c r="AY146" s="28" t="s">
        <v>5643</v>
      </c>
      <c r="AZ146" s="28" t="s">
        <v>4745</v>
      </c>
      <c r="BA146" s="28" t="s">
        <v>4855</v>
      </c>
      <c r="BB146" s="28">
        <v>100</v>
      </c>
      <c r="CD146" s="38">
        <v>142</v>
      </c>
      <c r="CE146" s="38">
        <f t="shared" si="42"/>
        <v>3.459669574996846</v>
      </c>
      <c r="CF146" s="38">
        <f t="shared" si="38"/>
        <v>142.24557999999999</v>
      </c>
      <c r="CG146" s="38">
        <f t="shared" si="39"/>
        <v>143</v>
      </c>
      <c r="CP146" s="40">
        <v>494</v>
      </c>
      <c r="CQ146" s="41" t="s">
        <v>3612</v>
      </c>
      <c r="CR146" s="41" t="s">
        <v>5644</v>
      </c>
      <c r="CS146" s="41">
        <v>300</v>
      </c>
      <c r="CT146" s="41">
        <v>8</v>
      </c>
      <c r="CU146" s="41">
        <v>15</v>
      </c>
      <c r="CV146" s="41">
        <v>10</v>
      </c>
      <c r="CW146" s="40"/>
      <c r="CX146" s="41" t="s">
        <v>4716</v>
      </c>
      <c r="CY146" s="40" t="s">
        <v>4717</v>
      </c>
      <c r="DB146" t="s">
        <v>179</v>
      </c>
      <c r="DC146" s="7" t="str">
        <f t="shared" ca="1" si="45"/>
        <v>05_002</v>
      </c>
      <c r="DD146" t="s">
        <v>4989</v>
      </c>
      <c r="DE146" t="s">
        <v>4754</v>
      </c>
      <c r="DF146" t="s">
        <v>4755</v>
      </c>
      <c r="DG146" t="s">
        <v>4756</v>
      </c>
      <c r="DH146" t="s">
        <v>4757</v>
      </c>
    </row>
    <row r="147" spans="4:112" ht="14.6">
      <c r="D147" s="6" t="str">
        <f t="shared" si="43"/>
        <v>夜本建筑-&gt;巨型大炮</v>
      </c>
      <c r="E147" s="6" t="str">
        <f t="shared" si="44"/>
        <v>#'3.2夜本建筑'!Z46:AG56</v>
      </c>
      <c r="F147" s="6" t="s">
        <v>1607</v>
      </c>
      <c r="G147" s="6" t="s">
        <v>5645</v>
      </c>
      <c r="H147" s="6" t="s">
        <v>5545</v>
      </c>
      <c r="I147" s="7" t="s">
        <v>5274</v>
      </c>
      <c r="J147" s="7" t="s">
        <v>4927</v>
      </c>
      <c r="K147" s="7" t="s">
        <v>5233</v>
      </c>
      <c r="L147" s="7" t="s">
        <v>4859</v>
      </c>
      <c r="M147" s="7" t="s">
        <v>5327</v>
      </c>
      <c r="N147" s="7" t="s">
        <v>5447</v>
      </c>
      <c r="O147" s="7" t="s">
        <v>5448</v>
      </c>
      <c r="P147" s="7" t="s">
        <v>4782</v>
      </c>
      <c r="Q147" s="7" t="s">
        <v>4782</v>
      </c>
      <c r="R147" s="7" t="s">
        <v>4782</v>
      </c>
      <c r="S147" s="7">
        <f t="array" ref="S147">SUM(IFERROR(IF(MATCH(I147:R147,$F$4:$Q$4,0)&gt;0,1,0),0))</f>
        <v>0</v>
      </c>
      <c r="T147" s="7">
        <f t="shared" ca="1" si="41"/>
        <v>37</v>
      </c>
      <c r="U147" s="7">
        <f ca="1">T147+COUNTIF(T$5:$T146,T147)</f>
        <v>160</v>
      </c>
      <c r="Y147" t="s">
        <v>123</v>
      </c>
      <c r="Z147" s="7">
        <f t="shared" ca="1" si="46"/>
        <v>5</v>
      </c>
      <c r="AA147">
        <v>0</v>
      </c>
      <c r="AB147">
        <v>0</v>
      </c>
      <c r="AC147">
        <v>0</v>
      </c>
      <c r="AD147">
        <v>3</v>
      </c>
      <c r="AE147">
        <v>3</v>
      </c>
      <c r="AF147">
        <v>3</v>
      </c>
      <c r="AG147">
        <v>4</v>
      </c>
      <c r="AH147">
        <v>4</v>
      </c>
      <c r="AI147">
        <v>4</v>
      </c>
      <c r="AJ147">
        <v>5</v>
      </c>
      <c r="AK147">
        <v>5</v>
      </c>
      <c r="AL147">
        <v>5</v>
      </c>
      <c r="AM147">
        <v>5</v>
      </c>
      <c r="AN147">
        <v>5</v>
      </c>
      <c r="AO147" s="25">
        <v>5</v>
      </c>
      <c r="AX147" s="28">
        <v>50000</v>
      </c>
      <c r="AY147" s="28" t="s">
        <v>4750</v>
      </c>
      <c r="AZ147" s="28" t="s">
        <v>4751</v>
      </c>
      <c r="BA147" s="28" t="s">
        <v>3432</v>
      </c>
      <c r="BB147" s="28">
        <v>120</v>
      </c>
      <c r="CD147" s="38">
        <v>143</v>
      </c>
      <c r="CE147" s="38">
        <f t="shared" si="42"/>
        <v>3.4631783469266706</v>
      </c>
      <c r="CF147" s="38">
        <f t="shared" si="38"/>
        <v>143.24457000000001</v>
      </c>
      <c r="CG147" s="38">
        <f t="shared" si="39"/>
        <v>144</v>
      </c>
      <c r="CP147" s="40">
        <v>495</v>
      </c>
      <c r="CQ147" s="41" t="s">
        <v>3612</v>
      </c>
      <c r="CR147" s="41" t="s">
        <v>5646</v>
      </c>
      <c r="CS147" s="41">
        <v>600</v>
      </c>
      <c r="CT147" s="41">
        <v>24</v>
      </c>
      <c r="CU147" s="41">
        <v>10</v>
      </c>
      <c r="CV147" s="41">
        <v>15</v>
      </c>
      <c r="CW147" s="40"/>
      <c r="CX147" s="41" t="s">
        <v>4716</v>
      </c>
      <c r="CY147" s="40" t="s">
        <v>3104</v>
      </c>
      <c r="DB147" t="s">
        <v>153</v>
      </c>
      <c r="DC147" s="7" t="str">
        <f t="shared" ca="1" si="45"/>
        <v>05_003</v>
      </c>
      <c r="DD147" t="s">
        <v>4989</v>
      </c>
      <c r="DE147" t="s">
        <v>5206</v>
      </c>
      <c r="DF147" t="s">
        <v>5073</v>
      </c>
      <c r="DG147" t="s">
        <v>4920</v>
      </c>
      <c r="DH147" t="s">
        <v>4835</v>
      </c>
    </row>
    <row r="148" spans="4:112" ht="14.6">
      <c r="D148" s="6" t="str">
        <f t="shared" si="43"/>
        <v>夜本建筑-&gt;双管加农炮</v>
      </c>
      <c r="E148" s="6" t="str">
        <f t="shared" si="44"/>
        <v>#'3.2夜本建筑'!Z5:AG15</v>
      </c>
      <c r="F148" s="6" t="s">
        <v>1575</v>
      </c>
      <c r="G148" s="6" t="s">
        <v>5647</v>
      </c>
      <c r="H148" s="6" t="s">
        <v>5545</v>
      </c>
      <c r="I148" s="7" t="s">
        <v>5274</v>
      </c>
      <c r="J148" s="7" t="s">
        <v>5648</v>
      </c>
      <c r="K148" s="7" t="s">
        <v>5606</v>
      </c>
      <c r="L148" s="7" t="s">
        <v>5447</v>
      </c>
      <c r="M148" s="7" t="s">
        <v>5448</v>
      </c>
      <c r="N148" s="7" t="s">
        <v>5327</v>
      </c>
      <c r="O148" s="7" t="s">
        <v>4782</v>
      </c>
      <c r="P148" s="7" t="s">
        <v>4782</v>
      </c>
      <c r="Q148" s="7" t="s">
        <v>4782</v>
      </c>
      <c r="R148" s="7" t="s">
        <v>4782</v>
      </c>
      <c r="S148" s="7">
        <f t="array" ref="S148">SUM(IFERROR(IF(MATCH(I148:R148,$F$4:$Q$4,0)&gt;0,1,0),0))</f>
        <v>0</v>
      </c>
      <c r="T148" s="7">
        <f t="shared" ca="1" si="41"/>
        <v>37</v>
      </c>
      <c r="U148" s="7">
        <f ca="1">T148+COUNTIF(T$5:$T147,T148)</f>
        <v>161</v>
      </c>
      <c r="Y148" t="s">
        <v>126</v>
      </c>
      <c r="Z148" s="7">
        <f t="shared" ca="1" si="46"/>
        <v>5</v>
      </c>
      <c r="AA148">
        <v>0</v>
      </c>
      <c r="AB148">
        <v>0</v>
      </c>
      <c r="AC148">
        <v>0</v>
      </c>
      <c r="AD148">
        <v>3</v>
      </c>
      <c r="AE148">
        <v>3</v>
      </c>
      <c r="AF148">
        <v>3</v>
      </c>
      <c r="AG148">
        <v>4</v>
      </c>
      <c r="AH148">
        <v>4</v>
      </c>
      <c r="AI148">
        <v>4</v>
      </c>
      <c r="AJ148">
        <v>5</v>
      </c>
      <c r="AK148">
        <v>5</v>
      </c>
      <c r="AL148">
        <v>5</v>
      </c>
      <c r="AM148">
        <v>5</v>
      </c>
      <c r="AN148">
        <v>5</v>
      </c>
      <c r="AO148" s="25">
        <v>5</v>
      </c>
      <c r="AX148" s="28">
        <v>3000</v>
      </c>
      <c r="AY148" s="28" t="s">
        <v>4689</v>
      </c>
      <c r="AZ148" s="28" t="s">
        <v>5538</v>
      </c>
      <c r="BA148" s="28" t="s">
        <v>5468</v>
      </c>
      <c r="BB148" s="28">
        <v>20</v>
      </c>
      <c r="CD148" s="38">
        <v>144</v>
      </c>
      <c r="CE148" s="38">
        <f t="shared" si="42"/>
        <v>3.4666626674841621</v>
      </c>
      <c r="CF148" s="38">
        <f t="shared" si="38"/>
        <v>144.24356</v>
      </c>
      <c r="CG148" s="38">
        <f t="shared" si="39"/>
        <v>145</v>
      </c>
      <c r="CP148" s="40">
        <v>496</v>
      </c>
      <c r="CQ148" s="41" t="s">
        <v>3618</v>
      </c>
      <c r="CR148" s="41" t="s">
        <v>5649</v>
      </c>
      <c r="CS148" s="41">
        <v>150</v>
      </c>
      <c r="CT148" s="41">
        <v>3</v>
      </c>
      <c r="CU148" s="41">
        <v>20</v>
      </c>
      <c r="CV148" s="41">
        <v>5</v>
      </c>
      <c r="CW148" s="40"/>
      <c r="CX148" s="41" t="s">
        <v>4716</v>
      </c>
      <c r="CY148" s="40" t="s">
        <v>3096</v>
      </c>
      <c r="DB148" t="s">
        <v>181</v>
      </c>
      <c r="DC148" s="7" t="str">
        <f t="shared" ca="1" si="45"/>
        <v>05_004</v>
      </c>
      <c r="DD148" t="s">
        <v>4989</v>
      </c>
      <c r="DE148" t="s">
        <v>5206</v>
      </c>
      <c r="DF148" t="s">
        <v>4897</v>
      </c>
      <c r="DG148" t="s">
        <v>5050</v>
      </c>
      <c r="DH148" t="s">
        <v>4921</v>
      </c>
    </row>
    <row r="149" spans="4:112" ht="14.6">
      <c r="D149" s="6" t="str">
        <f t="shared" si="43"/>
        <v>联赛&amp;等级-&gt;玩家等级</v>
      </c>
      <c r="E149" s="6" t="str">
        <f t="shared" si="44"/>
        <v>#'5.1联赛&amp;等级'!AC1:AQ12</v>
      </c>
      <c r="F149" s="6" t="s">
        <v>5650</v>
      </c>
      <c r="G149" s="6" t="s">
        <v>5651</v>
      </c>
      <c r="H149" s="6" t="s">
        <v>5652</v>
      </c>
      <c r="I149" s="7" t="s">
        <v>5653</v>
      </c>
      <c r="J149" s="7" t="s">
        <v>4801</v>
      </c>
      <c r="K149" s="7" t="s">
        <v>5654</v>
      </c>
      <c r="L149" s="7" t="s">
        <v>5155</v>
      </c>
      <c r="M149" s="7" t="s">
        <v>4782</v>
      </c>
      <c r="N149" s="7" t="s">
        <v>4782</v>
      </c>
      <c r="O149" s="7" t="s">
        <v>4782</v>
      </c>
      <c r="P149" s="7" t="s">
        <v>4782</v>
      </c>
      <c r="Q149" s="7" t="s">
        <v>4782</v>
      </c>
      <c r="R149" s="7" t="s">
        <v>4782</v>
      </c>
      <c r="S149" s="7">
        <f t="array" ref="S149">SUM(IFERROR(IF(MATCH(I149:R149,$F$4:$Q$4,0)&gt;0,1,0),0))</f>
        <v>0</v>
      </c>
      <c r="T149" s="7">
        <f t="shared" ca="1" si="41"/>
        <v>37</v>
      </c>
      <c r="U149" s="7">
        <f ca="1">T149+COUNTIF(T$5:$T148,T149)</f>
        <v>162</v>
      </c>
      <c r="Z149" s="7"/>
      <c r="AO149" s="25"/>
      <c r="AX149" s="28">
        <v>7500</v>
      </c>
      <c r="AY149" s="28" t="s">
        <v>4688</v>
      </c>
      <c r="AZ149" s="28" t="s">
        <v>4963</v>
      </c>
      <c r="BA149" s="28" t="s">
        <v>5467</v>
      </c>
      <c r="BB149" s="28">
        <v>40</v>
      </c>
      <c r="CD149" s="38">
        <v>145</v>
      </c>
      <c r="CE149" s="38">
        <f t="shared" si="42"/>
        <v>3.4701228750966187</v>
      </c>
      <c r="CF149" s="38">
        <f t="shared" si="38"/>
        <v>145.24254999999999</v>
      </c>
      <c r="CG149" s="38">
        <f t="shared" si="39"/>
        <v>146</v>
      </c>
      <c r="CP149" s="40">
        <v>497</v>
      </c>
      <c r="CQ149" s="41" t="s">
        <v>3618</v>
      </c>
      <c r="CR149" s="41" t="s">
        <v>5655</v>
      </c>
      <c r="CS149" s="41">
        <v>300</v>
      </c>
      <c r="CT149" s="41">
        <v>8</v>
      </c>
      <c r="CU149" s="41">
        <v>15</v>
      </c>
      <c r="CV149" s="41">
        <v>10</v>
      </c>
      <c r="CW149" s="40"/>
      <c r="CX149" s="41" t="s">
        <v>4716</v>
      </c>
      <c r="CY149" s="40" t="s">
        <v>4717</v>
      </c>
      <c r="DB149" t="s">
        <v>149</v>
      </c>
      <c r="DC149" s="7" t="str">
        <f t="shared" ca="1" si="45"/>
        <v>05_002</v>
      </c>
      <c r="DD149" t="s">
        <v>4989</v>
      </c>
      <c r="DE149" t="s">
        <v>4754</v>
      </c>
      <c r="DF149" t="s">
        <v>4755</v>
      </c>
      <c r="DG149" t="s">
        <v>4756</v>
      </c>
      <c r="DH149" t="s">
        <v>4757</v>
      </c>
    </row>
    <row r="150" spans="4:112" ht="14.6">
      <c r="D150" s="6" t="str">
        <f t="shared" si="43"/>
        <v>联赛&amp;等级-&gt;家乡联赛</v>
      </c>
      <c r="E150" s="6" t="str">
        <f t="shared" si="44"/>
        <v>#'5.1联赛&amp;等级'!D1:M31</v>
      </c>
      <c r="F150" s="6" t="s">
        <v>5656</v>
      </c>
      <c r="G150" s="6" t="s">
        <v>5657</v>
      </c>
      <c r="H150" s="6" t="s">
        <v>5652</v>
      </c>
      <c r="I150" s="7" t="s">
        <v>4801</v>
      </c>
      <c r="J150" s="7" t="s">
        <v>5658</v>
      </c>
      <c r="K150" s="7" t="s">
        <v>5610</v>
      </c>
      <c r="L150" s="7" t="s">
        <v>5659</v>
      </c>
      <c r="M150" s="7" t="s">
        <v>4782</v>
      </c>
      <c r="N150" s="7" t="s">
        <v>4782</v>
      </c>
      <c r="O150" s="7" t="s">
        <v>4782</v>
      </c>
      <c r="P150" s="7" t="s">
        <v>4782</v>
      </c>
      <c r="Q150" s="7" t="s">
        <v>4782</v>
      </c>
      <c r="R150" s="7" t="s">
        <v>4782</v>
      </c>
      <c r="S150" s="7">
        <f t="array" ref="S150">SUM(IFERROR(IF(MATCH(I150:R150,$F$4:$Q$4,0)&gt;0,1,0),0))</f>
        <v>0</v>
      </c>
      <c r="T150" s="7">
        <f t="shared" ca="1" si="41"/>
        <v>37</v>
      </c>
      <c r="U150" s="7">
        <f ca="1">T150+COUNTIF(T$5:$T149,T150)</f>
        <v>163</v>
      </c>
      <c r="X150" t="s">
        <v>5660</v>
      </c>
      <c r="Y150" t="s">
        <v>5661</v>
      </c>
      <c r="Z150" s="7">
        <f t="shared" ref="Z150:Z155" ca="1" si="47">OFFSET(AA150,0,$Z$5-1)</f>
        <v>552300000</v>
      </c>
      <c r="AA150">
        <f ca="1">AA158</f>
        <v>4050</v>
      </c>
      <c r="AB150">
        <f ca="1">AB158-AA158</f>
        <v>13900</v>
      </c>
      <c r="AC150">
        <f t="shared" ref="AC150:AO150" ca="1" si="48">AC158-AB158</f>
        <v>229300</v>
      </c>
      <c r="AD150">
        <f t="shared" ca="1" si="48"/>
        <v>1040550</v>
      </c>
      <c r="AE150">
        <f t="shared" ca="1" si="48"/>
        <v>3026750</v>
      </c>
      <c r="AF150">
        <f t="shared" ca="1" si="48"/>
        <v>6280550</v>
      </c>
      <c r="AG150">
        <f t="shared" ca="1" si="48"/>
        <v>16432200</v>
      </c>
      <c r="AH150">
        <f t="shared" ca="1" si="48"/>
        <v>30648550</v>
      </c>
      <c r="AI150">
        <f t="shared" ca="1" si="48"/>
        <v>71384100</v>
      </c>
      <c r="AJ150">
        <f t="shared" ca="1" si="48"/>
        <v>100400000</v>
      </c>
      <c r="AK150">
        <f t="shared" ca="1" si="48"/>
        <v>218000000</v>
      </c>
      <c r="AL150">
        <f t="shared" ca="1" si="48"/>
        <v>450100000</v>
      </c>
      <c r="AM150">
        <f t="shared" ca="1" si="48"/>
        <v>504200000</v>
      </c>
      <c r="AN150">
        <f t="shared" ca="1" si="48"/>
        <v>500200000</v>
      </c>
      <c r="AO150">
        <f t="shared" ca="1" si="48"/>
        <v>552300000</v>
      </c>
      <c r="AX150" s="28">
        <v>12000</v>
      </c>
      <c r="AY150" s="28" t="s">
        <v>4855</v>
      </c>
      <c r="AZ150" s="28" t="s">
        <v>5591</v>
      </c>
      <c r="BA150" s="28" t="s">
        <v>5569</v>
      </c>
      <c r="BB150" s="28">
        <v>60</v>
      </c>
      <c r="CD150" s="38">
        <v>146</v>
      </c>
      <c r="CE150" s="38">
        <f t="shared" si="42"/>
        <v>3.4735593012134571</v>
      </c>
      <c r="CF150" s="38">
        <f t="shared" ref="CF150:CF181" si="49">MAX(CEILING($CC$4*(1-CE150*$CC$6)/$CC$8,1),0)+CD150+ROUND(MOD($CC$4*(1-CE150*$CC$6),$CC$8)/$CC$4,5)</f>
        <v>146.24155999999999</v>
      </c>
      <c r="CG150" s="38">
        <f t="shared" si="39"/>
        <v>147</v>
      </c>
      <c r="CP150" s="40">
        <v>498</v>
      </c>
      <c r="CQ150" s="41" t="s">
        <v>3618</v>
      </c>
      <c r="CR150" s="41" t="s">
        <v>5662</v>
      </c>
      <c r="CS150" s="41">
        <v>600</v>
      </c>
      <c r="CT150" s="41">
        <v>24</v>
      </c>
      <c r="CU150" s="41">
        <v>10</v>
      </c>
      <c r="CV150" s="41">
        <v>15</v>
      </c>
      <c r="CW150" s="40"/>
      <c r="CX150" s="41" t="s">
        <v>4716</v>
      </c>
      <c r="CY150" s="40" t="s">
        <v>3104</v>
      </c>
      <c r="DB150" t="s">
        <v>180</v>
      </c>
      <c r="DC150" s="7" t="str">
        <f t="shared" ca="1" si="45"/>
        <v>05_005</v>
      </c>
      <c r="DD150" t="s">
        <v>4989</v>
      </c>
      <c r="DE150" t="s">
        <v>5206</v>
      </c>
      <c r="DF150" t="s">
        <v>4897</v>
      </c>
      <c r="DG150" t="s">
        <v>4898</v>
      </c>
      <c r="DH150" t="s">
        <v>5051</v>
      </c>
    </row>
    <row r="151" spans="4:112" ht="14.6">
      <c r="D151" s="6" t="str">
        <f t="shared" si="43"/>
        <v>联赛&amp;等级-&gt;部落等级</v>
      </c>
      <c r="E151" s="6" t="str">
        <f t="shared" si="44"/>
        <v>#'5.1联赛&amp;等级'!D33:M88</v>
      </c>
      <c r="F151" s="6" t="s">
        <v>5663</v>
      </c>
      <c r="G151" s="6" t="s">
        <v>5664</v>
      </c>
      <c r="H151" s="6" t="s">
        <v>5652</v>
      </c>
      <c r="I151" s="7" t="s">
        <v>5387</v>
      </c>
      <c r="J151" s="7" t="s">
        <v>5388</v>
      </c>
      <c r="K151" s="7" t="s">
        <v>5654</v>
      </c>
      <c r="L151" s="7" t="s">
        <v>5155</v>
      </c>
      <c r="M151" s="7" t="s">
        <v>4782</v>
      </c>
      <c r="N151" s="7" t="s">
        <v>4782</v>
      </c>
      <c r="O151" s="7" t="s">
        <v>4782</v>
      </c>
      <c r="P151" s="7" t="s">
        <v>4782</v>
      </c>
      <c r="Q151" s="7" t="s">
        <v>4782</v>
      </c>
      <c r="R151" s="7" t="s">
        <v>4782</v>
      </c>
      <c r="S151" s="7">
        <f t="array" ref="S151">SUM(IFERROR(IF(MATCH(I151:R151,$F$4:$Q$4,0)&gt;0,1,0),0))</f>
        <v>0</v>
      </c>
      <c r="T151" s="7">
        <f t="shared" ca="1" si="41"/>
        <v>37</v>
      </c>
      <c r="U151" s="7">
        <f ca="1">T151+COUNTIF(T$5:$T150,T151)</f>
        <v>164</v>
      </c>
      <c r="Y151" t="s">
        <v>5665</v>
      </c>
      <c r="Z151" s="7">
        <f t="shared" ca="1" si="47"/>
        <v>956500000</v>
      </c>
      <c r="AA151">
        <f t="shared" ref="AA151:AA157" ca="1" si="50">AA159</f>
        <v>3250</v>
      </c>
      <c r="AB151">
        <f t="shared" ref="AB151:AO151" ca="1" si="51">AB159-AA159</f>
        <v>18900</v>
      </c>
      <c r="AC151">
        <f t="shared" ca="1" si="51"/>
        <v>125900</v>
      </c>
      <c r="AD151">
        <f t="shared" ca="1" si="51"/>
        <v>644550</v>
      </c>
      <c r="AE151">
        <f t="shared" ca="1" si="51"/>
        <v>6991600</v>
      </c>
      <c r="AF151">
        <f t="shared" ca="1" si="51"/>
        <v>7399050</v>
      </c>
      <c r="AG151">
        <f t="shared" ca="1" si="51"/>
        <v>24767800</v>
      </c>
      <c r="AH151">
        <f t="shared" ca="1" si="51"/>
        <v>67085050</v>
      </c>
      <c r="AI151">
        <f t="shared" ca="1" si="51"/>
        <v>105981600</v>
      </c>
      <c r="AJ151">
        <f t="shared" ca="1" si="51"/>
        <v>202777750</v>
      </c>
      <c r="AK151">
        <f t="shared" ca="1" si="51"/>
        <v>343519250</v>
      </c>
      <c r="AL151">
        <f t="shared" ca="1" si="51"/>
        <v>534656500</v>
      </c>
      <c r="AM151">
        <f t="shared" ca="1" si="51"/>
        <v>1020378400</v>
      </c>
      <c r="AN151">
        <f t="shared" ca="1" si="51"/>
        <v>1187319900</v>
      </c>
      <c r="AO151">
        <f t="shared" ca="1" si="51"/>
        <v>956500000</v>
      </c>
      <c r="AX151" s="28">
        <v>18000</v>
      </c>
      <c r="AY151" s="28" t="s">
        <v>5163</v>
      </c>
      <c r="AZ151" s="28" t="s">
        <v>5564</v>
      </c>
      <c r="BA151" s="28" t="s">
        <v>5476</v>
      </c>
      <c r="BB151" s="28">
        <v>80</v>
      </c>
      <c r="CD151" s="38">
        <v>147</v>
      </c>
      <c r="CE151" s="38">
        <f t="shared" si="42"/>
        <v>3.4769722704967334</v>
      </c>
      <c r="CF151" s="38">
        <f t="shared" si="49"/>
        <v>147.24056999999999</v>
      </c>
      <c r="CG151" s="38">
        <f t="shared" si="39"/>
        <v>148</v>
      </c>
      <c r="CP151" s="40">
        <v>499</v>
      </c>
      <c r="CQ151" s="41" t="s">
        <v>3623</v>
      </c>
      <c r="CR151" s="41" t="s">
        <v>5666</v>
      </c>
      <c r="CS151" s="41">
        <v>150</v>
      </c>
      <c r="CT151" s="41">
        <v>3</v>
      </c>
      <c r="CU151" s="41">
        <v>20</v>
      </c>
      <c r="CV151" s="41">
        <v>5</v>
      </c>
      <c r="CW151" s="40"/>
      <c r="CX151" s="41" t="s">
        <v>4716</v>
      </c>
      <c r="CY151" s="40" t="s">
        <v>3096</v>
      </c>
      <c r="DB151" t="s">
        <v>182</v>
      </c>
      <c r="DC151" s="7" t="str">
        <f t="shared" ca="1" si="45"/>
        <v>05_004</v>
      </c>
      <c r="DD151" t="s">
        <v>4989</v>
      </c>
      <c r="DE151" t="s">
        <v>4754</v>
      </c>
      <c r="DF151" t="s">
        <v>5073</v>
      </c>
      <c r="DG151" t="s">
        <v>5050</v>
      </c>
      <c r="DH151" t="s">
        <v>4921</v>
      </c>
    </row>
    <row r="152" spans="4:112" ht="14.6">
      <c r="D152" s="6" t="str">
        <f t="shared" si="43"/>
        <v>联赛&amp;等级-&gt;部落联赛</v>
      </c>
      <c r="E152" s="6" t="str">
        <f t="shared" si="44"/>
        <v>#'5.1联赛&amp;等级'!P1:W26</v>
      </c>
      <c r="F152" s="6" t="s">
        <v>5667</v>
      </c>
      <c r="G152" s="6" t="s">
        <v>5668</v>
      </c>
      <c r="H152" s="6" t="s">
        <v>5652</v>
      </c>
      <c r="I152" s="7" t="s">
        <v>5387</v>
      </c>
      <c r="J152" s="7" t="s">
        <v>5388</v>
      </c>
      <c r="K152" s="7" t="s">
        <v>5610</v>
      </c>
      <c r="L152" s="7" t="s">
        <v>5659</v>
      </c>
      <c r="M152" s="7" t="s">
        <v>4782</v>
      </c>
      <c r="N152" s="7" t="s">
        <v>4782</v>
      </c>
      <c r="O152" s="7" t="s">
        <v>4782</v>
      </c>
      <c r="P152" s="7" t="s">
        <v>4782</v>
      </c>
      <c r="Q152" s="7" t="s">
        <v>4782</v>
      </c>
      <c r="R152" s="7" t="s">
        <v>4782</v>
      </c>
      <c r="S152" s="7">
        <f t="array" ref="S152">SUM(IFERROR(IF(MATCH(I152:R152,$F$4:$Q$4,0)&gt;0,1,0),0))</f>
        <v>0</v>
      </c>
      <c r="T152" s="7">
        <f t="shared" ca="1" si="41"/>
        <v>37</v>
      </c>
      <c r="U152" s="7">
        <f ca="1">T152+COUNTIF(T$5:$T151,T152)</f>
        <v>165</v>
      </c>
      <c r="Y152" t="s">
        <v>5669</v>
      </c>
      <c r="Z152" s="7">
        <f t="shared" ca="1" si="47"/>
        <v>16520000</v>
      </c>
      <c r="AA152">
        <f t="shared" ca="1" si="50"/>
        <v>0</v>
      </c>
      <c r="AB152">
        <f t="shared" ref="AB152:AO152" ca="1" si="52">AB160-AA160</f>
        <v>0</v>
      </c>
      <c r="AC152">
        <f t="shared" ca="1" si="52"/>
        <v>0</v>
      </c>
      <c r="AD152">
        <f t="shared" ca="1" si="52"/>
        <v>0</v>
      </c>
      <c r="AE152">
        <f t="shared" ca="1" si="52"/>
        <v>0</v>
      </c>
      <c r="AF152">
        <f t="shared" ca="1" si="52"/>
        <v>0</v>
      </c>
      <c r="AG152">
        <f t="shared" ca="1" si="52"/>
        <v>44000</v>
      </c>
      <c r="AH152">
        <f t="shared" ca="1" si="52"/>
        <v>157000</v>
      </c>
      <c r="AI152">
        <f t="shared" ca="1" si="52"/>
        <v>1993000</v>
      </c>
      <c r="AJ152">
        <f t="shared" ca="1" si="52"/>
        <v>2050000</v>
      </c>
      <c r="AK152">
        <f t="shared" ca="1" si="52"/>
        <v>3743000</v>
      </c>
      <c r="AL152">
        <f t="shared" ca="1" si="52"/>
        <v>7308000</v>
      </c>
      <c r="AM152">
        <f t="shared" ca="1" si="52"/>
        <v>11972000</v>
      </c>
      <c r="AN152">
        <f t="shared" ca="1" si="52"/>
        <v>14223000</v>
      </c>
      <c r="AO152">
        <f t="shared" ca="1" si="52"/>
        <v>16520000</v>
      </c>
      <c r="AX152" s="28">
        <v>30000</v>
      </c>
      <c r="AY152" s="28" t="s">
        <v>5643</v>
      </c>
      <c r="AZ152" s="28" t="s">
        <v>5164</v>
      </c>
      <c r="BA152" s="28" t="s">
        <v>4738</v>
      </c>
      <c r="BB152" s="28">
        <v>100</v>
      </c>
      <c r="CD152" s="38">
        <v>148</v>
      </c>
      <c r="CE152" s="38">
        <f t="shared" si="42"/>
        <v>3.4803621010052082</v>
      </c>
      <c r="CF152" s="38">
        <f t="shared" si="49"/>
        <v>148.23957999999999</v>
      </c>
      <c r="CG152" s="38">
        <f t="shared" si="39"/>
        <v>149</v>
      </c>
      <c r="CP152" s="40">
        <v>500</v>
      </c>
      <c r="CQ152" s="41" t="s">
        <v>3623</v>
      </c>
      <c r="CR152" s="41" t="s">
        <v>5670</v>
      </c>
      <c r="CS152" s="41">
        <v>300</v>
      </c>
      <c r="CT152" s="41">
        <v>8</v>
      </c>
      <c r="CU152" s="41">
        <v>15</v>
      </c>
      <c r="CV152" s="41">
        <v>10</v>
      </c>
      <c r="CW152" s="40"/>
      <c r="CX152" s="41" t="s">
        <v>4716</v>
      </c>
      <c r="CY152" s="40" t="s">
        <v>4717</v>
      </c>
      <c r="DB152" t="s">
        <v>183</v>
      </c>
      <c r="DC152" s="7" t="str">
        <f t="shared" ca="1" si="45"/>
        <v>05_002</v>
      </c>
      <c r="DD152" t="s">
        <v>5213</v>
      </c>
      <c r="DE152" t="s">
        <v>4784</v>
      </c>
      <c r="DF152" t="s">
        <v>4785</v>
      </c>
      <c r="DG152" t="s">
        <v>4873</v>
      </c>
      <c r="DH152" t="s">
        <v>4757</v>
      </c>
    </row>
    <row r="153" spans="4:112" ht="14.6">
      <c r="D153" s="6" t="str">
        <f t="shared" si="43"/>
        <v>联赛&amp;等级-&gt;夜本联赛</v>
      </c>
      <c r="E153" s="6" t="str">
        <f t="shared" si="44"/>
        <v>#'5.1联赛&amp;等级'!P33:V68</v>
      </c>
      <c r="F153" s="6" t="s">
        <v>5671</v>
      </c>
      <c r="G153" s="6" t="s">
        <v>5672</v>
      </c>
      <c r="H153" s="6" t="s">
        <v>5652</v>
      </c>
      <c r="I153" s="7" t="s">
        <v>5274</v>
      </c>
      <c r="J153" s="7" t="s">
        <v>5357</v>
      </c>
      <c r="K153" s="7" t="s">
        <v>5610</v>
      </c>
      <c r="L153" s="7" t="s">
        <v>5659</v>
      </c>
      <c r="M153" s="7" t="s">
        <v>4782</v>
      </c>
      <c r="N153" s="7" t="s">
        <v>4782</v>
      </c>
      <c r="O153" s="7" t="s">
        <v>4782</v>
      </c>
      <c r="P153" s="7" t="s">
        <v>4782</v>
      </c>
      <c r="Q153" s="7" t="s">
        <v>4782</v>
      </c>
      <c r="R153" s="7" t="s">
        <v>4782</v>
      </c>
      <c r="S153" s="7">
        <f t="array" ref="S153">SUM(IFERROR(IF(MATCH(I153:R153,$F$4:$Q$4,0)&gt;0,1,0),0))</f>
        <v>0</v>
      </c>
      <c r="T153" s="7">
        <f t="shared" ca="1" si="41"/>
        <v>37</v>
      </c>
      <c r="U153" s="7">
        <f ca="1">T153+COUNTIF(T$5:$T152,T153)</f>
        <v>166</v>
      </c>
      <c r="Y153" t="s">
        <v>5673</v>
      </c>
      <c r="Z153" s="7">
        <f t="shared" ca="1" si="47"/>
        <v>1386</v>
      </c>
      <c r="AA153">
        <f t="shared" ca="1" si="50"/>
        <v>1.608796296296296E-2</v>
      </c>
      <c r="AB153">
        <f t="shared" ref="AB153:AO153" ca="1" si="53">AB161-AA161</f>
        <v>0.15243054888888896</v>
      </c>
      <c r="AC153">
        <f t="shared" ca="1" si="53"/>
        <v>2.7560185151851857</v>
      </c>
      <c r="AD153">
        <f t="shared" ca="1" si="53"/>
        <v>9.2439814814814767</v>
      </c>
      <c r="AE153">
        <f t="shared" ca="1" si="53"/>
        <v>25.097569444444439</v>
      </c>
      <c r="AF153">
        <f t="shared" ca="1" si="53"/>
        <v>20.868287037037049</v>
      </c>
      <c r="AG153">
        <f t="shared" ca="1" si="53"/>
        <v>56.602314811481499</v>
      </c>
      <c r="AH153">
        <f t="shared" ca="1" si="53"/>
        <v>116.03564814814814</v>
      </c>
      <c r="AI153">
        <f t="shared" ca="1" si="53"/>
        <v>308.27893452518515</v>
      </c>
      <c r="AJ153">
        <f t="shared" ca="1" si="53"/>
        <v>453.7903935185185</v>
      </c>
      <c r="AK153">
        <f t="shared" ca="1" si="53"/>
        <v>737.3737268518513</v>
      </c>
      <c r="AL153">
        <f t="shared" ca="1" si="53"/>
        <v>1224.8750000000007</v>
      </c>
      <c r="AM153">
        <f t="shared" ca="1" si="53"/>
        <v>1667.9208293333331</v>
      </c>
      <c r="AN153">
        <f t="shared" ca="1" si="53"/>
        <v>1589.4208333333336</v>
      </c>
      <c r="AO153">
        <f t="shared" ca="1" si="53"/>
        <v>1386</v>
      </c>
      <c r="AX153" s="28">
        <v>50000</v>
      </c>
      <c r="AY153" s="28" t="s">
        <v>4746</v>
      </c>
      <c r="AZ153" s="28" t="s">
        <v>4866</v>
      </c>
      <c r="BA153" s="28" t="s">
        <v>3432</v>
      </c>
      <c r="BB153" s="28">
        <v>120</v>
      </c>
      <c r="CD153" s="38">
        <v>149</v>
      </c>
      <c r="CE153" s="38">
        <f t="shared" si="42"/>
        <v>3.4837291043722116</v>
      </c>
      <c r="CF153" s="38">
        <f t="shared" si="49"/>
        <v>149.23860999999999</v>
      </c>
      <c r="CG153" s="38">
        <f t="shared" si="39"/>
        <v>150</v>
      </c>
      <c r="CP153" s="40">
        <v>501</v>
      </c>
      <c r="CQ153" s="41" t="s">
        <v>3623</v>
      </c>
      <c r="CR153" s="41" t="s">
        <v>5674</v>
      </c>
      <c r="CS153" s="41">
        <v>600</v>
      </c>
      <c r="CT153" s="41">
        <v>24</v>
      </c>
      <c r="CU153" s="41">
        <v>10</v>
      </c>
      <c r="CV153" s="41">
        <v>15</v>
      </c>
      <c r="CW153" s="40"/>
      <c r="CX153" s="41" t="s">
        <v>4716</v>
      </c>
      <c r="CY153" s="40" t="s">
        <v>3104</v>
      </c>
      <c r="DC153" s="7">
        <f t="shared" ca="1" si="45"/>
        <v>0</v>
      </c>
    </row>
    <row r="154" spans="4:112" ht="14.6">
      <c r="D154" s="6" t="str">
        <f t="shared" si="43"/>
        <v>研究笔记-&gt;天女VS猎犬</v>
      </c>
      <c r="E154" s="6" t="str">
        <f t="shared" si="44"/>
        <v>#'5.2研究笔记'!AP139:AZ183</v>
      </c>
      <c r="F154" s="6" t="s">
        <v>5675</v>
      </c>
      <c r="G154" s="6" t="s">
        <v>5676</v>
      </c>
      <c r="H154" s="6" t="s">
        <v>5677</v>
      </c>
      <c r="I154" s="7" t="s">
        <v>4782</v>
      </c>
      <c r="J154" s="7" t="str">
        <f t="shared" ref="J154:J164" si="54">MID(F154,4,1)</f>
        <v>天</v>
      </c>
      <c r="K154" s="7" t="str">
        <f t="shared" ref="K154:K164" si="55">MID(F154,5,1)</f>
        <v>女</v>
      </c>
      <c r="L154" s="7" t="str">
        <f t="shared" ref="L154:L164" si="56">MID(F154,6,1)</f>
        <v>V</v>
      </c>
      <c r="M154" s="7" t="s">
        <v>5029</v>
      </c>
      <c r="N154" s="7" t="s">
        <v>5030</v>
      </c>
      <c r="O154" s="7" t="s">
        <v>5031</v>
      </c>
      <c r="P154" s="7" t="s">
        <v>5032</v>
      </c>
      <c r="Q154" s="7" t="s">
        <v>4782</v>
      </c>
      <c r="R154" s="7" t="s">
        <v>4782</v>
      </c>
      <c r="S154" s="7">
        <f t="array" ref="S154">SUM(IFERROR(IF(MATCH(I154:R154,$F$4:$Q$4,0)&gt;0,1,0),0))</f>
        <v>0</v>
      </c>
      <c r="T154" s="7">
        <f t="shared" ca="1" si="41"/>
        <v>37</v>
      </c>
      <c r="U154" s="7">
        <f ca="1">T154+COUNTIF(T$5:$T153,T154)</f>
        <v>167</v>
      </c>
      <c r="Y154" t="s">
        <v>42</v>
      </c>
      <c r="Z154" s="7">
        <f t="shared" ca="1" si="47"/>
        <v>270.5</v>
      </c>
      <c r="AA154">
        <f t="shared" ca="1" si="50"/>
        <v>0</v>
      </c>
      <c r="AB154">
        <f t="shared" ref="AB154:AO154" ca="1" si="57">AB162-AA162</f>
        <v>0</v>
      </c>
      <c r="AC154">
        <f t="shared" ca="1" si="57"/>
        <v>0.4166666666666663</v>
      </c>
      <c r="AD154">
        <f t="shared" ca="1" si="57"/>
        <v>0.75</v>
      </c>
      <c r="AE154">
        <f t="shared" ca="1" si="57"/>
        <v>2.1666666666666661</v>
      </c>
      <c r="AF154">
        <f t="shared" ca="1" si="57"/>
        <v>2.458333333333333</v>
      </c>
      <c r="AG154">
        <f t="shared" ca="1" si="57"/>
        <v>10.583333333333332</v>
      </c>
      <c r="AH154">
        <f t="shared" ca="1" si="57"/>
        <v>24.583333333333339</v>
      </c>
      <c r="AI154">
        <f t="shared" ca="1" si="57"/>
        <v>60.249999999999979</v>
      </c>
      <c r="AJ154">
        <f t="shared" ca="1" si="57"/>
        <v>209.45833333333331</v>
      </c>
      <c r="AK154">
        <f t="shared" ca="1" si="57"/>
        <v>177.58333333333331</v>
      </c>
      <c r="AL154">
        <f t="shared" ca="1" si="57"/>
        <v>326.75000000000006</v>
      </c>
      <c r="AM154">
        <f t="shared" ca="1" si="57"/>
        <v>394.5</v>
      </c>
      <c r="AN154">
        <f t="shared" ca="1" si="57"/>
        <v>372.99999999999977</v>
      </c>
      <c r="AO154">
        <f t="shared" ca="1" si="57"/>
        <v>270.5</v>
      </c>
      <c r="AX154" s="28">
        <v>3000</v>
      </c>
      <c r="AY154" s="28" t="s">
        <v>4739</v>
      </c>
      <c r="AZ154" s="28" t="s">
        <v>4770</v>
      </c>
      <c r="BA154" s="28" t="s">
        <v>4673</v>
      </c>
      <c r="BB154" s="28">
        <v>20</v>
      </c>
      <c r="CD154" s="38">
        <v>150</v>
      </c>
      <c r="CE154" s="38">
        <f t="shared" si="42"/>
        <v>3.487073585977563</v>
      </c>
      <c r="CF154" s="38">
        <f t="shared" si="49"/>
        <v>150.23764</v>
      </c>
      <c r="CG154" s="38">
        <f t="shared" si="39"/>
        <v>151</v>
      </c>
      <c r="CP154" s="40">
        <v>502</v>
      </c>
      <c r="CQ154" s="41" t="s">
        <v>3629</v>
      </c>
      <c r="CR154" s="41" t="s">
        <v>5678</v>
      </c>
      <c r="CS154" s="41">
        <v>150</v>
      </c>
      <c r="CT154" s="41">
        <v>3</v>
      </c>
      <c r="CU154" s="41">
        <v>15</v>
      </c>
      <c r="CV154" s="41">
        <v>5</v>
      </c>
      <c r="CW154" s="40"/>
      <c r="CX154" s="41" t="s">
        <v>4716</v>
      </c>
      <c r="CY154" s="40" t="s">
        <v>3096</v>
      </c>
      <c r="DB154" t="s">
        <v>191</v>
      </c>
      <c r="DC154" s="7" t="str">
        <f t="shared" ca="1" si="45"/>
        <v>05_001</v>
      </c>
      <c r="DD154" t="s">
        <v>4834</v>
      </c>
      <c r="DE154" t="s">
        <v>4784</v>
      </c>
      <c r="DF154" t="s">
        <v>4785</v>
      </c>
      <c r="DG154" t="s">
        <v>4873</v>
      </c>
      <c r="DH154" t="s">
        <v>4941</v>
      </c>
    </row>
    <row r="155" spans="4:112" ht="14.6">
      <c r="D155" s="6" t="str">
        <f t="shared" si="43"/>
        <v>研究笔记-&gt;蝙蝠法术</v>
      </c>
      <c r="E155" s="6" t="str">
        <f t="shared" si="44"/>
        <v>#'5.2研究笔记'!AP184:AZ229</v>
      </c>
      <c r="F155" s="6" t="s">
        <v>937</v>
      </c>
      <c r="G155" s="6" t="s">
        <v>5679</v>
      </c>
      <c r="H155" s="6" t="s">
        <v>5677</v>
      </c>
      <c r="I155" s="7" t="s">
        <v>4782</v>
      </c>
      <c r="J155" s="7" t="str">
        <f t="shared" si="54"/>
        <v>蝙</v>
      </c>
      <c r="K155" s="7" t="str">
        <f t="shared" si="55"/>
        <v>蝠</v>
      </c>
      <c r="L155" s="7" t="str">
        <f t="shared" si="56"/>
        <v>法</v>
      </c>
      <c r="M155" s="7" t="s">
        <v>4782</v>
      </c>
      <c r="N155" s="7" t="s">
        <v>4782</v>
      </c>
      <c r="O155" s="7" t="s">
        <v>4782</v>
      </c>
      <c r="P155" s="7" t="s">
        <v>4782</v>
      </c>
      <c r="Q155" s="7" t="s">
        <v>4782</v>
      </c>
      <c r="R155" s="7" t="s">
        <v>4782</v>
      </c>
      <c r="S155" s="7">
        <f t="array" ref="S155">SUM(IFERROR(IF(MATCH(I155:R155,$F$4:$Q$4,0)&gt;0,1,0),0))</f>
        <v>0</v>
      </c>
      <c r="T155" s="7">
        <f t="shared" ca="1" si="41"/>
        <v>37</v>
      </c>
      <c r="U155" s="7">
        <f ca="1">T155+COUNTIF(T$5:$T154,T155)</f>
        <v>168</v>
      </c>
      <c r="Y155" t="s">
        <v>48</v>
      </c>
      <c r="Z155" s="7">
        <f t="shared" ca="1" si="47"/>
        <v>210</v>
      </c>
      <c r="AA155">
        <f t="shared" ca="1" si="50"/>
        <v>0</v>
      </c>
      <c r="AB155">
        <f t="shared" ref="AB155:AO155" ca="1" si="58">AB163-AA163</f>
        <v>0</v>
      </c>
      <c r="AC155">
        <f t="shared" ca="1" si="58"/>
        <v>0</v>
      </c>
      <c r="AD155">
        <f t="shared" ca="1" si="58"/>
        <v>0</v>
      </c>
      <c r="AE155">
        <f t="shared" ca="1" si="58"/>
        <v>0</v>
      </c>
      <c r="AF155">
        <f t="shared" ca="1" si="58"/>
        <v>0</v>
      </c>
      <c r="AG155">
        <f t="shared" ca="1" si="58"/>
        <v>0</v>
      </c>
      <c r="AH155">
        <f t="shared" ca="1" si="58"/>
        <v>0</v>
      </c>
      <c r="AI155">
        <f t="shared" ca="1" si="58"/>
        <v>0</v>
      </c>
      <c r="AJ155">
        <f t="shared" ca="1" si="58"/>
        <v>0</v>
      </c>
      <c r="AK155">
        <f t="shared" ca="1" si="58"/>
        <v>0</v>
      </c>
      <c r="AL155">
        <f t="shared" ca="1" si="58"/>
        <v>0</v>
      </c>
      <c r="AM155">
        <f t="shared" ca="1" si="58"/>
        <v>0</v>
      </c>
      <c r="AN155">
        <f t="shared" ca="1" si="58"/>
        <v>210</v>
      </c>
      <c r="AO155">
        <f t="shared" ca="1" si="58"/>
        <v>210</v>
      </c>
      <c r="AX155" s="28">
        <v>7500</v>
      </c>
      <c r="AY155" s="28" t="s">
        <v>4794</v>
      </c>
      <c r="AZ155" s="28" t="s">
        <v>4674</v>
      </c>
      <c r="BA155" s="28" t="s">
        <v>4795</v>
      </c>
      <c r="BB155" s="28">
        <v>40</v>
      </c>
      <c r="CD155" s="38">
        <v>151</v>
      </c>
      <c r="CE155" s="38">
        <f t="shared" si="42"/>
        <v>3.4903958451137758</v>
      </c>
      <c r="CF155" s="38">
        <f t="shared" si="49"/>
        <v>151.23667</v>
      </c>
      <c r="CG155" s="38">
        <f t="shared" si="39"/>
        <v>152</v>
      </c>
      <c r="CP155" s="40">
        <v>503</v>
      </c>
      <c r="CQ155" s="41" t="s">
        <v>3629</v>
      </c>
      <c r="CR155" s="41" t="s">
        <v>5680</v>
      </c>
      <c r="CS155" s="41">
        <v>300</v>
      </c>
      <c r="CT155" s="41">
        <v>8</v>
      </c>
      <c r="CU155" s="41">
        <v>10</v>
      </c>
      <c r="CV155" s="41">
        <v>10</v>
      </c>
      <c r="CW155" s="40"/>
      <c r="CX155" s="41" t="s">
        <v>4716</v>
      </c>
      <c r="CY155" s="40" t="s">
        <v>4717</v>
      </c>
      <c r="DB155" t="s">
        <v>197</v>
      </c>
      <c r="DC155" s="7" t="str">
        <f t="shared" ca="1" si="45"/>
        <v>05_001</v>
      </c>
      <c r="DD155" t="s">
        <v>5280</v>
      </c>
      <c r="DE155" t="s">
        <v>4784</v>
      </c>
      <c r="DF155" t="s">
        <v>4785</v>
      </c>
      <c r="DG155" t="s">
        <v>4873</v>
      </c>
      <c r="DH155" t="s">
        <v>4941</v>
      </c>
    </row>
    <row r="156" spans="4:112" ht="14.6">
      <c r="D156" s="6" t="str">
        <f t="shared" si="43"/>
        <v>研究笔记-&gt;无敌飞盾</v>
      </c>
      <c r="E156" s="6" t="str">
        <f t="shared" si="44"/>
        <v>#'5.2研究笔记'!AP230:AZ248</v>
      </c>
      <c r="F156" s="6" t="s">
        <v>5681</v>
      </c>
      <c r="G156" s="6" t="s">
        <v>5682</v>
      </c>
      <c r="H156" s="6" t="s">
        <v>5677</v>
      </c>
      <c r="I156" s="7" t="s">
        <v>4782</v>
      </c>
      <c r="J156" s="7" t="str">
        <f t="shared" si="54"/>
        <v>无</v>
      </c>
      <c r="K156" s="7" t="str">
        <f t="shared" si="55"/>
        <v>敌</v>
      </c>
      <c r="L156" s="7" t="str">
        <f t="shared" si="56"/>
        <v>飞</v>
      </c>
      <c r="M156" s="7" t="s">
        <v>4970</v>
      </c>
      <c r="N156" s="7" t="s">
        <v>4949</v>
      </c>
      <c r="O156" s="7" t="s">
        <v>4782</v>
      </c>
      <c r="P156" s="7" t="s">
        <v>4782</v>
      </c>
      <c r="Q156" s="7" t="s">
        <v>4782</v>
      </c>
      <c r="R156" s="7" t="s">
        <v>4782</v>
      </c>
      <c r="S156" s="7">
        <f t="array" ref="S156">SUM(IFERROR(IF(MATCH(I156:R156,$F$4:$Q$4,0)&gt;0,1,0),0))</f>
        <v>1</v>
      </c>
      <c r="T156" s="7">
        <f t="shared" ca="1" si="41"/>
        <v>20</v>
      </c>
      <c r="U156" s="7">
        <f ca="1">T156+COUNTIF(T$5:$T155,T156)</f>
        <v>29</v>
      </c>
      <c r="Y156" t="s">
        <v>53</v>
      </c>
      <c r="Z156" s="7">
        <f t="shared" ref="Z156:Z157" ca="1" si="59">OFFSET(AA156,0,$Z$5-1)</f>
        <v>0</v>
      </c>
      <c r="AA156">
        <f t="shared" si="50"/>
        <v>0</v>
      </c>
      <c r="AB156">
        <f t="shared" ref="AB156:AO156" ca="1" si="60">AB164-AA164</f>
        <v>26250</v>
      </c>
      <c r="AC156">
        <f t="shared" ca="1" si="60"/>
        <v>276250</v>
      </c>
      <c r="AD156">
        <f t="shared" ca="1" si="60"/>
        <v>901250</v>
      </c>
      <c r="AE156">
        <f t="shared" ca="1" si="60"/>
        <v>401250</v>
      </c>
      <c r="AF156">
        <f t="shared" si="60"/>
        <v>401250</v>
      </c>
      <c r="AG156">
        <f t="shared" si="60"/>
        <v>802500</v>
      </c>
      <c r="AH156">
        <f t="shared" si="60"/>
        <v>802500</v>
      </c>
      <c r="AI156">
        <f t="shared" si="60"/>
        <v>401250</v>
      </c>
      <c r="AJ156">
        <f t="shared" si="60"/>
        <v>401250</v>
      </c>
      <c r="AK156">
        <f t="shared" si="60"/>
        <v>401250</v>
      </c>
      <c r="AL156">
        <f t="shared" si="60"/>
        <v>0</v>
      </c>
      <c r="AM156">
        <f t="shared" si="60"/>
        <v>0</v>
      </c>
      <c r="AN156">
        <f t="shared" si="60"/>
        <v>401250</v>
      </c>
      <c r="AO156">
        <f t="shared" si="60"/>
        <v>0</v>
      </c>
      <c r="AX156" s="28">
        <v>12000</v>
      </c>
      <c r="AY156" s="28" t="s">
        <v>4689</v>
      </c>
      <c r="AZ156" s="28" t="s">
        <v>4771</v>
      </c>
      <c r="BA156" s="28" t="s">
        <v>5538</v>
      </c>
      <c r="BB156" s="28">
        <v>60</v>
      </c>
      <c r="CD156" s="38">
        <v>152</v>
      </c>
      <c r="CE156" s="38">
        <f t="shared" si="42"/>
        <v>3.4936961751467792</v>
      </c>
      <c r="CF156" s="38">
        <f t="shared" si="49"/>
        <v>152.23571999999999</v>
      </c>
      <c r="CG156" s="38">
        <f t="shared" si="39"/>
        <v>153</v>
      </c>
      <c r="CP156" s="40">
        <v>504</v>
      </c>
      <c r="CQ156" s="41" t="s">
        <v>3629</v>
      </c>
      <c r="CR156" s="41" t="s">
        <v>5683</v>
      </c>
      <c r="CS156" s="41">
        <v>600</v>
      </c>
      <c r="CT156" s="41">
        <v>24</v>
      </c>
      <c r="CU156" s="41">
        <v>5</v>
      </c>
      <c r="CV156" s="41">
        <v>15</v>
      </c>
      <c r="CW156" s="40"/>
      <c r="CX156" s="41" t="s">
        <v>4716</v>
      </c>
      <c r="CY156" s="40" t="s">
        <v>3104</v>
      </c>
      <c r="DB156" t="s">
        <v>202</v>
      </c>
      <c r="DC156" s="7" t="str">
        <f t="shared" ca="1" si="45"/>
        <v>05_001</v>
      </c>
      <c r="DD156" t="s">
        <v>5213</v>
      </c>
      <c r="DE156" t="s">
        <v>5213</v>
      </c>
      <c r="DF156" t="s">
        <v>4785</v>
      </c>
      <c r="DG156" t="s">
        <v>4873</v>
      </c>
      <c r="DH156" t="s">
        <v>4941</v>
      </c>
    </row>
    <row r="157" spans="4:112" ht="14.6">
      <c r="D157" s="6" t="str">
        <f t="shared" si="43"/>
        <v>研究笔记-&gt;天女VS女巫</v>
      </c>
      <c r="E157" s="6" t="str">
        <f t="shared" si="44"/>
        <v>#'5.2研究笔记'!AP36:AZ85</v>
      </c>
      <c r="F157" s="6" t="s">
        <v>5684</v>
      </c>
      <c r="G157" s="6" t="s">
        <v>5685</v>
      </c>
      <c r="H157" s="6" t="s">
        <v>5677</v>
      </c>
      <c r="I157" s="7" t="s">
        <v>4782</v>
      </c>
      <c r="J157" s="7" t="str">
        <f t="shared" si="54"/>
        <v>天</v>
      </c>
      <c r="K157" s="7" t="str">
        <f t="shared" si="55"/>
        <v>女</v>
      </c>
      <c r="L157" s="7" t="str">
        <f t="shared" si="56"/>
        <v>V</v>
      </c>
      <c r="M157" s="7" t="s">
        <v>5008</v>
      </c>
      <c r="N157" s="7" t="s">
        <v>4782</v>
      </c>
      <c r="O157" s="7" t="s">
        <v>4782</v>
      </c>
      <c r="P157" s="7" t="s">
        <v>4782</v>
      </c>
      <c r="Q157" s="7" t="s">
        <v>4782</v>
      </c>
      <c r="R157" s="7" t="s">
        <v>4782</v>
      </c>
      <c r="S157" s="7">
        <f t="array" ref="S157">SUM(IFERROR(IF(MATCH(I157:R157,$F$4:$Q$4,0)&gt;0,1,0),0))</f>
        <v>0</v>
      </c>
      <c r="T157" s="7">
        <f t="shared" ca="1" si="41"/>
        <v>37</v>
      </c>
      <c r="U157" s="7">
        <f ca="1">T157+COUNTIF(T$5:$T156,T157)</f>
        <v>169</v>
      </c>
      <c r="Y157" t="s">
        <v>5686</v>
      </c>
      <c r="Z157" s="7">
        <f t="shared" ca="1" si="59"/>
        <v>1600000000</v>
      </c>
      <c r="AA157">
        <f t="shared" ca="1" si="50"/>
        <v>0</v>
      </c>
      <c r="AB157">
        <f t="shared" ref="AB157:AO157" ca="1" si="61">AB165-AA165</f>
        <v>26250</v>
      </c>
      <c r="AC157">
        <f t="shared" ca="1" si="61"/>
        <v>276250</v>
      </c>
      <c r="AD157">
        <f t="shared" ca="1" si="61"/>
        <v>901250</v>
      </c>
      <c r="AE157">
        <f t="shared" ca="1" si="61"/>
        <v>2401250</v>
      </c>
      <c r="AF157">
        <f t="shared" ca="1" si="61"/>
        <v>4651250</v>
      </c>
      <c r="AG157">
        <f t="shared" ca="1" si="61"/>
        <v>12052500</v>
      </c>
      <c r="AH157">
        <f t="shared" ca="1" si="61"/>
        <v>22677500</v>
      </c>
      <c r="AI157">
        <f t="shared" ca="1" si="61"/>
        <v>79776250</v>
      </c>
      <c r="AJ157">
        <f t="shared" ca="1" si="61"/>
        <v>149776250</v>
      </c>
      <c r="AK157">
        <f t="shared" ca="1" si="61"/>
        <v>324776250</v>
      </c>
      <c r="AL157">
        <f t="shared" ca="1" si="61"/>
        <v>600000000</v>
      </c>
      <c r="AM157">
        <f t="shared" ca="1" si="61"/>
        <v>1200000000</v>
      </c>
      <c r="AN157">
        <f t="shared" ca="1" si="61"/>
        <v>2474776250</v>
      </c>
      <c r="AO157">
        <f t="shared" ca="1" si="61"/>
        <v>1600000000</v>
      </c>
      <c r="AX157" s="28">
        <v>18000</v>
      </c>
      <c r="AY157" s="28" t="s">
        <v>5164</v>
      </c>
      <c r="AZ157" s="28" t="s">
        <v>5455</v>
      </c>
      <c r="BA157" s="28" t="s">
        <v>5687</v>
      </c>
      <c r="BB157" s="28">
        <v>80</v>
      </c>
      <c r="CD157" s="38">
        <v>153</v>
      </c>
      <c r="CE157" s="38">
        <f t="shared" si="42"/>
        <v>3.4969748636713693</v>
      </c>
      <c r="CF157" s="38">
        <f t="shared" si="49"/>
        <v>153.23477</v>
      </c>
      <c r="CG157" s="38">
        <f t="shared" si="39"/>
        <v>154</v>
      </c>
      <c r="CP157" s="40">
        <v>505</v>
      </c>
      <c r="CQ157" s="41" t="s">
        <v>3637</v>
      </c>
      <c r="CR157" s="41" t="s">
        <v>5688</v>
      </c>
      <c r="CS157" s="41">
        <v>150</v>
      </c>
      <c r="CT157" s="41">
        <v>3</v>
      </c>
      <c r="CU157" s="41">
        <v>75</v>
      </c>
      <c r="CV157" s="41">
        <v>5</v>
      </c>
      <c r="CW157" s="40"/>
      <c r="CX157" s="41" t="s">
        <v>4716</v>
      </c>
      <c r="CY157" s="40" t="s">
        <v>3096</v>
      </c>
      <c r="DC157" s="7">
        <f t="shared" ca="1" si="45"/>
        <v>0</v>
      </c>
    </row>
    <row r="158" spans="4:112" ht="14.6">
      <c r="D158" s="6" t="str">
        <f t="shared" si="43"/>
        <v>研究笔记-&gt;法师塔VS炸弹人</v>
      </c>
      <c r="E158" s="6" t="str">
        <f t="shared" si="44"/>
        <v>#'5.2研究笔记'!AP5:BC34</v>
      </c>
      <c r="F158" s="6" t="s">
        <v>5689</v>
      </c>
      <c r="G158" s="6" t="s">
        <v>5690</v>
      </c>
      <c r="H158" s="6" t="s">
        <v>5677</v>
      </c>
      <c r="I158" s="7" t="s">
        <v>4782</v>
      </c>
      <c r="J158" s="7" t="str">
        <f t="shared" si="54"/>
        <v>法</v>
      </c>
      <c r="K158" s="7" t="str">
        <f t="shared" si="55"/>
        <v>师</v>
      </c>
      <c r="L158" s="7" t="str">
        <f t="shared" si="56"/>
        <v>塔</v>
      </c>
      <c r="M158" s="7" t="s">
        <v>5691</v>
      </c>
      <c r="N158" s="7" t="s">
        <v>4782</v>
      </c>
      <c r="O158" s="7" t="s">
        <v>4782</v>
      </c>
      <c r="P158" s="7" t="s">
        <v>4782</v>
      </c>
      <c r="Q158" s="7" t="s">
        <v>4782</v>
      </c>
      <c r="R158" s="7" t="s">
        <v>4782</v>
      </c>
      <c r="S158" s="7">
        <f t="array" ref="S158">SUM(IFERROR(IF(MATCH(I158:R158,$F$4:$Q$4,0)&gt;0,1,0),0))</f>
        <v>0</v>
      </c>
      <c r="T158" s="7">
        <f t="shared" ca="1" si="41"/>
        <v>37</v>
      </c>
      <c r="U158" s="7">
        <f ca="1">T158+COUNTIF(T$5:$T157,T158)</f>
        <v>170</v>
      </c>
      <c r="X158" t="s">
        <v>5692</v>
      </c>
      <c r="Y158" t="s">
        <v>5661</v>
      </c>
      <c r="Z158" s="7">
        <f t="shared" ref="Z158:Z165" ca="1" si="62">OFFSET(AA158,0,$Z$5-1)</f>
        <v>2454259950</v>
      </c>
      <c r="AA158">
        <f ca="1">SUM(AA246:AA253,AA256:AA260,AA263:AA278,AA291:AA298,AA322:AA328,AA310)</f>
        <v>4050</v>
      </c>
      <c r="AB158">
        <f t="shared" ref="AB158:AO158" ca="1" si="63">SUM(AB246:AB253,AB256:AB260,AB263:AB278,AB291:AB298,AB322:AB328,AB310)</f>
        <v>17950</v>
      </c>
      <c r="AC158">
        <f t="shared" ca="1" si="63"/>
        <v>247250</v>
      </c>
      <c r="AD158">
        <f t="shared" ca="1" si="63"/>
        <v>1287800</v>
      </c>
      <c r="AE158">
        <f t="shared" ca="1" si="63"/>
        <v>4314550</v>
      </c>
      <c r="AF158">
        <f t="shared" ca="1" si="63"/>
        <v>10595100</v>
      </c>
      <c r="AG158">
        <f t="shared" ca="1" si="63"/>
        <v>27027300</v>
      </c>
      <c r="AH158">
        <f t="shared" ca="1" si="63"/>
        <v>57675850</v>
      </c>
      <c r="AI158">
        <f t="shared" ca="1" si="63"/>
        <v>129059950</v>
      </c>
      <c r="AJ158">
        <f t="shared" ca="1" si="63"/>
        <v>229459950</v>
      </c>
      <c r="AK158">
        <f t="shared" ca="1" si="63"/>
        <v>447459950</v>
      </c>
      <c r="AL158">
        <f t="shared" ca="1" si="63"/>
        <v>897559950</v>
      </c>
      <c r="AM158">
        <f t="shared" ca="1" si="63"/>
        <v>1401759950</v>
      </c>
      <c r="AN158">
        <f t="shared" ca="1" si="63"/>
        <v>1901959950</v>
      </c>
      <c r="AO158">
        <f t="shared" ca="1" si="63"/>
        <v>2454259950</v>
      </c>
      <c r="AX158" s="28">
        <v>30000</v>
      </c>
      <c r="AY158" s="28" t="s">
        <v>5117</v>
      </c>
      <c r="AZ158" s="28" t="s">
        <v>5693</v>
      </c>
      <c r="BA158" s="28" t="s">
        <v>4855</v>
      </c>
      <c r="BB158" s="28">
        <v>100</v>
      </c>
      <c r="CD158" s="38">
        <v>154</v>
      </c>
      <c r="CE158" s="38">
        <f t="shared" si="42"/>
        <v>3.5002321926615974</v>
      </c>
      <c r="CF158" s="38">
        <f t="shared" si="49"/>
        <v>154.23382000000001</v>
      </c>
      <c r="CG158" s="38">
        <f t="shared" si="39"/>
        <v>155</v>
      </c>
      <c r="CP158" s="40">
        <v>506</v>
      </c>
      <c r="CQ158" s="41" t="s">
        <v>3637</v>
      </c>
      <c r="CR158" s="41" t="s">
        <v>5694</v>
      </c>
      <c r="CS158" s="41">
        <v>300</v>
      </c>
      <c r="CT158" s="41">
        <v>8</v>
      </c>
      <c r="CU158" s="41">
        <v>50</v>
      </c>
      <c r="CV158" s="41">
        <v>10</v>
      </c>
      <c r="CW158" s="40"/>
      <c r="CX158" s="41" t="s">
        <v>4716</v>
      </c>
      <c r="CY158" s="40" t="s">
        <v>4717</v>
      </c>
      <c r="DC158" s="7">
        <f t="shared" ca="1" si="45"/>
        <v>0</v>
      </c>
    </row>
    <row r="159" spans="4:112" ht="14.6">
      <c r="D159" s="6" t="str">
        <f t="shared" si="43"/>
        <v>研究笔记-&gt;天女VS冰人</v>
      </c>
      <c r="E159" s="6" t="str">
        <f t="shared" si="44"/>
        <v>#'5.2研究笔记'!AP86:AZ137</v>
      </c>
      <c r="F159" s="6" t="s">
        <v>5695</v>
      </c>
      <c r="G159" s="6" t="s">
        <v>5696</v>
      </c>
      <c r="H159" s="6" t="s">
        <v>5677</v>
      </c>
      <c r="I159" s="7" t="s">
        <v>4782</v>
      </c>
      <c r="J159" s="7" t="str">
        <f t="shared" si="54"/>
        <v>天</v>
      </c>
      <c r="K159" s="7" t="str">
        <f t="shared" si="55"/>
        <v>女</v>
      </c>
      <c r="L159" s="7" t="str">
        <f t="shared" si="56"/>
        <v>V</v>
      </c>
      <c r="M159" s="7" t="s">
        <v>5056</v>
      </c>
      <c r="N159" s="7" t="s">
        <v>4831</v>
      </c>
      <c r="O159" s="7" t="s">
        <v>4979</v>
      </c>
      <c r="P159" s="7" t="s">
        <v>4980</v>
      </c>
      <c r="Q159" s="7" t="s">
        <v>4782</v>
      </c>
      <c r="R159" s="7" t="s">
        <v>4782</v>
      </c>
      <c r="S159" s="7">
        <f t="array" ref="S159">SUM(IFERROR(IF(MATCH(I159:R159,$F$4:$Q$4,0)&gt;0,1,0),0))</f>
        <v>0</v>
      </c>
      <c r="T159" s="7">
        <f t="shared" ca="1" si="41"/>
        <v>37</v>
      </c>
      <c r="U159" s="7">
        <f ca="1">T159+COUNTIF(T$5:$T158,T159)</f>
        <v>171</v>
      </c>
      <c r="Y159" t="s">
        <v>5665</v>
      </c>
      <c r="Z159" s="7">
        <f t="shared" ca="1" si="62"/>
        <v>4458169500</v>
      </c>
      <c r="AA159">
        <f ca="1">SUM(AA216:AA230,AA232:AA235,AA237:AA243,AA245,AA254:AA255,)-AA218</f>
        <v>3250</v>
      </c>
      <c r="AB159">
        <f t="shared" ref="AB159:AO159" ca="1" si="64">SUM(AB216:AB230,AB232:AB235,AB237:AB243,AB245,AB254:AB255,)-AB218</f>
        <v>22150</v>
      </c>
      <c r="AC159">
        <f t="shared" ca="1" si="64"/>
        <v>148050</v>
      </c>
      <c r="AD159">
        <f t="shared" ca="1" si="64"/>
        <v>792600</v>
      </c>
      <c r="AE159">
        <f t="shared" ca="1" si="64"/>
        <v>7784200</v>
      </c>
      <c r="AF159">
        <f t="shared" ca="1" si="64"/>
        <v>15183250</v>
      </c>
      <c r="AG159">
        <f t="shared" ca="1" si="64"/>
        <v>39951050</v>
      </c>
      <c r="AH159">
        <f t="shared" ca="1" si="64"/>
        <v>107036100</v>
      </c>
      <c r="AI159">
        <f t="shared" ca="1" si="64"/>
        <v>213017700</v>
      </c>
      <c r="AJ159">
        <f t="shared" ca="1" si="64"/>
        <v>415795450</v>
      </c>
      <c r="AK159">
        <f t="shared" ca="1" si="64"/>
        <v>759314700</v>
      </c>
      <c r="AL159">
        <f t="shared" ca="1" si="64"/>
        <v>1293971200</v>
      </c>
      <c r="AM159">
        <f t="shared" ca="1" si="64"/>
        <v>2314349600</v>
      </c>
      <c r="AN159">
        <f t="shared" ca="1" si="64"/>
        <v>3501669500</v>
      </c>
      <c r="AO159">
        <f t="shared" ca="1" si="64"/>
        <v>4458169500</v>
      </c>
      <c r="AX159" s="28">
        <v>50000</v>
      </c>
      <c r="AY159" s="28" t="s">
        <v>4750</v>
      </c>
      <c r="AZ159" s="28" t="s">
        <v>4751</v>
      </c>
      <c r="BA159" s="28" t="s">
        <v>3432</v>
      </c>
      <c r="BB159" s="28">
        <v>120</v>
      </c>
      <c r="CD159" s="38">
        <v>155</v>
      </c>
      <c r="CE159" s="38">
        <f t="shared" si="42"/>
        <v>3.5034684386162898</v>
      </c>
      <c r="CF159" s="38">
        <f t="shared" si="49"/>
        <v>155.23287999999999</v>
      </c>
      <c r="CG159" s="38">
        <f t="shared" si="39"/>
        <v>156</v>
      </c>
      <c r="CP159" s="40">
        <v>507</v>
      </c>
      <c r="CQ159" s="41" t="s">
        <v>3637</v>
      </c>
      <c r="CR159" s="41" t="s">
        <v>5697</v>
      </c>
      <c r="CS159" s="41">
        <v>600</v>
      </c>
      <c r="CT159" s="41">
        <v>24</v>
      </c>
      <c r="CU159" s="41">
        <v>25</v>
      </c>
      <c r="CV159" s="41">
        <v>15</v>
      </c>
      <c r="CW159" s="40"/>
      <c r="CX159" s="41" t="s">
        <v>4716</v>
      </c>
      <c r="CY159" s="40" t="s">
        <v>3104</v>
      </c>
      <c r="DC159" s="7">
        <f t="shared" ca="1" si="45"/>
        <v>0</v>
      </c>
    </row>
    <row r="160" spans="4:112" ht="14.6">
      <c r="D160" s="6" t="str">
        <f t="shared" si="43"/>
        <v>研究笔记-&gt;援兵顺序</v>
      </c>
      <c r="E160" s="6" t="str">
        <f t="shared" si="44"/>
        <v>#'5.2研究笔记'!F114:R131</v>
      </c>
      <c r="F160" s="6" t="s">
        <v>5698</v>
      </c>
      <c r="G160" s="6" t="s">
        <v>5699</v>
      </c>
      <c r="H160" s="6" t="s">
        <v>5677</v>
      </c>
      <c r="I160" s="7" t="s">
        <v>4782</v>
      </c>
      <c r="J160" s="7" t="str">
        <f t="shared" si="54"/>
        <v>援</v>
      </c>
      <c r="K160" s="7" t="str">
        <f t="shared" si="55"/>
        <v>兵</v>
      </c>
      <c r="L160" s="7" t="str">
        <f t="shared" si="56"/>
        <v>顺</v>
      </c>
      <c r="M160" s="7" t="s">
        <v>4782</v>
      </c>
      <c r="N160" s="7" t="s">
        <v>4782</v>
      </c>
      <c r="O160" s="7" t="s">
        <v>4782</v>
      </c>
      <c r="P160" s="7" t="s">
        <v>4782</v>
      </c>
      <c r="Q160" s="7" t="s">
        <v>4782</v>
      </c>
      <c r="R160" s="7" t="s">
        <v>4782</v>
      </c>
      <c r="S160" s="7">
        <f t="array" ref="S160">SUM(IFERROR(IF(MATCH(I160:R160,$F$4:$Q$4,0)&gt;0,1,0),0))</f>
        <v>0</v>
      </c>
      <c r="T160" s="7">
        <f t="shared" ca="1" si="41"/>
        <v>37</v>
      </c>
      <c r="U160" s="7">
        <f ca="1">T160+COUNTIF(T$5:$T159,T160)</f>
        <v>172</v>
      </c>
      <c r="Y160" t="s">
        <v>5669</v>
      </c>
      <c r="Z160" s="7">
        <f t="shared" ca="1" si="62"/>
        <v>58010000</v>
      </c>
      <c r="AA160">
        <f ca="1">SUM(AA280:AA288,AA301:AA305,AA313:AA320,AA311,AA308:AA309,AA231)</f>
        <v>0</v>
      </c>
      <c r="AB160">
        <f t="shared" ref="AB160:AO160" ca="1" si="65">SUM(AB280:AB288,AB301:AB305,AB313:AB320,AB311,AB308:AB309,AB231)</f>
        <v>0</v>
      </c>
      <c r="AC160">
        <f t="shared" ca="1" si="65"/>
        <v>0</v>
      </c>
      <c r="AD160">
        <f t="shared" ca="1" si="65"/>
        <v>0</v>
      </c>
      <c r="AE160">
        <f t="shared" ca="1" si="65"/>
        <v>0</v>
      </c>
      <c r="AF160">
        <f t="shared" ca="1" si="65"/>
        <v>0</v>
      </c>
      <c r="AG160">
        <f t="shared" ca="1" si="65"/>
        <v>44000</v>
      </c>
      <c r="AH160">
        <f t="shared" ca="1" si="65"/>
        <v>201000</v>
      </c>
      <c r="AI160">
        <f t="shared" ca="1" si="65"/>
        <v>2194000</v>
      </c>
      <c r="AJ160">
        <f t="shared" ca="1" si="65"/>
        <v>4244000</v>
      </c>
      <c r="AK160">
        <f t="shared" ca="1" si="65"/>
        <v>7987000</v>
      </c>
      <c r="AL160">
        <f t="shared" ca="1" si="65"/>
        <v>15295000</v>
      </c>
      <c r="AM160">
        <f t="shared" ca="1" si="65"/>
        <v>27267000</v>
      </c>
      <c r="AN160">
        <f t="shared" ca="1" si="65"/>
        <v>41490000</v>
      </c>
      <c r="AO160">
        <f t="shared" ca="1" si="65"/>
        <v>58010000</v>
      </c>
      <c r="AX160" s="28">
        <v>3000</v>
      </c>
      <c r="AY160" s="28" t="s">
        <v>4878</v>
      </c>
      <c r="AZ160" s="28" t="s">
        <v>4713</v>
      </c>
      <c r="BA160" s="28" t="s">
        <v>4794</v>
      </c>
      <c r="BB160" s="28">
        <v>20</v>
      </c>
      <c r="CD160" s="38">
        <v>156</v>
      </c>
      <c r="CE160" s="38">
        <f t="shared" si="42"/>
        <v>3.5066838726998912</v>
      </c>
      <c r="CF160" s="38">
        <f t="shared" si="49"/>
        <v>156.23195000000001</v>
      </c>
      <c r="CG160" s="38">
        <f t="shared" si="39"/>
        <v>157</v>
      </c>
      <c r="CP160" s="40">
        <v>508</v>
      </c>
      <c r="CQ160" s="41" t="s">
        <v>3642</v>
      </c>
      <c r="CR160" s="41" t="s">
        <v>5700</v>
      </c>
      <c r="CS160" s="41">
        <v>100</v>
      </c>
      <c r="CT160" s="41">
        <v>3</v>
      </c>
      <c r="CU160" s="41">
        <v>75</v>
      </c>
      <c r="CV160" s="41">
        <v>5</v>
      </c>
      <c r="CW160" s="40"/>
      <c r="CX160" s="41" t="s">
        <v>4716</v>
      </c>
      <c r="CY160" s="40" t="s">
        <v>3096</v>
      </c>
      <c r="DC160" s="7">
        <f t="shared" ca="1" si="45"/>
        <v>0</v>
      </c>
    </row>
    <row r="161" spans="4:112" ht="14.6">
      <c r="D161" s="6" t="str">
        <f t="shared" si="43"/>
        <v>研究笔记-&gt;隐身本质</v>
      </c>
      <c r="E161" s="6" t="str">
        <f t="shared" si="44"/>
        <v>#'5.2研究笔记'!F134:R186</v>
      </c>
      <c r="F161" s="6" t="s">
        <v>5701</v>
      </c>
      <c r="G161" s="6" t="s">
        <v>5702</v>
      </c>
      <c r="H161" s="6" t="s">
        <v>5677</v>
      </c>
      <c r="I161" s="7" t="s">
        <v>4782</v>
      </c>
      <c r="J161" s="7" t="str">
        <f t="shared" si="54"/>
        <v>隐</v>
      </c>
      <c r="K161" s="7" t="str">
        <f t="shared" si="55"/>
        <v>身</v>
      </c>
      <c r="L161" s="7" t="str">
        <f t="shared" si="56"/>
        <v>本</v>
      </c>
      <c r="M161" s="7" t="s">
        <v>4782</v>
      </c>
      <c r="N161" s="7" t="s">
        <v>4782</v>
      </c>
      <c r="O161" s="7" t="s">
        <v>4782</v>
      </c>
      <c r="P161" s="7" t="s">
        <v>4782</v>
      </c>
      <c r="Q161" s="7" t="s">
        <v>4782</v>
      </c>
      <c r="R161" s="7" t="s">
        <v>4782</v>
      </c>
      <c r="S161" s="7">
        <f t="array" ref="S161">SUM(IFERROR(IF(MATCH(I161:R161,$F$4:$Q$4,0)&gt;0,1,0),0))</f>
        <v>0</v>
      </c>
      <c r="T161" s="7">
        <f t="shared" ca="1" si="41"/>
        <v>37</v>
      </c>
      <c r="U161" s="7">
        <f ca="1">T161+COUNTIF(T$5:$T160,T161)</f>
        <v>173</v>
      </c>
      <c r="Y161" t="s">
        <v>5673</v>
      </c>
      <c r="Z161" s="7">
        <f t="shared" ca="1" si="62"/>
        <v>7598.432055511852</v>
      </c>
      <c r="AA161">
        <f ca="1">SUM(AA331:AA375,AA423:AA426)</f>
        <v>1.608796296296296E-2</v>
      </c>
      <c r="AB161">
        <f t="shared" ref="AB161:AO161" ca="1" si="66">SUM(AB331:AB375,AB423:AB426)</f>
        <v>0.16851851185185193</v>
      </c>
      <c r="AC161">
        <f t="shared" ca="1" si="66"/>
        <v>2.9245370270370374</v>
      </c>
      <c r="AD161">
        <f t="shared" ca="1" si="66"/>
        <v>12.168518508518515</v>
      </c>
      <c r="AE161">
        <f t="shared" ca="1" si="66"/>
        <v>37.266087952962955</v>
      </c>
      <c r="AF161">
        <f t="shared" ca="1" si="66"/>
        <v>58.134374990000005</v>
      </c>
      <c r="AG161">
        <f t="shared" ca="1" si="66"/>
        <v>114.7366898014815</v>
      </c>
      <c r="AH161">
        <f t="shared" ca="1" si="66"/>
        <v>230.77233794962964</v>
      </c>
      <c r="AI161">
        <f t="shared" ca="1" si="66"/>
        <v>539.05127247481482</v>
      </c>
      <c r="AJ161">
        <f t="shared" ca="1" si="66"/>
        <v>992.84166599333332</v>
      </c>
      <c r="AK161">
        <f t="shared" ca="1" si="66"/>
        <v>1730.2153928451846</v>
      </c>
      <c r="AL161">
        <f t="shared" ca="1" si="66"/>
        <v>2955.0903928451853</v>
      </c>
      <c r="AM161">
        <f t="shared" ca="1" si="66"/>
        <v>4623.0112221785184</v>
      </c>
      <c r="AN161">
        <f t="shared" ca="1" si="66"/>
        <v>6212.432055511852</v>
      </c>
      <c r="AO161">
        <f t="shared" ca="1" si="66"/>
        <v>7598.432055511852</v>
      </c>
      <c r="AX161" s="28">
        <v>7500</v>
      </c>
      <c r="AY161" s="28" t="s">
        <v>5467</v>
      </c>
      <c r="AZ161" s="28" t="s">
        <v>4674</v>
      </c>
      <c r="BA161" s="28" t="s">
        <v>4770</v>
      </c>
      <c r="BB161" s="28">
        <v>40</v>
      </c>
      <c r="CD161" s="38">
        <v>157</v>
      </c>
      <c r="CE161" s="38">
        <f t="shared" si="42"/>
        <v>3.5098787608788049</v>
      </c>
      <c r="CF161" s="38">
        <f t="shared" si="49"/>
        <v>157.23102</v>
      </c>
      <c r="CG161" s="38">
        <f t="shared" si="39"/>
        <v>158</v>
      </c>
      <c r="CP161" s="40">
        <v>509</v>
      </c>
      <c r="CQ161" s="41" t="s">
        <v>3642</v>
      </c>
      <c r="CR161" s="41" t="s">
        <v>5703</v>
      </c>
      <c r="CS161" s="41">
        <v>200</v>
      </c>
      <c r="CT161" s="41">
        <v>8</v>
      </c>
      <c r="CU161" s="41">
        <v>50</v>
      </c>
      <c r="CV161" s="41">
        <v>10</v>
      </c>
      <c r="CW161" s="40"/>
      <c r="CX161" s="41" t="s">
        <v>4716</v>
      </c>
      <c r="CY161" s="40" t="s">
        <v>4717</v>
      </c>
      <c r="DB161" t="s">
        <v>213</v>
      </c>
      <c r="DC161" s="7" t="str">
        <f t="shared" ca="1" si="45"/>
        <v>05_007</v>
      </c>
      <c r="DD161" t="s">
        <v>4960</v>
      </c>
      <c r="DE161" t="s">
        <v>5088</v>
      </c>
      <c r="DF161" t="s">
        <v>5095</v>
      </c>
      <c r="DG161" t="s">
        <v>5059</v>
      </c>
      <c r="DH161" t="s">
        <v>5197</v>
      </c>
    </row>
    <row r="162" spans="4:112" ht="14.6">
      <c r="D162" s="6" t="str">
        <f t="shared" si="43"/>
        <v>研究笔记-&gt;弹丸理论</v>
      </c>
      <c r="E162" s="6" t="str">
        <f t="shared" si="44"/>
        <v>#'5.2研究笔记'!F187:R222</v>
      </c>
      <c r="F162" s="6" t="s">
        <v>5704</v>
      </c>
      <c r="G162" s="6" t="s">
        <v>5705</v>
      </c>
      <c r="H162" s="6" t="s">
        <v>5677</v>
      </c>
      <c r="I162" s="7" t="s">
        <v>4782</v>
      </c>
      <c r="J162" s="7" t="str">
        <f t="shared" si="54"/>
        <v>弹</v>
      </c>
      <c r="K162" s="7" t="str">
        <f t="shared" si="55"/>
        <v>丸</v>
      </c>
      <c r="L162" s="7" t="str">
        <f t="shared" si="56"/>
        <v>理</v>
      </c>
      <c r="M162" s="7" t="s">
        <v>4782</v>
      </c>
      <c r="N162" s="7" t="s">
        <v>4782</v>
      </c>
      <c r="O162" s="7" t="s">
        <v>4782</v>
      </c>
      <c r="P162" s="7" t="s">
        <v>4782</v>
      </c>
      <c r="Q162" s="7" t="s">
        <v>4782</v>
      </c>
      <c r="R162" s="7" t="s">
        <v>4782</v>
      </c>
      <c r="S162" s="7">
        <f t="array" ref="S162">SUM(IFERROR(IF(MATCH(I162:R162,$F$4:$Q$4,0)&gt;0,1,0),0))</f>
        <v>0</v>
      </c>
      <c r="T162" s="7">
        <f t="shared" ca="1" si="41"/>
        <v>37</v>
      </c>
      <c r="U162" s="7">
        <f ca="1">T162+COUNTIF(T$5:$T161,T162)</f>
        <v>174</v>
      </c>
      <c r="Y162" t="s">
        <v>42</v>
      </c>
      <c r="Z162" s="7">
        <f t="shared" ca="1" si="62"/>
        <v>1852.9999999999998</v>
      </c>
      <c r="AA162">
        <f ca="1">SUM(AA378:AA420,AA437:AA443)</f>
        <v>0</v>
      </c>
      <c r="AB162">
        <f t="shared" ref="AB162:AO162" ca="1" si="67">SUM(AB378:AB420,AB437:AB443)</f>
        <v>0</v>
      </c>
      <c r="AC162">
        <f t="shared" ca="1" si="67"/>
        <v>0.4166666666666663</v>
      </c>
      <c r="AD162">
        <f t="shared" ca="1" si="67"/>
        <v>1.1666666666666663</v>
      </c>
      <c r="AE162">
        <f t="shared" ca="1" si="67"/>
        <v>3.3333333333333321</v>
      </c>
      <c r="AF162">
        <f t="shared" ca="1" si="67"/>
        <v>5.7916666666666652</v>
      </c>
      <c r="AG162">
        <f t="shared" ca="1" si="67"/>
        <v>16.374999999999996</v>
      </c>
      <c r="AH162">
        <f t="shared" ca="1" si="67"/>
        <v>40.958333333333336</v>
      </c>
      <c r="AI162">
        <f t="shared" ca="1" si="67"/>
        <v>101.20833333333331</v>
      </c>
      <c r="AJ162">
        <f t="shared" ca="1" si="67"/>
        <v>310.66666666666663</v>
      </c>
      <c r="AK162">
        <f t="shared" ca="1" si="67"/>
        <v>488.24999999999994</v>
      </c>
      <c r="AL162">
        <f t="shared" ca="1" si="67"/>
        <v>815</v>
      </c>
      <c r="AM162">
        <f t="shared" ca="1" si="67"/>
        <v>1209.5</v>
      </c>
      <c r="AN162">
        <f t="shared" ca="1" si="67"/>
        <v>1582.4999999999998</v>
      </c>
      <c r="AO162">
        <f t="shared" ca="1" si="67"/>
        <v>1852.9999999999998</v>
      </c>
      <c r="AX162" s="28">
        <v>12000</v>
      </c>
      <c r="AY162" s="28" t="s">
        <v>4689</v>
      </c>
      <c r="AZ162" s="28" t="s">
        <v>4844</v>
      </c>
      <c r="BA162" s="28" t="s">
        <v>4714</v>
      </c>
      <c r="BB162" s="28">
        <v>60</v>
      </c>
      <c r="CD162" s="38">
        <v>158</v>
      </c>
      <c r="CE162" s="38">
        <f t="shared" si="42"/>
        <v>3.5130533640534081</v>
      </c>
      <c r="CF162" s="38">
        <f t="shared" si="49"/>
        <v>158.23009999999999</v>
      </c>
      <c r="CG162" s="38">
        <f t="shared" si="39"/>
        <v>159</v>
      </c>
      <c r="CP162" s="40">
        <v>510</v>
      </c>
      <c r="CQ162" s="41" t="s">
        <v>3642</v>
      </c>
      <c r="CR162" s="41" t="s">
        <v>5706</v>
      </c>
      <c r="CS162" s="41">
        <v>400</v>
      </c>
      <c r="CT162" s="41">
        <v>24</v>
      </c>
      <c r="CU162" s="41">
        <v>25</v>
      </c>
      <c r="CV162" s="41">
        <v>15</v>
      </c>
      <c r="CW162" s="40"/>
      <c r="CX162" s="41" t="s">
        <v>4716</v>
      </c>
      <c r="CY162" s="40" t="s">
        <v>3104</v>
      </c>
      <c r="DB162" t="s">
        <v>214</v>
      </c>
      <c r="DC162" s="7" t="str">
        <f t="shared" ca="1" si="45"/>
        <v>05_003</v>
      </c>
      <c r="DD162" t="s">
        <v>5213</v>
      </c>
      <c r="DE162" t="s">
        <v>5213</v>
      </c>
      <c r="DF162" t="s">
        <v>4785</v>
      </c>
      <c r="DG162" t="s">
        <v>4756</v>
      </c>
      <c r="DH162" t="s">
        <v>4835</v>
      </c>
    </row>
    <row r="163" spans="4:112" ht="14.6">
      <c r="D163" s="6" t="str">
        <f t="shared" si="43"/>
        <v>研究笔记-&gt;传奇联赛</v>
      </c>
      <c r="E163" s="6" t="str">
        <f t="shared" si="44"/>
        <v>#'5.2研究笔记'!F226:R240</v>
      </c>
      <c r="F163" s="6" t="s">
        <v>5707</v>
      </c>
      <c r="G163" s="6" t="s">
        <v>5708</v>
      </c>
      <c r="H163" s="6" t="s">
        <v>5677</v>
      </c>
      <c r="I163" s="7" t="s">
        <v>4782</v>
      </c>
      <c r="J163" s="7" t="str">
        <f t="shared" si="54"/>
        <v>传</v>
      </c>
      <c r="K163" s="7" t="str">
        <f t="shared" si="55"/>
        <v>奇</v>
      </c>
      <c r="L163" s="7" t="str">
        <f t="shared" si="56"/>
        <v>联</v>
      </c>
      <c r="M163" s="7" t="s">
        <v>4782</v>
      </c>
      <c r="N163" s="7" t="s">
        <v>4782</v>
      </c>
      <c r="O163" s="7" t="s">
        <v>4782</v>
      </c>
      <c r="P163" s="7" t="s">
        <v>4782</v>
      </c>
      <c r="Q163" s="7" t="s">
        <v>4782</v>
      </c>
      <c r="R163" s="7" t="s">
        <v>4782</v>
      </c>
      <c r="S163" s="7">
        <f t="array" ref="S163">SUM(IFERROR(IF(MATCH(I163:R163,$F$4:$Q$4,0)&gt;0,1,0),0))</f>
        <v>0</v>
      </c>
      <c r="T163" s="7">
        <f t="shared" ca="1" si="41"/>
        <v>37</v>
      </c>
      <c r="U163" s="7">
        <f ca="1">T163+COUNTIF(T$5:$T162,T163)</f>
        <v>175</v>
      </c>
      <c r="Y163" t="s">
        <v>48</v>
      </c>
      <c r="Z163" s="7">
        <f t="shared" ca="1" si="62"/>
        <v>420</v>
      </c>
      <c r="AA163">
        <f ca="1">SUM(AA428:AA435)</f>
        <v>0</v>
      </c>
      <c r="AB163">
        <f t="shared" ref="AB163:AO163" ca="1" si="68">SUM(AB428:AB435)</f>
        <v>0</v>
      </c>
      <c r="AC163">
        <f t="shared" ca="1" si="68"/>
        <v>0</v>
      </c>
      <c r="AD163">
        <f t="shared" ca="1" si="68"/>
        <v>0</v>
      </c>
      <c r="AE163">
        <f t="shared" ca="1" si="68"/>
        <v>0</v>
      </c>
      <c r="AF163">
        <f t="shared" ca="1" si="68"/>
        <v>0</v>
      </c>
      <c r="AG163">
        <f t="shared" ca="1" si="68"/>
        <v>0</v>
      </c>
      <c r="AH163">
        <f t="shared" ca="1" si="68"/>
        <v>0</v>
      </c>
      <c r="AI163">
        <f t="shared" ca="1" si="68"/>
        <v>0</v>
      </c>
      <c r="AJ163">
        <f t="shared" ca="1" si="68"/>
        <v>0</v>
      </c>
      <c r="AK163">
        <f t="shared" ca="1" si="68"/>
        <v>0</v>
      </c>
      <c r="AL163">
        <f t="shared" ca="1" si="68"/>
        <v>0</v>
      </c>
      <c r="AM163">
        <f t="shared" ca="1" si="68"/>
        <v>0</v>
      </c>
      <c r="AN163">
        <f t="shared" ca="1" si="68"/>
        <v>210</v>
      </c>
      <c r="AO163">
        <f t="shared" ca="1" si="68"/>
        <v>420</v>
      </c>
      <c r="AX163" s="28">
        <v>18000</v>
      </c>
      <c r="AY163" s="28" t="s">
        <v>5117</v>
      </c>
      <c r="AZ163" s="28" t="s">
        <v>4934</v>
      </c>
      <c r="BA163" s="28" t="s">
        <v>5709</v>
      </c>
      <c r="BB163" s="28">
        <v>80</v>
      </c>
      <c r="CD163" s="38">
        <v>159</v>
      </c>
      <c r="CE163" s="38">
        <f t="shared" si="42"/>
        <v>3.5162079381859002</v>
      </c>
      <c r="CF163" s="38">
        <f t="shared" si="49"/>
        <v>159.22918999999999</v>
      </c>
      <c r="CG163" s="38">
        <f t="shared" si="39"/>
        <v>160</v>
      </c>
      <c r="CP163" s="40">
        <v>511</v>
      </c>
      <c r="CQ163" s="41" t="s">
        <v>3647</v>
      </c>
      <c r="CR163" s="41" t="s">
        <v>5710</v>
      </c>
      <c r="CS163" s="41">
        <v>100</v>
      </c>
      <c r="CT163" s="41">
        <v>3</v>
      </c>
      <c r="CU163" s="41">
        <v>75</v>
      </c>
      <c r="CV163" s="41">
        <v>5</v>
      </c>
      <c r="CW163" s="40"/>
      <c r="CX163" s="41" t="s">
        <v>4716</v>
      </c>
      <c r="CY163" s="40" t="s">
        <v>3096</v>
      </c>
      <c r="DB163" t="s">
        <v>215</v>
      </c>
      <c r="DC163" s="7" t="str">
        <f t="shared" ca="1" si="45"/>
        <v>05_008</v>
      </c>
      <c r="DD163" t="s">
        <v>4960</v>
      </c>
      <c r="DE163" t="s">
        <v>5088</v>
      </c>
      <c r="DF163" t="s">
        <v>5095</v>
      </c>
      <c r="DG163" t="s">
        <v>4992</v>
      </c>
      <c r="DH163" t="s">
        <v>4993</v>
      </c>
    </row>
    <row r="164" spans="4:112" ht="14.6">
      <c r="D164" s="6" t="str">
        <f t="shared" si="43"/>
        <v>研究笔记-&gt;法术叠加</v>
      </c>
      <c r="E164" s="6" t="str">
        <f t="shared" si="44"/>
        <v>#'5.2研究笔记'!F243:T277</v>
      </c>
      <c r="F164" s="6" t="s">
        <v>5711</v>
      </c>
      <c r="G164" s="6" t="s">
        <v>5712</v>
      </c>
      <c r="H164" s="6" t="s">
        <v>5677</v>
      </c>
      <c r="I164" s="7" t="s">
        <v>4782</v>
      </c>
      <c r="J164" s="7" t="str">
        <f t="shared" si="54"/>
        <v>法</v>
      </c>
      <c r="K164" s="7" t="str">
        <f t="shared" si="55"/>
        <v>术</v>
      </c>
      <c r="L164" s="7" t="str">
        <f t="shared" si="56"/>
        <v>叠</v>
      </c>
      <c r="M164" s="7" t="s">
        <v>5037</v>
      </c>
      <c r="N164" s="7" t="s">
        <v>4782</v>
      </c>
      <c r="O164" s="7" t="s">
        <v>4782</v>
      </c>
      <c r="P164" s="7" t="s">
        <v>4782</v>
      </c>
      <c r="Q164" s="7" t="s">
        <v>4782</v>
      </c>
      <c r="R164" s="7" t="s">
        <v>4782</v>
      </c>
      <c r="S164" s="7">
        <f t="array" ref="S164">SUM(IFERROR(IF(MATCH(I164:R164,$F$4:$Q$4,0)&gt;0,1,0),0))</f>
        <v>0</v>
      </c>
      <c r="T164" s="7">
        <f t="shared" ca="1" si="41"/>
        <v>37</v>
      </c>
      <c r="U164" s="7">
        <f ca="1">T164+COUNTIF(T$5:$T163,T164)</f>
        <v>176</v>
      </c>
      <c r="Y164" t="s">
        <v>53</v>
      </c>
      <c r="Z164" s="7">
        <f t="shared" ca="1" si="62"/>
        <v>5216250</v>
      </c>
      <c r="AA164">
        <v>0</v>
      </c>
      <c r="AB164">
        <f ca="1">AB165</f>
        <v>26250</v>
      </c>
      <c r="AC164">
        <f t="shared" ref="AC164:AD164" ca="1" si="69">AC165</f>
        <v>302500</v>
      </c>
      <c r="AD164">
        <f t="shared" ca="1" si="69"/>
        <v>1203750</v>
      </c>
      <c r="AE164">
        <f>VALUE(RIGHT(AE10,3))*(10000+5000+1000+50)</f>
        <v>1605000</v>
      </c>
      <c r="AF164">
        <f t="shared" ref="AF164:AN164" si="70">VALUE(RIGHT(AF10,3))*(10000+5000+1000+50)</f>
        <v>2006250</v>
      </c>
      <c r="AG164">
        <f t="shared" si="70"/>
        <v>2808750</v>
      </c>
      <c r="AH164">
        <f t="shared" si="70"/>
        <v>3611250</v>
      </c>
      <c r="AI164">
        <f t="shared" si="70"/>
        <v>4012500</v>
      </c>
      <c r="AJ164">
        <f t="shared" si="70"/>
        <v>4413750</v>
      </c>
      <c r="AK164">
        <f t="shared" si="70"/>
        <v>4815000</v>
      </c>
      <c r="AL164">
        <f t="shared" si="70"/>
        <v>4815000</v>
      </c>
      <c r="AM164">
        <f t="shared" si="70"/>
        <v>4815000</v>
      </c>
      <c r="AN164">
        <f t="shared" si="70"/>
        <v>5216250</v>
      </c>
      <c r="AO164" s="25">
        <f>AN164</f>
        <v>5216250</v>
      </c>
      <c r="AX164" s="28">
        <v>30000</v>
      </c>
      <c r="AY164" s="28" t="s">
        <v>4745</v>
      </c>
      <c r="AZ164" s="28" t="s">
        <v>4945</v>
      </c>
      <c r="BA164" s="28" t="s">
        <v>4855</v>
      </c>
      <c r="BB164" s="28">
        <v>100</v>
      </c>
      <c r="CD164" s="38">
        <v>160</v>
      </c>
      <c r="CE164" s="38">
        <f t="shared" si="42"/>
        <v>3.5193427344241446</v>
      </c>
      <c r="CF164" s="38">
        <f t="shared" si="49"/>
        <v>160.22828000000001</v>
      </c>
      <c r="CG164" s="38">
        <f t="shared" si="39"/>
        <v>161</v>
      </c>
      <c r="CP164" s="40">
        <v>512</v>
      </c>
      <c r="CQ164" s="41" t="s">
        <v>3647</v>
      </c>
      <c r="CR164" s="41" t="s">
        <v>5713</v>
      </c>
      <c r="CS164" s="41">
        <v>200</v>
      </c>
      <c r="CT164" s="41">
        <v>8</v>
      </c>
      <c r="CU164" s="41">
        <v>50</v>
      </c>
      <c r="CV164" s="41">
        <v>10</v>
      </c>
      <c r="CW164" s="40"/>
      <c r="CX164" s="41" t="s">
        <v>4716</v>
      </c>
      <c r="CY164" s="40" t="s">
        <v>4717</v>
      </c>
      <c r="DB164" t="s">
        <v>216</v>
      </c>
      <c r="DC164" s="7" t="str">
        <f t="shared" ca="1" si="45"/>
        <v>05_006</v>
      </c>
      <c r="DD164" t="s">
        <v>4895</v>
      </c>
      <c r="DE164" t="s">
        <v>5094</v>
      </c>
      <c r="DF164" t="s">
        <v>4990</v>
      </c>
      <c r="DG164" t="s">
        <v>4899</v>
      </c>
      <c r="DH164" t="s">
        <v>4900</v>
      </c>
    </row>
    <row r="165" spans="4:112" ht="14.6">
      <c r="D165" s="6" t="str">
        <f t="shared" si="43"/>
        <v>研究笔记-&gt;大守护者</v>
      </c>
      <c r="E165" s="6" t="str">
        <f t="shared" si="44"/>
        <v>#'5.2研究笔记'!F280:S430</v>
      </c>
      <c r="F165" s="6" t="s">
        <v>2229</v>
      </c>
      <c r="G165" s="6" t="s">
        <v>5714</v>
      </c>
      <c r="H165" s="6" t="s">
        <v>5677</v>
      </c>
      <c r="I165" s="7" t="s">
        <v>4859</v>
      </c>
      <c r="J165" s="7" t="s">
        <v>4915</v>
      </c>
      <c r="K165" s="7" t="s">
        <v>4916</v>
      </c>
      <c r="L165" s="7" t="s">
        <v>4917</v>
      </c>
      <c r="M165" s="7" t="s">
        <v>5260</v>
      </c>
      <c r="N165" s="7" t="s">
        <v>5261</v>
      </c>
      <c r="O165" s="7" t="s">
        <v>4782</v>
      </c>
      <c r="P165" s="7" t="s">
        <v>4782</v>
      </c>
      <c r="Q165" s="7" t="s">
        <v>4782</v>
      </c>
      <c r="R165" s="7" t="s">
        <v>4782</v>
      </c>
      <c r="S165" s="7">
        <f t="array" ref="S165">SUM(IFERROR(IF(MATCH(I165:R165,$F$4:$Q$4,0)&gt;0,1,0),0))</f>
        <v>0</v>
      </c>
      <c r="T165" s="7">
        <f t="shared" ca="1" si="41"/>
        <v>37</v>
      </c>
      <c r="U165" s="7">
        <f ca="1">T165+COUNTIF(T$5:$T164,T165)</f>
        <v>177</v>
      </c>
      <c r="Y165" t="s">
        <v>5686</v>
      </c>
      <c r="Z165" s="7">
        <f t="shared" ca="1" si="62"/>
        <v>6472091250</v>
      </c>
      <c r="AA165">
        <f ca="1">AA218</f>
        <v>0</v>
      </c>
      <c r="AB165">
        <f t="shared" ref="AB165:AO165" ca="1" si="71">AB218</f>
        <v>26250</v>
      </c>
      <c r="AC165">
        <f t="shared" ca="1" si="71"/>
        <v>302500</v>
      </c>
      <c r="AD165">
        <f t="shared" ca="1" si="71"/>
        <v>1203750</v>
      </c>
      <c r="AE165">
        <f t="shared" ca="1" si="71"/>
        <v>3605000</v>
      </c>
      <c r="AF165">
        <f t="shared" ca="1" si="71"/>
        <v>8256250</v>
      </c>
      <c r="AG165">
        <f t="shared" ca="1" si="71"/>
        <v>20308750</v>
      </c>
      <c r="AH165">
        <f t="shared" ca="1" si="71"/>
        <v>42986250</v>
      </c>
      <c r="AI165">
        <f t="shared" ca="1" si="71"/>
        <v>122762500</v>
      </c>
      <c r="AJ165">
        <f t="shared" ca="1" si="71"/>
        <v>272538750</v>
      </c>
      <c r="AK165">
        <f t="shared" ca="1" si="71"/>
        <v>597315000</v>
      </c>
      <c r="AL165">
        <f t="shared" ca="1" si="71"/>
        <v>1197315000</v>
      </c>
      <c r="AM165">
        <f t="shared" ca="1" si="71"/>
        <v>2397315000</v>
      </c>
      <c r="AN165">
        <f t="shared" ca="1" si="71"/>
        <v>4872091250</v>
      </c>
      <c r="AO165">
        <f t="shared" ca="1" si="71"/>
        <v>6472091250</v>
      </c>
      <c r="AX165" s="28">
        <v>50000</v>
      </c>
      <c r="AY165" s="28" t="s">
        <v>5163</v>
      </c>
      <c r="AZ165" s="28" t="s">
        <v>4865</v>
      </c>
      <c r="BA165" s="28" t="s">
        <v>3432</v>
      </c>
      <c r="BB165" s="28">
        <v>120</v>
      </c>
      <c r="CD165" s="38">
        <v>161</v>
      </c>
      <c r="CE165" s="38">
        <f t="shared" si="42"/>
        <v>3.5224579992216523</v>
      </c>
      <c r="CF165" s="38">
        <f t="shared" si="49"/>
        <v>161.22738000000001</v>
      </c>
      <c r="CG165" s="38">
        <f t="shared" si="39"/>
        <v>162</v>
      </c>
      <c r="CP165" s="40">
        <v>513</v>
      </c>
      <c r="CQ165" s="41" t="s">
        <v>3647</v>
      </c>
      <c r="CR165" s="41" t="s">
        <v>5715</v>
      </c>
      <c r="CS165" s="41">
        <v>400</v>
      </c>
      <c r="CT165" s="41">
        <v>24</v>
      </c>
      <c r="CU165" s="41">
        <v>25</v>
      </c>
      <c r="CV165" s="41">
        <v>15</v>
      </c>
      <c r="CW165" s="40"/>
      <c r="CX165" s="41" t="s">
        <v>4716</v>
      </c>
      <c r="CY165" s="40" t="s">
        <v>3104</v>
      </c>
      <c r="DC165" s="7">
        <f t="shared" ca="1" si="45"/>
        <v>0</v>
      </c>
    </row>
    <row r="166" spans="4:112" ht="14.6">
      <c r="D166" s="6" t="str">
        <f t="shared" si="43"/>
        <v>研究笔记-&gt;单位视野</v>
      </c>
      <c r="E166" s="6" t="str">
        <f t="shared" si="44"/>
        <v>#'5.2研究笔记'!F4:R38</v>
      </c>
      <c r="F166" s="6" t="s">
        <v>5716</v>
      </c>
      <c r="G166" s="6" t="s">
        <v>5717</v>
      </c>
      <c r="H166" s="6" t="s">
        <v>5677</v>
      </c>
      <c r="I166" s="7" t="s">
        <v>4782</v>
      </c>
      <c r="J166" s="7" t="str">
        <f t="shared" ref="J166:J173" si="72">MID(F166,4,1)</f>
        <v>单</v>
      </c>
      <c r="K166" s="7" t="str">
        <f t="shared" ref="K166:K173" si="73">MID(F166,5,1)</f>
        <v>位</v>
      </c>
      <c r="L166" s="7" t="str">
        <f t="shared" ref="L166:L173" si="74">MID(F166,6,1)</f>
        <v>视</v>
      </c>
      <c r="M166" s="7" t="s">
        <v>4782</v>
      </c>
      <c r="N166" s="7" t="s">
        <v>4782</v>
      </c>
      <c r="O166" s="7" t="s">
        <v>4782</v>
      </c>
      <c r="P166" s="7" t="s">
        <v>4782</v>
      </c>
      <c r="Q166" s="7" t="s">
        <v>4782</v>
      </c>
      <c r="R166" s="7" t="s">
        <v>4782</v>
      </c>
      <c r="S166" s="7">
        <f t="array" ref="S166">SUM(IFERROR(IF(MATCH(I166:R166,$F$4:$Q$4,0)&gt;0,1,0),0))</f>
        <v>0</v>
      </c>
      <c r="T166" s="7">
        <f t="shared" ref="T166:T193" ca="1" si="75">RANK(S166,INDIRECT($T$4))</f>
        <v>37</v>
      </c>
      <c r="U166" s="7">
        <f ca="1">T166+COUNTIF(T$5:$T165,T166)</f>
        <v>178</v>
      </c>
      <c r="AX166" s="28">
        <v>3000</v>
      </c>
      <c r="AY166" s="28" t="s">
        <v>4713</v>
      </c>
      <c r="AZ166" s="28" t="s">
        <v>4739</v>
      </c>
      <c r="BA166" s="28" t="s">
        <v>4878</v>
      </c>
      <c r="BB166" s="28">
        <v>20</v>
      </c>
      <c r="CD166" s="38">
        <v>162</v>
      </c>
      <c r="CE166" s="38">
        <f t="shared" si="42"/>
        <v>3.5255539744538504</v>
      </c>
      <c r="CF166" s="38">
        <f t="shared" si="49"/>
        <v>162.22648000000001</v>
      </c>
      <c r="CG166" s="38">
        <f t="shared" si="39"/>
        <v>163</v>
      </c>
      <c r="CP166" s="40">
        <v>514</v>
      </c>
      <c r="CQ166" s="41" t="s">
        <v>3651</v>
      </c>
      <c r="CR166" s="41" t="s">
        <v>5718</v>
      </c>
      <c r="CS166" s="41">
        <v>100</v>
      </c>
      <c r="CT166" s="41">
        <v>3</v>
      </c>
      <c r="CU166" s="41">
        <v>75</v>
      </c>
      <c r="CV166" s="41">
        <v>5</v>
      </c>
      <c r="CW166" s="40"/>
      <c r="CX166" s="41" t="s">
        <v>4716</v>
      </c>
      <c r="CY166" s="40" t="s">
        <v>3096</v>
      </c>
      <c r="DB166" t="s">
        <v>219</v>
      </c>
      <c r="DC166" s="7">
        <f t="shared" ca="1" si="45"/>
        <v>8</v>
      </c>
      <c r="DD166">
        <v>0</v>
      </c>
      <c r="DE166">
        <v>0</v>
      </c>
      <c r="DF166">
        <v>3</v>
      </c>
      <c r="DG166">
        <v>6</v>
      </c>
      <c r="DH166">
        <v>8</v>
      </c>
    </row>
    <row r="167" spans="4:112" ht="14.6">
      <c r="D167" s="6" t="str">
        <f t="shared" si="43"/>
        <v>研究笔记-&gt;判定面积</v>
      </c>
      <c r="E167" s="6" t="str">
        <f t="shared" si="44"/>
        <v>#'5.2研究笔记'!F40:R64</v>
      </c>
      <c r="F167" s="6" t="s">
        <v>5719</v>
      </c>
      <c r="G167" s="6" t="s">
        <v>5720</v>
      </c>
      <c r="H167" s="6" t="s">
        <v>5677</v>
      </c>
      <c r="I167" s="7" t="s">
        <v>4782</v>
      </c>
      <c r="J167" s="7" t="str">
        <f t="shared" si="72"/>
        <v>判</v>
      </c>
      <c r="K167" s="7" t="str">
        <f t="shared" si="73"/>
        <v>定</v>
      </c>
      <c r="L167" s="7" t="str">
        <f t="shared" si="74"/>
        <v>面</v>
      </c>
      <c r="M167" s="7" t="s">
        <v>4782</v>
      </c>
      <c r="N167" s="7" t="s">
        <v>4782</v>
      </c>
      <c r="O167" s="7" t="s">
        <v>4782</v>
      </c>
      <c r="P167" s="7" t="s">
        <v>4782</v>
      </c>
      <c r="Q167" s="7" t="s">
        <v>4782</v>
      </c>
      <c r="R167" s="7" t="s">
        <v>4782</v>
      </c>
      <c r="S167" s="7">
        <f t="array" ref="S167">SUM(IFERROR(IF(MATCH(I167:R167,$F$4:$Q$4,0)&gt;0,1,0),0))</f>
        <v>0</v>
      </c>
      <c r="T167" s="7">
        <f t="shared" ca="1" si="75"/>
        <v>37</v>
      </c>
      <c r="U167" s="7">
        <f ca="1">T167+COUNTIF(T$5:$T166,T167)</f>
        <v>179</v>
      </c>
      <c r="Y167" t="s">
        <v>4718</v>
      </c>
      <c r="Z167" t="s">
        <v>243</v>
      </c>
      <c r="AA167">
        <v>1</v>
      </c>
      <c r="AB167">
        <v>2</v>
      </c>
      <c r="AC167">
        <v>3</v>
      </c>
      <c r="AD167">
        <v>4</v>
      </c>
      <c r="AE167">
        <v>5</v>
      </c>
      <c r="AF167">
        <v>6</v>
      </c>
      <c r="AG167">
        <v>7</v>
      </c>
      <c r="AH167">
        <v>8</v>
      </c>
      <c r="AI167">
        <v>9</v>
      </c>
      <c r="AX167" s="28">
        <v>7500</v>
      </c>
      <c r="AY167" s="28" t="s">
        <v>4673</v>
      </c>
      <c r="AZ167" s="28" t="s">
        <v>4877</v>
      </c>
      <c r="BA167" s="28" t="s">
        <v>5538</v>
      </c>
      <c r="BB167" s="28">
        <v>40</v>
      </c>
      <c r="CD167" s="38">
        <v>163</v>
      </c>
      <c r="CE167" s="38">
        <f t="shared" si="42"/>
        <v>3.5286308975307734</v>
      </c>
      <c r="CF167" s="38">
        <f t="shared" si="49"/>
        <v>163.22559000000001</v>
      </c>
      <c r="CG167" s="38">
        <f t="shared" si="39"/>
        <v>164</v>
      </c>
      <c r="CP167" s="40">
        <v>515</v>
      </c>
      <c r="CQ167" s="41" t="s">
        <v>3651</v>
      </c>
      <c r="CR167" s="41" t="s">
        <v>5721</v>
      </c>
      <c r="CS167" s="41">
        <v>200</v>
      </c>
      <c r="CT167" s="41">
        <v>8</v>
      </c>
      <c r="CU167" s="41">
        <v>50</v>
      </c>
      <c r="CV167" s="41">
        <v>10</v>
      </c>
      <c r="CW167" s="40"/>
      <c r="CX167" s="41" t="s">
        <v>4716</v>
      </c>
      <c r="CY167" s="40" t="s">
        <v>4717</v>
      </c>
      <c r="DB167" t="s">
        <v>223</v>
      </c>
      <c r="DC167" s="7">
        <f t="shared" ca="1" si="45"/>
        <v>8</v>
      </c>
      <c r="DD167">
        <v>6</v>
      </c>
      <c r="DE167">
        <v>8</v>
      </c>
      <c r="DF167">
        <v>8</v>
      </c>
      <c r="DG167">
        <v>8</v>
      </c>
      <c r="DH167">
        <v>8</v>
      </c>
    </row>
    <row r="168" spans="4:112" ht="14.6">
      <c r="D168" s="6" t="str">
        <f t="shared" si="43"/>
        <v>研究笔记-&gt;开墙判定</v>
      </c>
      <c r="E168" s="6" t="str">
        <f t="shared" si="44"/>
        <v>#'5.2研究笔记'!F65:R81</v>
      </c>
      <c r="F168" s="6" t="s">
        <v>5722</v>
      </c>
      <c r="G168" s="6" t="s">
        <v>5723</v>
      </c>
      <c r="H168" s="6" t="s">
        <v>5677</v>
      </c>
      <c r="I168" s="7" t="s">
        <v>4782</v>
      </c>
      <c r="J168" s="7" t="str">
        <f t="shared" si="72"/>
        <v>开</v>
      </c>
      <c r="K168" s="7" t="str">
        <f t="shared" si="73"/>
        <v>墙</v>
      </c>
      <c r="L168" s="7" t="str">
        <f t="shared" si="74"/>
        <v>判</v>
      </c>
      <c r="M168" s="7" t="s">
        <v>4782</v>
      </c>
      <c r="N168" s="7" t="s">
        <v>4782</v>
      </c>
      <c r="O168" s="7" t="s">
        <v>4782</v>
      </c>
      <c r="P168" s="7" t="s">
        <v>4782</v>
      </c>
      <c r="Q168" s="7" t="s">
        <v>4782</v>
      </c>
      <c r="R168" s="7" t="s">
        <v>4782</v>
      </c>
      <c r="S168" s="7">
        <f t="array" ref="S168">SUM(IFERROR(IF(MATCH(I168:R168,$F$4:$Q$4,0)&gt;0,1,0),0))</f>
        <v>0</v>
      </c>
      <c r="T168" s="7">
        <f t="shared" ca="1" si="75"/>
        <v>37</v>
      </c>
      <c r="U168" s="7">
        <f ca="1">T168+COUNTIF(T$5:$T167,T168)</f>
        <v>180</v>
      </c>
      <c r="Y168" t="s">
        <v>5724</v>
      </c>
      <c r="Z168">
        <f>'1.序幕'!I46</f>
        <v>9</v>
      </c>
      <c r="AX168" s="28">
        <v>12000</v>
      </c>
      <c r="AY168" s="28" t="s">
        <v>4770</v>
      </c>
      <c r="AZ168" s="28" t="s">
        <v>4771</v>
      </c>
      <c r="BA168" s="28" t="s">
        <v>4714</v>
      </c>
      <c r="BB168" s="28">
        <v>60</v>
      </c>
      <c r="CD168" s="38">
        <v>164</v>
      </c>
      <c r="CE168" s="38">
        <f t="shared" si="42"/>
        <v>3.5316890015063085</v>
      </c>
      <c r="CF168" s="38">
        <f t="shared" si="49"/>
        <v>164.22470000000001</v>
      </c>
      <c r="CG168" s="38">
        <f t="shared" si="39"/>
        <v>165</v>
      </c>
      <c r="CP168" s="40">
        <v>516</v>
      </c>
      <c r="CQ168" s="41" t="s">
        <v>3651</v>
      </c>
      <c r="CR168" s="41" t="s">
        <v>5725</v>
      </c>
      <c r="CS168" s="41">
        <v>400</v>
      </c>
      <c r="CT168" s="41">
        <v>24</v>
      </c>
      <c r="CU168" s="41">
        <v>25</v>
      </c>
      <c r="CV168" s="41">
        <v>15</v>
      </c>
      <c r="CW168" s="40"/>
      <c r="CX168" s="41" t="s">
        <v>4716</v>
      </c>
      <c r="CY168" s="40" t="s">
        <v>3104</v>
      </c>
      <c r="DC168" s="7"/>
    </row>
    <row r="169" spans="4:112" ht="14.6">
      <c r="D169" s="6" t="str">
        <f t="shared" si="43"/>
        <v>研究笔记-&gt;防御锁定</v>
      </c>
      <c r="E169" s="6" t="str">
        <f t="shared" si="44"/>
        <v>#'5.2研究笔记'!f83:r111</v>
      </c>
      <c r="F169" s="6" t="s">
        <v>5726</v>
      </c>
      <c r="G169" s="6" t="s">
        <v>5727</v>
      </c>
      <c r="H169" s="6" t="s">
        <v>5677</v>
      </c>
      <c r="I169" s="7" t="s">
        <v>4782</v>
      </c>
      <c r="J169" s="7" t="str">
        <f t="shared" si="72"/>
        <v>防</v>
      </c>
      <c r="K169" s="7" t="str">
        <f t="shared" si="73"/>
        <v>御</v>
      </c>
      <c r="L169" s="7" t="str">
        <f t="shared" si="74"/>
        <v>锁</v>
      </c>
      <c r="M169" s="7" t="s">
        <v>4782</v>
      </c>
      <c r="N169" s="7" t="s">
        <v>4782</v>
      </c>
      <c r="O169" s="7" t="s">
        <v>4782</v>
      </c>
      <c r="P169" s="7" t="s">
        <v>4782</v>
      </c>
      <c r="Q169" s="7" t="s">
        <v>4782</v>
      </c>
      <c r="R169" s="7" t="s">
        <v>4782</v>
      </c>
      <c r="S169" s="7">
        <f t="array" ref="S169">SUM(IFERROR(IF(MATCH(I169:R169,$F$4:$Q$4,0)&gt;0,1,0),0))</f>
        <v>0</v>
      </c>
      <c r="T169" s="7">
        <f t="shared" ca="1" si="75"/>
        <v>37</v>
      </c>
      <c r="U169" s="7">
        <f ca="1">T169+COUNTIF(T$5:$T168,T169)</f>
        <v>181</v>
      </c>
      <c r="Y169" t="s">
        <v>3</v>
      </c>
      <c r="Z169" t="str">
        <f t="shared" ref="Z169:Z182" ca="1" si="76">OFFSET(AA169,0,$Z$168-1)</f>
        <v>09_001</v>
      </c>
      <c r="AA169" t="s">
        <v>4834</v>
      </c>
      <c r="AB169" t="s">
        <v>4784</v>
      </c>
      <c r="AC169" t="s">
        <v>4785</v>
      </c>
      <c r="AD169" t="s">
        <v>4873</v>
      </c>
      <c r="AE169" t="s">
        <v>4941</v>
      </c>
      <c r="AF169" t="s">
        <v>5106</v>
      </c>
      <c r="AG169" t="s">
        <v>5107</v>
      </c>
      <c r="AH169" t="s">
        <v>5108</v>
      </c>
      <c r="AI169" t="s">
        <v>5109</v>
      </c>
      <c r="AX169" s="28">
        <v>18000</v>
      </c>
      <c r="AY169" s="28" t="s">
        <v>5495</v>
      </c>
      <c r="AZ169" s="28" t="s">
        <v>5693</v>
      </c>
      <c r="BA169" s="28" t="s">
        <v>4855</v>
      </c>
      <c r="BB169" s="28">
        <v>80</v>
      </c>
      <c r="CD169" s="38">
        <v>165</v>
      </c>
      <c r="CE169" s="38">
        <f t="shared" si="42"/>
        <v>3.5347285151841201</v>
      </c>
      <c r="CF169" s="38">
        <f t="shared" si="49"/>
        <v>165.22381999999999</v>
      </c>
      <c r="CG169" s="38">
        <f t="shared" si="39"/>
        <v>166</v>
      </c>
      <c r="CP169" s="40">
        <v>517</v>
      </c>
      <c r="CQ169" s="41" t="s">
        <v>3656</v>
      </c>
      <c r="CR169" s="41" t="s">
        <v>5728</v>
      </c>
      <c r="CS169" s="41">
        <v>150</v>
      </c>
      <c r="CT169" s="41">
        <v>3</v>
      </c>
      <c r="CU169" s="41">
        <v>60</v>
      </c>
      <c r="CV169" s="41">
        <v>5</v>
      </c>
      <c r="CW169" s="40"/>
      <c r="CX169" s="41" t="s">
        <v>4716</v>
      </c>
      <c r="CY169" s="40" t="s">
        <v>3096</v>
      </c>
      <c r="DC169" s="7"/>
    </row>
    <row r="170" spans="4:112" ht="14.6">
      <c r="D170" s="6" t="str">
        <f t="shared" si="43"/>
        <v>研究笔记-&gt;攻城载具</v>
      </c>
      <c r="E170" s="6" t="str">
        <f t="shared" si="44"/>
        <v>#'5.2研究笔记'!Y111:AK153</v>
      </c>
      <c r="F170" s="6" t="s">
        <v>5729</v>
      </c>
      <c r="G170" s="6" t="s">
        <v>5730</v>
      </c>
      <c r="H170" s="6" t="s">
        <v>5677</v>
      </c>
      <c r="I170" s="7" t="s">
        <v>4782</v>
      </c>
      <c r="J170" s="7" t="str">
        <f t="shared" si="72"/>
        <v>攻</v>
      </c>
      <c r="K170" s="7" t="str">
        <f t="shared" si="73"/>
        <v>城</v>
      </c>
      <c r="L170" s="7" t="str">
        <f t="shared" si="74"/>
        <v>载</v>
      </c>
      <c r="M170" s="7" t="s">
        <v>4782</v>
      </c>
      <c r="N170" s="7" t="s">
        <v>4782</v>
      </c>
      <c r="O170" s="7" t="s">
        <v>4782</v>
      </c>
      <c r="P170" s="7" t="s">
        <v>4782</v>
      </c>
      <c r="Q170" s="7" t="s">
        <v>4782</v>
      </c>
      <c r="R170" s="7" t="s">
        <v>4782</v>
      </c>
      <c r="S170" s="7">
        <f t="array" ref="S170">SUM(IFERROR(IF(MATCH(I170:R170,$F$4:$Q$4,0)&gt;0,1,0),0))</f>
        <v>0</v>
      </c>
      <c r="T170" s="7">
        <f t="shared" ca="1" si="75"/>
        <v>37</v>
      </c>
      <c r="U170" s="7">
        <f ca="1">T170+COUNTIF(T$5:$T169,T170)</f>
        <v>182</v>
      </c>
      <c r="Y170" t="s">
        <v>21</v>
      </c>
      <c r="Z170" t="str">
        <f t="shared" ca="1" si="76"/>
        <v>11_001</v>
      </c>
      <c r="AA170" t="s">
        <v>4834</v>
      </c>
      <c r="AB170" t="s">
        <v>4784</v>
      </c>
      <c r="AC170" t="s">
        <v>4873</v>
      </c>
      <c r="AD170" t="s">
        <v>5106</v>
      </c>
      <c r="AE170" t="s">
        <v>5107</v>
      </c>
      <c r="AF170" t="s">
        <v>5108</v>
      </c>
      <c r="AG170" t="s">
        <v>5109</v>
      </c>
      <c r="AH170" t="s">
        <v>5110</v>
      </c>
      <c r="AI170" t="s">
        <v>5111</v>
      </c>
      <c r="AX170" s="28">
        <v>30000</v>
      </c>
      <c r="AY170" s="28" t="s">
        <v>4746</v>
      </c>
      <c r="AZ170" s="28" t="s">
        <v>5643</v>
      </c>
      <c r="BA170" s="28" t="s">
        <v>4689</v>
      </c>
      <c r="BB170" s="28">
        <v>100</v>
      </c>
      <c r="CD170" s="38">
        <v>166</v>
      </c>
      <c r="CE170" s="38">
        <f t="shared" si="42"/>
        <v>3.537749663220374</v>
      </c>
      <c r="CF170" s="38">
        <f t="shared" si="49"/>
        <v>166.22293999999999</v>
      </c>
      <c r="CG170" s="38">
        <f t="shared" si="39"/>
        <v>167</v>
      </c>
      <c r="CP170" s="40">
        <v>518</v>
      </c>
      <c r="CQ170" s="41" t="s">
        <v>3656</v>
      </c>
      <c r="CR170" s="41" t="s">
        <v>5731</v>
      </c>
      <c r="CS170" s="41">
        <v>300</v>
      </c>
      <c r="CT170" s="41">
        <v>8</v>
      </c>
      <c r="CU170" s="41">
        <v>40</v>
      </c>
      <c r="CV170" s="41">
        <v>10</v>
      </c>
      <c r="CW170" s="40"/>
      <c r="CX170" s="41" t="s">
        <v>4716</v>
      </c>
      <c r="CY170" s="40" t="s">
        <v>4717</v>
      </c>
      <c r="DB170" t="s">
        <v>174</v>
      </c>
      <c r="DC170" s="7">
        <f ca="1">DC10</f>
        <v>5</v>
      </c>
    </row>
    <row r="171" spans="4:112" ht="14.6">
      <c r="D171" s="6" t="str">
        <f t="shared" si="43"/>
        <v>研究笔记-&gt;戈仑冰人</v>
      </c>
      <c r="E171" s="6" t="str">
        <f t="shared" si="44"/>
        <v>#'5.2研究笔记'!Y154:AK174</v>
      </c>
      <c r="F171" s="6" t="s">
        <v>5732</v>
      </c>
      <c r="G171" s="6" t="s">
        <v>5733</v>
      </c>
      <c r="H171" s="6" t="s">
        <v>5677</v>
      </c>
      <c r="I171" s="7" t="s">
        <v>4782</v>
      </c>
      <c r="J171" s="7" t="str">
        <f t="shared" si="72"/>
        <v>戈</v>
      </c>
      <c r="K171" s="7" t="str">
        <f t="shared" si="73"/>
        <v>仑</v>
      </c>
      <c r="L171" s="7" t="str">
        <f t="shared" si="74"/>
        <v>冰</v>
      </c>
      <c r="M171" s="7" t="s">
        <v>4782</v>
      </c>
      <c r="N171" s="7" t="s">
        <v>4782</v>
      </c>
      <c r="O171" s="7" t="s">
        <v>4782</v>
      </c>
      <c r="P171" s="7" t="s">
        <v>4782</v>
      </c>
      <c r="Q171" s="7" t="s">
        <v>4782</v>
      </c>
      <c r="R171" s="7" t="s">
        <v>4782</v>
      </c>
      <c r="S171" s="7">
        <f t="array" ref="S171">SUM(IFERROR(IF(MATCH(I171:R171,$F$4:$Q$4,0)&gt;0,1,0),0))</f>
        <v>0</v>
      </c>
      <c r="T171" s="7">
        <f t="shared" ca="1" si="75"/>
        <v>37</v>
      </c>
      <c r="U171" s="7">
        <f ca="1">T171+COUNTIF(T$5:$T170,T171)</f>
        <v>183</v>
      </c>
      <c r="Y171" t="s">
        <v>143</v>
      </c>
      <c r="Z171" t="str">
        <f t="shared" ca="1" si="76"/>
        <v>01_006</v>
      </c>
      <c r="AA171" t="s">
        <v>4834</v>
      </c>
      <c r="AB171" t="s">
        <v>4989</v>
      </c>
      <c r="AC171" t="s">
        <v>5248</v>
      </c>
      <c r="AD171" t="s">
        <v>4895</v>
      </c>
      <c r="AE171" t="s">
        <v>4895</v>
      </c>
      <c r="AF171" t="s">
        <v>4895</v>
      </c>
      <c r="AG171" t="s">
        <v>4960</v>
      </c>
      <c r="AH171" t="s">
        <v>5577</v>
      </c>
      <c r="AI171" t="s">
        <v>5577</v>
      </c>
      <c r="AX171" s="28">
        <v>50000</v>
      </c>
      <c r="AY171" s="28" t="s">
        <v>4943</v>
      </c>
      <c r="AZ171" s="28" t="s">
        <v>4866</v>
      </c>
      <c r="BA171" s="28" t="s">
        <v>3432</v>
      </c>
      <c r="BB171" s="28">
        <v>120</v>
      </c>
      <c r="CD171" s="38">
        <v>167</v>
      </c>
      <c r="CE171" s="38">
        <f t="shared" si="42"/>
        <v>3.5407526662233768</v>
      </c>
      <c r="CF171" s="38">
        <f t="shared" si="49"/>
        <v>167.22207</v>
      </c>
      <c r="CG171" s="38">
        <f t="shared" si="39"/>
        <v>168</v>
      </c>
      <c r="CP171" s="40">
        <v>519</v>
      </c>
      <c r="CQ171" s="41" t="s">
        <v>3656</v>
      </c>
      <c r="CR171" s="41" t="s">
        <v>5734</v>
      </c>
      <c r="CS171" s="41">
        <v>600</v>
      </c>
      <c r="CT171" s="41">
        <v>24</v>
      </c>
      <c r="CU171" s="41">
        <v>20</v>
      </c>
      <c r="CV171" s="41">
        <v>15</v>
      </c>
      <c r="CW171" s="40"/>
      <c r="CX171" s="41" t="s">
        <v>4716</v>
      </c>
      <c r="CY171" s="40" t="s">
        <v>3104</v>
      </c>
      <c r="DC171" s="7">
        <f t="shared" ref="DC171" ca="1" si="77">OFFSET(DD171,0,$DC$3-1)</f>
        <v>0</v>
      </c>
    </row>
    <row r="172" spans="4:112" ht="14.6">
      <c r="D172" s="6" t="str">
        <f t="shared" si="43"/>
        <v>研究笔记-&gt;西瓜投手</v>
      </c>
      <c r="E172" s="6" t="str">
        <f t="shared" si="44"/>
        <v>#'5.2研究笔记'!Y180:AK210</v>
      </c>
      <c r="F172" s="6" t="s">
        <v>5735</v>
      </c>
      <c r="G172" s="6" t="s">
        <v>5736</v>
      </c>
      <c r="H172" s="6" t="s">
        <v>5677</v>
      </c>
      <c r="I172" s="7" t="s">
        <v>4782</v>
      </c>
      <c r="J172" s="7" t="str">
        <f t="shared" si="72"/>
        <v>西</v>
      </c>
      <c r="K172" s="7" t="str">
        <f t="shared" si="73"/>
        <v>瓜</v>
      </c>
      <c r="L172" s="7" t="str">
        <f t="shared" si="74"/>
        <v>投</v>
      </c>
      <c r="M172" s="7" t="s">
        <v>4782</v>
      </c>
      <c r="N172" s="7" t="s">
        <v>4782</v>
      </c>
      <c r="O172" s="7" t="s">
        <v>4782</v>
      </c>
      <c r="P172" s="7" t="s">
        <v>4782</v>
      </c>
      <c r="Q172" s="7" t="s">
        <v>4782</v>
      </c>
      <c r="R172" s="7" t="s">
        <v>4782</v>
      </c>
      <c r="S172" s="7">
        <f t="array" ref="S172">SUM(IFERROR(IF(MATCH(I172:R172,$F$4:$Q$4,0)&gt;0,1,0),0))</f>
        <v>0</v>
      </c>
      <c r="T172" s="7">
        <f t="shared" ca="1" si="75"/>
        <v>37</v>
      </c>
      <c r="U172" s="7">
        <f ca="1">T172+COUNTIF(T$5:$T171,T172)</f>
        <v>184</v>
      </c>
      <c r="Y172" t="s">
        <v>15</v>
      </c>
      <c r="Z172" t="str">
        <f t="shared" ca="1" si="76"/>
        <v>09_001</v>
      </c>
      <c r="AA172" t="s">
        <v>4834</v>
      </c>
      <c r="AB172" t="s">
        <v>4784</v>
      </c>
      <c r="AC172" t="s">
        <v>4785</v>
      </c>
      <c r="AD172" t="s">
        <v>4873</v>
      </c>
      <c r="AE172" t="s">
        <v>4941</v>
      </c>
      <c r="AF172" t="s">
        <v>5106</v>
      </c>
      <c r="AG172" t="s">
        <v>5107</v>
      </c>
      <c r="AH172" t="s">
        <v>5108</v>
      </c>
      <c r="AI172" t="s">
        <v>5109</v>
      </c>
      <c r="AX172" s="28">
        <v>3000</v>
      </c>
      <c r="AY172" s="28" t="s">
        <v>5467</v>
      </c>
      <c r="AZ172" s="28" t="s">
        <v>4673</v>
      </c>
      <c r="BA172" s="28" t="s">
        <v>4739</v>
      </c>
      <c r="BB172" s="28">
        <v>20</v>
      </c>
      <c r="CD172" s="38">
        <v>168</v>
      </c>
      <c r="CE172" s="38">
        <f t="shared" si="42"/>
        <v>3.5437377408502426</v>
      </c>
      <c r="CF172" s="38">
        <f t="shared" si="49"/>
        <v>168.22120000000001</v>
      </c>
      <c r="CG172" s="38">
        <f t="shared" si="39"/>
        <v>169</v>
      </c>
      <c r="CP172" s="40">
        <v>520</v>
      </c>
      <c r="CQ172" s="41" t="s">
        <v>3661</v>
      </c>
      <c r="CR172" s="41" t="s">
        <v>5737</v>
      </c>
      <c r="CS172" s="41">
        <v>150</v>
      </c>
      <c r="CT172" s="41">
        <v>3</v>
      </c>
      <c r="CU172" s="41">
        <v>75</v>
      </c>
      <c r="CV172" s="41">
        <v>5</v>
      </c>
      <c r="CW172" s="40"/>
      <c r="CX172" s="41" t="s">
        <v>4716</v>
      </c>
      <c r="CY172" s="40" t="s">
        <v>3096</v>
      </c>
      <c r="DB172" t="s">
        <v>14</v>
      </c>
      <c r="DC172" s="7" t="str">
        <f ca="1">IF($DC$10&gt;0,OFFSET(DD172,0,$DC$10-1),0)</f>
        <v>05_140</v>
      </c>
      <c r="DD172" t="s">
        <v>4880</v>
      </c>
      <c r="DE172" t="s">
        <v>5172</v>
      </c>
      <c r="DF172" t="s">
        <v>5738</v>
      </c>
      <c r="DG172" t="s">
        <v>5739</v>
      </c>
      <c r="DH172" t="s">
        <v>5740</v>
      </c>
    </row>
    <row r="173" spans="4:112" ht="14.6">
      <c r="D173" s="6" t="str">
        <f t="shared" si="43"/>
        <v>研究笔记-&gt;飞盾战神</v>
      </c>
      <c r="E173" s="6" t="str">
        <f t="shared" si="44"/>
        <v>#'5.2研究笔记'!Y212:AK237</v>
      </c>
      <c r="F173" s="6" t="s">
        <v>5741</v>
      </c>
      <c r="G173" s="6" t="s">
        <v>5742</v>
      </c>
      <c r="H173" s="6" t="s">
        <v>5677</v>
      </c>
      <c r="I173" s="7" t="s">
        <v>4782</v>
      </c>
      <c r="J173" s="7" t="str">
        <f t="shared" si="72"/>
        <v>飞</v>
      </c>
      <c r="K173" s="7" t="str">
        <f t="shared" si="73"/>
        <v>盾</v>
      </c>
      <c r="L173" s="7" t="str">
        <f t="shared" si="74"/>
        <v>战</v>
      </c>
      <c r="M173" s="7" t="s">
        <v>4782</v>
      </c>
      <c r="N173" s="7" t="s">
        <v>4782</v>
      </c>
      <c r="O173" s="7" t="s">
        <v>4782</v>
      </c>
      <c r="P173" s="7" t="s">
        <v>4782</v>
      </c>
      <c r="Q173" s="7" t="s">
        <v>4782</v>
      </c>
      <c r="R173" s="7" t="s">
        <v>4782</v>
      </c>
      <c r="S173" s="7">
        <f t="array" ref="S173">SUM(IFERROR(IF(MATCH(I173:R173,$F$4:$Q$4,0)&gt;0,1,0),0))</f>
        <v>1</v>
      </c>
      <c r="T173" s="7">
        <f t="shared" ca="1" si="75"/>
        <v>20</v>
      </c>
      <c r="U173" s="7">
        <f ca="1">T173+COUNTIF(T$5:$T172,T173)</f>
        <v>30</v>
      </c>
      <c r="Y173" t="s">
        <v>60</v>
      </c>
      <c r="Z173" t="str">
        <f t="shared" ca="1" si="76"/>
        <v>09_002</v>
      </c>
      <c r="AA173" t="s">
        <v>4783</v>
      </c>
      <c r="AB173" t="s">
        <v>4783</v>
      </c>
      <c r="AC173" t="s">
        <v>4785</v>
      </c>
      <c r="AD173" t="s">
        <v>4873</v>
      </c>
      <c r="AE173" t="s">
        <v>4757</v>
      </c>
      <c r="AF173" t="s">
        <v>4874</v>
      </c>
      <c r="AG173" t="s">
        <v>4875</v>
      </c>
      <c r="AH173" t="s">
        <v>4905</v>
      </c>
      <c r="AI173" t="s">
        <v>4906</v>
      </c>
      <c r="AX173" s="28">
        <v>7500</v>
      </c>
      <c r="AY173" s="28" t="s">
        <v>4673</v>
      </c>
      <c r="AZ173" s="28" t="s">
        <v>4877</v>
      </c>
      <c r="BA173" s="28" t="s">
        <v>4713</v>
      </c>
      <c r="BB173" s="28">
        <v>40</v>
      </c>
      <c r="CD173" s="38">
        <v>169</v>
      </c>
      <c r="CE173" s="38">
        <f t="shared" si="42"/>
        <v>3.5467050999006879</v>
      </c>
      <c r="CF173" s="38">
        <f t="shared" si="49"/>
        <v>169.22033999999999</v>
      </c>
      <c r="CG173" s="38">
        <f t="shared" si="39"/>
        <v>170</v>
      </c>
      <c r="CP173" s="40">
        <v>521</v>
      </c>
      <c r="CQ173" s="41" t="s">
        <v>3661</v>
      </c>
      <c r="CR173" s="41" t="s">
        <v>5743</v>
      </c>
      <c r="CS173" s="41">
        <v>300</v>
      </c>
      <c r="CT173" s="41">
        <v>8</v>
      </c>
      <c r="CU173" s="41">
        <v>50</v>
      </c>
      <c r="CV173" s="41">
        <v>10</v>
      </c>
      <c r="CW173" s="40"/>
      <c r="CX173" s="41" t="s">
        <v>4716</v>
      </c>
      <c r="CY173" s="40" t="s">
        <v>4717</v>
      </c>
      <c r="DB173" t="s">
        <v>2</v>
      </c>
      <c r="DC173" s="7" t="str">
        <f t="shared" ref="DC173:DC200" ca="1" si="78">IF($DC$10&gt;0,OFFSET(DD173,0,$DC$10-1),0)</f>
        <v>05_008</v>
      </c>
      <c r="DD173" t="s">
        <v>4960</v>
      </c>
      <c r="DE173" t="s">
        <v>5088</v>
      </c>
      <c r="DF173" t="s">
        <v>5095</v>
      </c>
      <c r="DG173" t="s">
        <v>4992</v>
      </c>
      <c r="DH173" t="s">
        <v>4993</v>
      </c>
    </row>
    <row r="174" spans="4:112" ht="14.6">
      <c r="D174" s="6" t="str">
        <f t="shared" si="43"/>
        <v>研究笔记-&gt;毒药法术</v>
      </c>
      <c r="E174" s="6" t="str">
        <f t="shared" si="44"/>
        <v>#'5.2研究笔记'!Y241:AM338</v>
      </c>
      <c r="F174" s="6" t="s">
        <v>5744</v>
      </c>
      <c r="G174" s="6" t="s">
        <v>5745</v>
      </c>
      <c r="H174" s="6" t="s">
        <v>5677</v>
      </c>
      <c r="I174" s="7" t="s">
        <v>5037</v>
      </c>
      <c r="J174" s="7" t="s">
        <v>5244</v>
      </c>
      <c r="K174" s="7" t="s">
        <v>5260</v>
      </c>
      <c r="L174" s="7" t="s">
        <v>5261</v>
      </c>
      <c r="M174" s="7" t="s">
        <v>5260</v>
      </c>
      <c r="N174" s="7" t="s">
        <v>5261</v>
      </c>
      <c r="O174" s="7" t="s">
        <v>4782</v>
      </c>
      <c r="P174" s="7" t="s">
        <v>4782</v>
      </c>
      <c r="Q174" s="7" t="s">
        <v>4782</v>
      </c>
      <c r="R174" s="7" t="s">
        <v>4782</v>
      </c>
      <c r="S174" s="7">
        <f t="array" ref="S174">SUM(IFERROR(IF(MATCH(I174:R174,$F$4:$Q$4,0)&gt;0,1,0),0))</f>
        <v>0</v>
      </c>
      <c r="T174" s="7">
        <f t="shared" ca="1" si="75"/>
        <v>37</v>
      </c>
      <c r="U174" s="7">
        <f ca="1">T174+COUNTIF(T$5:$T173,T174)</f>
        <v>185</v>
      </c>
      <c r="Y174" t="s">
        <v>55</v>
      </c>
      <c r="Z174" t="str">
        <f t="shared" ca="1" si="76"/>
        <v>09_003</v>
      </c>
      <c r="AA174" t="s">
        <v>4834</v>
      </c>
      <c r="AB174" t="s">
        <v>4784</v>
      </c>
      <c r="AC174" t="s">
        <v>4785</v>
      </c>
      <c r="AD174" t="s">
        <v>4873</v>
      </c>
      <c r="AE174" t="s">
        <v>4757</v>
      </c>
      <c r="AF174" t="s">
        <v>4874</v>
      </c>
      <c r="AG174" t="s">
        <v>4875</v>
      </c>
      <c r="AH174" t="s">
        <v>4930</v>
      </c>
      <c r="AI174" t="s">
        <v>4931</v>
      </c>
      <c r="AX174" s="28">
        <v>12000</v>
      </c>
      <c r="AY174" s="28" t="s">
        <v>4845</v>
      </c>
      <c r="AZ174" s="28" t="s">
        <v>5569</v>
      </c>
      <c r="BA174" s="28" t="s">
        <v>4714</v>
      </c>
      <c r="BB174" s="28">
        <v>60</v>
      </c>
      <c r="CD174" s="38">
        <v>170</v>
      </c>
      <c r="CE174" s="38">
        <f t="shared" si="42"/>
        <v>3.5496549524080625</v>
      </c>
      <c r="CF174" s="38">
        <f t="shared" si="49"/>
        <v>170.21949000000001</v>
      </c>
      <c r="CG174" s="38">
        <f t="shared" si="39"/>
        <v>171</v>
      </c>
      <c r="CP174" s="40">
        <v>522</v>
      </c>
      <c r="CQ174" s="41" t="s">
        <v>3661</v>
      </c>
      <c r="CR174" s="41" t="s">
        <v>5746</v>
      </c>
      <c r="CS174" s="41">
        <v>600</v>
      </c>
      <c r="CT174" s="41">
        <v>24</v>
      </c>
      <c r="CU174" s="41">
        <v>25</v>
      </c>
      <c r="CV174" s="41">
        <v>15</v>
      </c>
      <c r="CW174" s="40"/>
      <c r="CX174" s="41" t="s">
        <v>4716</v>
      </c>
      <c r="CY174" s="40" t="s">
        <v>3104</v>
      </c>
      <c r="DB174" t="s">
        <v>177</v>
      </c>
      <c r="DC174" s="7" t="str">
        <f t="shared" ca="1" si="78"/>
        <v>05_013</v>
      </c>
      <c r="DD174" t="s">
        <v>5747</v>
      </c>
      <c r="DE174" t="s">
        <v>5514</v>
      </c>
      <c r="DF174" t="s">
        <v>5630</v>
      </c>
      <c r="DG174" t="s">
        <v>5631</v>
      </c>
      <c r="DH174" t="s">
        <v>5632</v>
      </c>
    </row>
    <row r="175" spans="4:112" ht="14.6">
      <c r="D175" s="6" t="str">
        <f t="shared" si="43"/>
        <v>研究笔记-&gt;武神</v>
      </c>
      <c r="E175" s="6" t="str">
        <f t="shared" si="44"/>
        <v>#'5.2研究笔记'!Y32:AK59</v>
      </c>
      <c r="F175" s="6" t="s">
        <v>5748</v>
      </c>
      <c r="G175" s="6" t="s">
        <v>5749</v>
      </c>
      <c r="H175" s="6" t="s">
        <v>5677</v>
      </c>
      <c r="I175" s="7" t="s">
        <v>4782</v>
      </c>
      <c r="J175" s="7" t="str">
        <f>MID(F175,4,1)</f>
        <v>武</v>
      </c>
      <c r="K175" s="7" t="s">
        <v>4782</v>
      </c>
      <c r="L175" s="7" t="s">
        <v>4782</v>
      </c>
      <c r="M175" s="7" t="s">
        <v>4782</v>
      </c>
      <c r="N175" s="7" t="s">
        <v>4782</v>
      </c>
      <c r="O175" s="7" t="s">
        <v>4782</v>
      </c>
      <c r="P175" s="7" t="s">
        <v>4782</v>
      </c>
      <c r="Q175" s="7" t="s">
        <v>4782</v>
      </c>
      <c r="R175" s="7" t="s">
        <v>4782</v>
      </c>
      <c r="S175" s="7">
        <f t="array" ref="S175">SUM(IFERROR(IF(MATCH(I175:R175,$F$4:$Q$4,0)&gt;0,1,0),0))</f>
        <v>0</v>
      </c>
      <c r="T175" s="7">
        <f t="shared" ca="1" si="75"/>
        <v>37</v>
      </c>
      <c r="U175" s="7">
        <f ca="1">T175+COUNTIF(T$5:$T174,T175)</f>
        <v>186</v>
      </c>
      <c r="Y175" t="s">
        <v>5750</v>
      </c>
      <c r="Z175" t="str">
        <f t="shared" ca="1" si="76"/>
        <v>09_002</v>
      </c>
      <c r="AA175" t="s">
        <v>4783</v>
      </c>
      <c r="AB175" t="s">
        <v>4783</v>
      </c>
      <c r="AC175" t="s">
        <v>4785</v>
      </c>
      <c r="AD175" t="s">
        <v>4873</v>
      </c>
      <c r="AE175" t="s">
        <v>4757</v>
      </c>
      <c r="AF175" t="s">
        <v>4874</v>
      </c>
      <c r="AG175" t="s">
        <v>4875</v>
      </c>
      <c r="AH175" t="s">
        <v>4905</v>
      </c>
      <c r="AI175" t="s">
        <v>4906</v>
      </c>
      <c r="AX175" s="28">
        <v>18000</v>
      </c>
      <c r="AY175" s="28" t="s">
        <v>4945</v>
      </c>
      <c r="AZ175" s="28" t="s">
        <v>4689</v>
      </c>
      <c r="BA175" s="28" t="s">
        <v>5591</v>
      </c>
      <c r="BB175" s="28">
        <v>80</v>
      </c>
      <c r="CD175" s="38">
        <v>171</v>
      </c>
      <c r="CE175" s="38">
        <f t="shared" si="42"/>
        <v>3.5525875037277106</v>
      </c>
      <c r="CF175" s="38">
        <f t="shared" si="49"/>
        <v>171.21863999999999</v>
      </c>
      <c r="CG175" s="38">
        <f t="shared" si="39"/>
        <v>172</v>
      </c>
      <c r="CP175" s="40">
        <v>523</v>
      </c>
      <c r="CQ175" s="41" t="s">
        <v>3666</v>
      </c>
      <c r="CR175" s="41" t="s">
        <v>5751</v>
      </c>
      <c r="CS175" s="41">
        <v>150</v>
      </c>
      <c r="CT175" s="41">
        <v>3</v>
      </c>
      <c r="CU175" s="41">
        <v>20</v>
      </c>
      <c r="CV175" s="41">
        <v>5</v>
      </c>
      <c r="CW175" s="40"/>
      <c r="CX175" s="41" t="s">
        <v>4716</v>
      </c>
      <c r="CY175" s="40" t="s">
        <v>3096</v>
      </c>
      <c r="DB175" t="s">
        <v>26</v>
      </c>
      <c r="DC175" s="7" t="str">
        <f t="shared" ca="1" si="78"/>
        <v>05_007</v>
      </c>
      <c r="DD175" t="s">
        <v>4895</v>
      </c>
      <c r="DE175" t="s">
        <v>5094</v>
      </c>
      <c r="DF175" t="s">
        <v>4990</v>
      </c>
      <c r="DG175" t="s">
        <v>5059</v>
      </c>
      <c r="DH175" t="s">
        <v>5197</v>
      </c>
    </row>
    <row r="176" spans="4:112" ht="14.6">
      <c r="D176" s="6" t="str">
        <f t="shared" si="43"/>
        <v>研究笔记-&gt;炸弹人</v>
      </c>
      <c r="E176" s="6" t="str">
        <f t="shared" si="44"/>
        <v>#'5.2研究笔记'!Y391:AI449</v>
      </c>
      <c r="F176" s="6" t="s">
        <v>5752</v>
      </c>
      <c r="G176" s="6" t="s">
        <v>5753</v>
      </c>
      <c r="H176" s="6" t="s">
        <v>5677</v>
      </c>
      <c r="I176" s="7" t="s">
        <v>5015</v>
      </c>
      <c r="J176" s="7" t="s">
        <v>5016</v>
      </c>
      <c r="K176" s="7" t="s">
        <v>4831</v>
      </c>
      <c r="L176" s="7" t="s">
        <v>4782</v>
      </c>
      <c r="M176" s="7" t="s">
        <v>4782</v>
      </c>
      <c r="N176" s="7" t="s">
        <v>4782</v>
      </c>
      <c r="O176" s="7" t="s">
        <v>4782</v>
      </c>
      <c r="P176" s="7" t="s">
        <v>4782</v>
      </c>
      <c r="Q176" s="7" t="s">
        <v>4782</v>
      </c>
      <c r="R176" s="7" t="s">
        <v>4782</v>
      </c>
      <c r="S176" s="7">
        <f t="array" ref="S176">SUM(IFERROR(IF(MATCH(I176:R176,$F$4:$Q$4,0)&gt;0,1,0),0))</f>
        <v>0</v>
      </c>
      <c r="T176" s="7">
        <f t="shared" ca="1" si="75"/>
        <v>37</v>
      </c>
      <c r="U176" s="7">
        <f ca="1">T176+COUNTIF(T$5:$T175,T176)</f>
        <v>187</v>
      </c>
      <c r="Y176" t="s">
        <v>64</v>
      </c>
      <c r="Z176" t="str">
        <f t="shared" ca="1" si="76"/>
        <v>09_003</v>
      </c>
      <c r="AA176" t="s">
        <v>4834</v>
      </c>
      <c r="AB176" t="s">
        <v>4784</v>
      </c>
      <c r="AC176" t="s">
        <v>4785</v>
      </c>
      <c r="AD176" t="s">
        <v>4873</v>
      </c>
      <c r="AE176" t="s">
        <v>4757</v>
      </c>
      <c r="AF176" t="s">
        <v>4874</v>
      </c>
      <c r="AG176" t="s">
        <v>4875</v>
      </c>
      <c r="AH176" t="s">
        <v>4930</v>
      </c>
      <c r="AI176" t="s">
        <v>4931</v>
      </c>
      <c r="AX176" s="28">
        <v>30000</v>
      </c>
      <c r="AY176" s="28" t="s">
        <v>5643</v>
      </c>
      <c r="AZ176" s="28" t="s">
        <v>5151</v>
      </c>
      <c r="BA176" s="28" t="s">
        <v>4855</v>
      </c>
      <c r="BB176" s="28">
        <v>100</v>
      </c>
      <c r="CD176" s="38">
        <v>172</v>
      </c>
      <c r="CE176" s="38">
        <f t="shared" si="42"/>
        <v>3.5555029556227544</v>
      </c>
      <c r="CF176" s="38">
        <f t="shared" si="49"/>
        <v>172.21779000000001</v>
      </c>
      <c r="CG176" s="38">
        <f t="shared" si="39"/>
        <v>173</v>
      </c>
      <c r="CP176" s="40">
        <v>524</v>
      </c>
      <c r="CQ176" s="41" t="s">
        <v>3666</v>
      </c>
      <c r="CR176" s="41" t="s">
        <v>5754</v>
      </c>
      <c r="CS176" s="41">
        <v>300</v>
      </c>
      <c r="CT176" s="41">
        <v>8</v>
      </c>
      <c r="CU176" s="41">
        <v>10</v>
      </c>
      <c r="CV176" s="41">
        <v>10</v>
      </c>
      <c r="CW176" s="40"/>
      <c r="CX176" s="41" t="s">
        <v>4716</v>
      </c>
      <c r="CY176" s="40" t="s">
        <v>4717</v>
      </c>
      <c r="DB176" t="s">
        <v>178</v>
      </c>
      <c r="DC176" s="7">
        <f t="shared" ca="1" si="78"/>
        <v>0</v>
      </c>
    </row>
    <row r="177" spans="4:112" ht="14.6">
      <c r="D177" s="6" t="str">
        <f t="shared" si="43"/>
        <v>研究笔记-&gt;天使</v>
      </c>
      <c r="E177" s="6" t="str">
        <f t="shared" si="44"/>
        <v>#'5.2研究笔记'!Y4:AK30</v>
      </c>
      <c r="F177" s="6" t="s">
        <v>5755</v>
      </c>
      <c r="G177" s="6" t="s">
        <v>5756</v>
      </c>
      <c r="H177" s="6" t="s">
        <v>5677</v>
      </c>
      <c r="I177" s="7" t="s">
        <v>4782</v>
      </c>
      <c r="J177" s="7" t="str">
        <f>MID(F177,4,1)</f>
        <v>天</v>
      </c>
      <c r="K177" s="7" t="s">
        <v>4782</v>
      </c>
      <c r="L177" s="7" t="s">
        <v>4782</v>
      </c>
      <c r="M177" s="7" t="s">
        <v>4782</v>
      </c>
      <c r="N177" s="7" t="s">
        <v>4782</v>
      </c>
      <c r="O177" s="7" t="s">
        <v>4782</v>
      </c>
      <c r="P177" s="7" t="s">
        <v>4782</v>
      </c>
      <c r="Q177" s="7" t="s">
        <v>4782</v>
      </c>
      <c r="R177" s="7" t="s">
        <v>4782</v>
      </c>
      <c r="S177" s="7">
        <f t="array" ref="S177">SUM(IFERROR(IF(MATCH(I177:R177,$F$4:$Q$4,0)&gt;0,1,0),0))</f>
        <v>0</v>
      </c>
      <c r="T177" s="7">
        <f t="shared" ca="1" si="75"/>
        <v>37</v>
      </c>
      <c r="U177" s="7">
        <f ca="1">T177+COUNTIF(T$5:$T176,T177)</f>
        <v>188</v>
      </c>
      <c r="Y177" t="s">
        <v>154</v>
      </c>
      <c r="Z177" t="str">
        <f t="shared" ca="1" si="76"/>
        <v>09_001</v>
      </c>
      <c r="AA177" t="s">
        <v>4783</v>
      </c>
      <c r="AB177" t="s">
        <v>4783</v>
      </c>
      <c r="AC177" t="s">
        <v>4785</v>
      </c>
      <c r="AD177" t="s">
        <v>4873</v>
      </c>
      <c r="AE177" t="s">
        <v>4941</v>
      </c>
      <c r="AF177" t="s">
        <v>5106</v>
      </c>
      <c r="AG177" t="s">
        <v>5107</v>
      </c>
      <c r="AH177" t="s">
        <v>5108</v>
      </c>
      <c r="AI177" t="s">
        <v>5109</v>
      </c>
      <c r="AX177" s="28">
        <v>50000</v>
      </c>
      <c r="AY177" s="28" t="s">
        <v>4750</v>
      </c>
      <c r="AZ177" s="28" t="s">
        <v>4751</v>
      </c>
      <c r="BA177" s="28" t="s">
        <v>3432</v>
      </c>
      <c r="BB177" s="28">
        <v>120</v>
      </c>
      <c r="CD177" s="38">
        <v>173</v>
      </c>
      <c r="CE177" s="38">
        <f t="shared" si="42"/>
        <v>3.5584015063473919</v>
      </c>
      <c r="CF177" s="38">
        <f t="shared" si="49"/>
        <v>173.21695</v>
      </c>
      <c r="CG177" s="38">
        <f t="shared" si="39"/>
        <v>174</v>
      </c>
      <c r="CP177" s="40">
        <v>525</v>
      </c>
      <c r="CQ177" s="41" t="s">
        <v>3666</v>
      </c>
      <c r="CR177" s="41" t="s">
        <v>5757</v>
      </c>
      <c r="CS177" s="41">
        <v>600</v>
      </c>
      <c r="CT177" s="41">
        <v>24</v>
      </c>
      <c r="CU177" s="41">
        <v>5</v>
      </c>
      <c r="CV177" s="41">
        <v>15</v>
      </c>
      <c r="CW177" s="40"/>
      <c r="CX177" s="41" t="s">
        <v>4716</v>
      </c>
      <c r="CY177" s="40" t="s">
        <v>3104</v>
      </c>
      <c r="DB177" t="s">
        <v>49</v>
      </c>
      <c r="DC177" s="7" t="str">
        <f t="shared" ca="1" si="78"/>
        <v>05_003</v>
      </c>
      <c r="DD177" t="s">
        <v>4989</v>
      </c>
      <c r="DE177" t="s">
        <v>5206</v>
      </c>
      <c r="DF177" t="s">
        <v>5073</v>
      </c>
      <c r="DG177" t="s">
        <v>4920</v>
      </c>
      <c r="DH177" t="s">
        <v>4835</v>
      </c>
    </row>
    <row r="178" spans="4:112" ht="14.6">
      <c r="D178" s="6" t="str">
        <f t="shared" si="43"/>
        <v>研究笔记-&gt;天鹰火炮</v>
      </c>
      <c r="E178" s="6" t="str">
        <f t="shared" si="44"/>
        <v>#'5.2研究笔记'!Y454:AK509</v>
      </c>
      <c r="F178" s="7" t="s">
        <v>2236</v>
      </c>
      <c r="G178" s="7" t="s">
        <v>5758</v>
      </c>
      <c r="H178" s="6" t="s">
        <v>5677</v>
      </c>
      <c r="I178" s="7" t="s">
        <v>2042</v>
      </c>
      <c r="J178" s="7" t="s">
        <v>5326</v>
      </c>
      <c r="K178" s="7" t="s">
        <v>5149</v>
      </c>
      <c r="L178" s="7" t="s">
        <v>5327</v>
      </c>
      <c r="M178" s="7" t="s">
        <v>4782</v>
      </c>
      <c r="N178" s="7" t="s">
        <v>4782</v>
      </c>
      <c r="O178" s="7" t="s">
        <v>4782</v>
      </c>
      <c r="P178" s="7" t="s">
        <v>4782</v>
      </c>
      <c r="Q178" s="7" t="s">
        <v>4782</v>
      </c>
      <c r="R178" s="7" t="s">
        <v>4782</v>
      </c>
      <c r="S178" s="7">
        <f t="array" ref="S178">SUM(IFERROR(IF(MATCH(I178:R178,$F$4:$Q$4,0)&gt;0,1,0),0))</f>
        <v>0</v>
      </c>
      <c r="T178" s="7">
        <f t="shared" ca="1" si="75"/>
        <v>37</v>
      </c>
      <c r="U178" s="7">
        <f ca="1">T178+COUNTIF(T$5:$T177,T178)</f>
        <v>189</v>
      </c>
      <c r="Y178" t="s">
        <v>157</v>
      </c>
      <c r="Z178" t="str">
        <f t="shared" ca="1" si="76"/>
        <v>09_001</v>
      </c>
      <c r="AA178" t="s">
        <v>4783</v>
      </c>
      <c r="AB178" t="s">
        <v>4783</v>
      </c>
      <c r="AC178" t="s">
        <v>4783</v>
      </c>
      <c r="AD178" t="s">
        <v>4873</v>
      </c>
      <c r="AE178" t="s">
        <v>4941</v>
      </c>
      <c r="AF178" t="s">
        <v>5106</v>
      </c>
      <c r="AG178" t="s">
        <v>5107</v>
      </c>
      <c r="AH178" t="s">
        <v>5108</v>
      </c>
      <c r="AI178" t="s">
        <v>5109</v>
      </c>
      <c r="AX178" s="28">
        <v>3000</v>
      </c>
      <c r="AY178" s="28" t="s">
        <v>5467</v>
      </c>
      <c r="AZ178" s="28" t="s">
        <v>4878</v>
      </c>
      <c r="BA178" s="28" t="s">
        <v>4794</v>
      </c>
      <c r="BB178" s="28">
        <v>20</v>
      </c>
      <c r="CD178" s="38">
        <v>174</v>
      </c>
      <c r="CE178" s="38">
        <f t="shared" si="42"/>
        <v>3.5612833507277952</v>
      </c>
      <c r="CF178" s="38">
        <f t="shared" si="49"/>
        <v>174.21611999999999</v>
      </c>
      <c r="CG178" s="38">
        <f t="shared" si="39"/>
        <v>175</v>
      </c>
      <c r="CP178" s="40">
        <v>526</v>
      </c>
      <c r="CQ178" s="41" t="s">
        <v>3671</v>
      </c>
      <c r="CR178" s="41" t="s">
        <v>5759</v>
      </c>
      <c r="CS178" s="41">
        <v>100</v>
      </c>
      <c r="CT178" s="41">
        <v>3</v>
      </c>
      <c r="CU178" s="41">
        <v>75</v>
      </c>
      <c r="CV178" s="41">
        <v>5</v>
      </c>
      <c r="CW178" s="40"/>
      <c r="CX178" s="41" t="s">
        <v>4716</v>
      </c>
      <c r="CY178" s="40" t="s">
        <v>3096</v>
      </c>
      <c r="DB178" t="s">
        <v>179</v>
      </c>
      <c r="DC178" s="7" t="str">
        <f t="shared" ca="1" si="78"/>
        <v>05_004</v>
      </c>
      <c r="DD178" t="s">
        <v>4989</v>
      </c>
      <c r="DE178" t="s">
        <v>5206</v>
      </c>
      <c r="DF178" t="s">
        <v>4897</v>
      </c>
      <c r="DG178" t="s">
        <v>5050</v>
      </c>
      <c r="DH178" t="s">
        <v>4921</v>
      </c>
    </row>
    <row r="179" spans="4:112" ht="14.6">
      <c r="D179" s="6" t="str">
        <f t="shared" si="43"/>
        <v>研究笔记-&gt;冰冻法术</v>
      </c>
      <c r="E179" s="6" t="str">
        <f t="shared" si="44"/>
        <v>#'5.2研究笔记'!Y60:AK89</v>
      </c>
      <c r="F179" s="6" t="s">
        <v>5760</v>
      </c>
      <c r="G179" s="6" t="s">
        <v>5761</v>
      </c>
      <c r="H179" s="6" t="s">
        <v>5677</v>
      </c>
      <c r="I179" s="7" t="s">
        <v>4782</v>
      </c>
      <c r="J179" s="7" t="str">
        <f>MID(F179,4,1)</f>
        <v>冰</v>
      </c>
      <c r="K179" s="7" t="str">
        <f>MID(F179,5,1)</f>
        <v>冻</v>
      </c>
      <c r="L179" s="7" t="str">
        <f>MID(F179,6,1)</f>
        <v>法</v>
      </c>
      <c r="M179" s="7" t="s">
        <v>4782</v>
      </c>
      <c r="N179" s="7" t="s">
        <v>4782</v>
      </c>
      <c r="O179" s="7" t="s">
        <v>4782</v>
      </c>
      <c r="P179" s="7" t="s">
        <v>4782</v>
      </c>
      <c r="Q179" s="7" t="s">
        <v>4782</v>
      </c>
      <c r="R179" s="7" t="s">
        <v>4782</v>
      </c>
      <c r="S179" s="7">
        <f t="array" ref="S179">SUM(IFERROR(IF(MATCH(I179:R179,$F$4:$Q$4,0)&gt;0,1,0),0))</f>
        <v>0</v>
      </c>
      <c r="T179" s="7">
        <f t="shared" ca="1" si="75"/>
        <v>37</v>
      </c>
      <c r="U179" s="7">
        <f ca="1">T179+COUNTIF(T$5:$T178,T179)</f>
        <v>190</v>
      </c>
      <c r="Y179" t="s">
        <v>162</v>
      </c>
      <c r="Z179" t="str">
        <f t="shared" ca="1" si="76"/>
        <v>09_005</v>
      </c>
      <c r="AA179" t="s">
        <v>4783</v>
      </c>
      <c r="AB179" t="s">
        <v>4784</v>
      </c>
      <c r="AC179" t="s">
        <v>4755</v>
      </c>
      <c r="AD179" t="s">
        <v>4920</v>
      </c>
      <c r="AE179" t="s">
        <v>4921</v>
      </c>
      <c r="AF179" t="s">
        <v>4836</v>
      </c>
      <c r="AG179" t="s">
        <v>4837</v>
      </c>
      <c r="AH179" t="s">
        <v>4760</v>
      </c>
      <c r="AI179" t="s">
        <v>5762</v>
      </c>
      <c r="AX179" s="28">
        <v>7500</v>
      </c>
      <c r="AY179" s="28" t="s">
        <v>4713</v>
      </c>
      <c r="AZ179" s="28" t="s">
        <v>4739</v>
      </c>
      <c r="BA179" s="28" t="s">
        <v>5538</v>
      </c>
      <c r="BB179" s="28">
        <v>40</v>
      </c>
      <c r="CD179" s="38">
        <v>175</v>
      </c>
      <c r="CE179" s="38">
        <f t="shared" si="42"/>
        <v>3.5641486802406894</v>
      </c>
      <c r="CF179" s="38">
        <f t="shared" si="49"/>
        <v>175.21529000000001</v>
      </c>
      <c r="CG179" s="38">
        <f t="shared" si="39"/>
        <v>176</v>
      </c>
      <c r="CP179" s="40">
        <v>527</v>
      </c>
      <c r="CQ179" s="41" t="s">
        <v>3671</v>
      </c>
      <c r="CR179" s="41" t="s">
        <v>5763</v>
      </c>
      <c r="CS179" s="41">
        <v>200</v>
      </c>
      <c r="CT179" s="41">
        <v>8</v>
      </c>
      <c r="CU179" s="41">
        <v>50</v>
      </c>
      <c r="CV179" s="41">
        <v>10</v>
      </c>
      <c r="CW179" s="40"/>
      <c r="CX179" s="41" t="s">
        <v>4716</v>
      </c>
      <c r="CY179" s="40" t="s">
        <v>4717</v>
      </c>
      <c r="DB179" t="s">
        <v>153</v>
      </c>
      <c r="DC179" s="7" t="str">
        <f t="shared" ca="1" si="78"/>
        <v>05_002</v>
      </c>
      <c r="DD179" t="s">
        <v>4989</v>
      </c>
      <c r="DE179" t="s">
        <v>4754</v>
      </c>
      <c r="DF179" t="s">
        <v>4755</v>
      </c>
      <c r="DG179" t="s">
        <v>4756</v>
      </c>
      <c r="DH179" t="s">
        <v>4757</v>
      </c>
    </row>
    <row r="180" spans="4:112" ht="14.6">
      <c r="D180" s="6" t="str">
        <f t="shared" si="43"/>
        <v>小工具-&gt;商人售卖计算</v>
      </c>
      <c r="E180" s="6" t="str">
        <f t="shared" si="44"/>
        <v>#'5.3小工具'!D1:AG49</v>
      </c>
      <c r="F180" s="6" t="s">
        <v>5764</v>
      </c>
      <c r="G180" s="6" t="s">
        <v>5765</v>
      </c>
      <c r="H180" s="6" t="s">
        <v>5766</v>
      </c>
      <c r="I180" s="7" t="s">
        <v>4782</v>
      </c>
      <c r="J180" s="7" t="str">
        <f>MID(F180,4,1)</f>
        <v>商</v>
      </c>
      <c r="K180" s="7" t="str">
        <f>MID(F180,5,1)</f>
        <v>人</v>
      </c>
      <c r="L180" s="7" t="str">
        <f>MID(F180,6,1)</f>
        <v>售</v>
      </c>
      <c r="M180" s="7" t="s">
        <v>5767</v>
      </c>
      <c r="N180" s="7" t="s">
        <v>5768</v>
      </c>
      <c r="O180" s="7" t="s">
        <v>4782</v>
      </c>
      <c r="P180" s="7" t="s">
        <v>4782</v>
      </c>
      <c r="Q180" s="7" t="s">
        <v>4782</v>
      </c>
      <c r="R180" s="7" t="s">
        <v>4782</v>
      </c>
      <c r="S180" s="7">
        <f t="array" ref="S180">SUM(IFERROR(IF(MATCH(I180:R180,$F$4:$Q$4,0)&gt;0,1,0),0))</f>
        <v>0</v>
      </c>
      <c r="T180" s="7">
        <f t="shared" ca="1" si="75"/>
        <v>37</v>
      </c>
      <c r="U180" s="7">
        <f ca="1">T180+COUNTIF(T$5:$T179,T180)</f>
        <v>191</v>
      </c>
      <c r="Y180" t="s">
        <v>116</v>
      </c>
      <c r="Z180" t="str">
        <f t="shared" ca="1" si="76"/>
        <v>04_006</v>
      </c>
      <c r="AA180" t="s">
        <v>4783</v>
      </c>
      <c r="AB180" t="s">
        <v>4783</v>
      </c>
      <c r="AC180" t="s">
        <v>4989</v>
      </c>
      <c r="AD180" t="s">
        <v>4754</v>
      </c>
      <c r="AE180" t="s">
        <v>5206</v>
      </c>
      <c r="AF180" t="s">
        <v>5073</v>
      </c>
      <c r="AG180" t="s">
        <v>5073</v>
      </c>
      <c r="AH180" t="s">
        <v>4898</v>
      </c>
      <c r="AI180" t="s">
        <v>4899</v>
      </c>
      <c r="AX180" s="28">
        <v>12000</v>
      </c>
      <c r="AY180" s="28" t="s">
        <v>4770</v>
      </c>
      <c r="AZ180" s="28" t="s">
        <v>4771</v>
      </c>
      <c r="BA180" s="28" t="s">
        <v>5468</v>
      </c>
      <c r="BB180" s="28">
        <v>60</v>
      </c>
      <c r="CD180" s="38">
        <v>176</v>
      </c>
      <c r="CE180" s="38">
        <f t="shared" si="42"/>
        <v>3.5669976830896921</v>
      </c>
      <c r="CF180" s="38">
        <f t="shared" si="49"/>
        <v>176.21446</v>
      </c>
      <c r="CG180" s="38">
        <f t="shared" si="39"/>
        <v>177</v>
      </c>
      <c r="CP180" s="40">
        <v>528</v>
      </c>
      <c r="CQ180" s="41" t="s">
        <v>3671</v>
      </c>
      <c r="CR180" s="41" t="s">
        <v>5769</v>
      </c>
      <c r="CS180" s="41">
        <v>400</v>
      </c>
      <c r="CT180" s="41">
        <v>24</v>
      </c>
      <c r="CU180" s="41">
        <v>25</v>
      </c>
      <c r="CV180" s="41">
        <v>15</v>
      </c>
      <c r="CW180" s="40"/>
      <c r="CX180" s="41" t="s">
        <v>4716</v>
      </c>
      <c r="CY180" s="40" t="s">
        <v>3104</v>
      </c>
      <c r="DB180" t="s">
        <v>59</v>
      </c>
      <c r="DC180" s="7" t="str">
        <f t="shared" ca="1" si="78"/>
        <v>05_002</v>
      </c>
      <c r="DD180" t="s">
        <v>4834</v>
      </c>
      <c r="DE180" t="s">
        <v>4754</v>
      </c>
      <c r="DF180" t="s">
        <v>4755</v>
      </c>
      <c r="DG180" t="s">
        <v>4756</v>
      </c>
      <c r="DH180" t="s">
        <v>4757</v>
      </c>
    </row>
    <row r="181" spans="4:112" ht="14.6">
      <c r="D181" s="6" t="str">
        <f t="shared" si="43"/>
        <v>小工具-&gt;宝石消耗/价值</v>
      </c>
      <c r="E181" s="6" t="str">
        <f t="shared" si="44"/>
        <v>#'5.3小工具'!D53:L68</v>
      </c>
      <c r="F181" s="42" t="s">
        <v>5770</v>
      </c>
      <c r="G181" s="42" t="s">
        <v>5771</v>
      </c>
      <c r="H181" s="42" t="s">
        <v>5766</v>
      </c>
      <c r="I181" s="7" t="s">
        <v>4782</v>
      </c>
      <c r="J181" s="44" t="str">
        <f>MID(F181,4,1)</f>
        <v>宝</v>
      </c>
      <c r="K181" s="44" t="str">
        <f>MID(F181,5,1)</f>
        <v>石</v>
      </c>
      <c r="L181" s="44" t="str">
        <f>MID(F181,6,1)</f>
        <v>消</v>
      </c>
      <c r="M181" s="44" t="s">
        <v>5772</v>
      </c>
      <c r="N181" s="44" t="s">
        <v>4697</v>
      </c>
      <c r="O181" s="44" t="s">
        <v>4782</v>
      </c>
      <c r="P181" s="44" t="s">
        <v>4782</v>
      </c>
      <c r="Q181" s="44" t="s">
        <v>4782</v>
      </c>
      <c r="R181" s="44" t="s">
        <v>4782</v>
      </c>
      <c r="S181" s="44">
        <f t="array" ref="S181">SUM(IFERROR(IF(MATCH(I181:R181,$F$4:$Q$4,0)&gt;0,1,0),0))</f>
        <v>0</v>
      </c>
      <c r="T181" s="44">
        <f t="shared" ca="1" si="75"/>
        <v>37</v>
      </c>
      <c r="U181" s="7">
        <f ca="1">T181+COUNTIF(T$5:$T180,T181)</f>
        <v>192</v>
      </c>
      <c r="Y181" t="s">
        <v>166</v>
      </c>
      <c r="Z181" t="str">
        <f t="shared" ca="1" si="76"/>
        <v>09_005</v>
      </c>
      <c r="AA181" t="s">
        <v>4783</v>
      </c>
      <c r="AB181" t="s">
        <v>4783</v>
      </c>
      <c r="AC181" t="s">
        <v>4755</v>
      </c>
      <c r="AD181" t="s">
        <v>4920</v>
      </c>
      <c r="AE181" t="s">
        <v>4921</v>
      </c>
      <c r="AF181" t="s">
        <v>5773</v>
      </c>
      <c r="AG181" t="s">
        <v>5774</v>
      </c>
      <c r="AH181" t="s">
        <v>4760</v>
      </c>
      <c r="AI181" t="s">
        <v>5762</v>
      </c>
      <c r="AX181" s="28">
        <v>18000</v>
      </c>
      <c r="AY181" s="28" t="s">
        <v>5693</v>
      </c>
      <c r="AZ181" s="28" t="s">
        <v>5117</v>
      </c>
      <c r="BA181" s="28" t="s">
        <v>4845</v>
      </c>
      <c r="BB181" s="28">
        <v>80</v>
      </c>
      <c r="CD181" s="38">
        <v>177</v>
      </c>
      <c r="CE181" s="38">
        <f t="shared" si="42"/>
        <v>3.569830544279494</v>
      </c>
      <c r="CF181" s="38">
        <f t="shared" si="49"/>
        <v>177.21364</v>
      </c>
      <c r="CG181" s="38">
        <f t="shared" si="39"/>
        <v>178</v>
      </c>
      <c r="CP181" s="40">
        <v>529</v>
      </c>
      <c r="CQ181" s="41" t="s">
        <v>3676</v>
      </c>
      <c r="CR181" s="41" t="s">
        <v>5775</v>
      </c>
      <c r="CS181" s="41">
        <v>150</v>
      </c>
      <c r="CT181" s="41">
        <v>3</v>
      </c>
      <c r="CU181" s="41">
        <v>60</v>
      </c>
      <c r="CV181" s="41">
        <v>5</v>
      </c>
      <c r="CW181" s="40"/>
      <c r="CX181" s="41" t="s">
        <v>4716</v>
      </c>
      <c r="CY181" s="40" t="s">
        <v>3096</v>
      </c>
      <c r="DB181" t="s">
        <v>183</v>
      </c>
      <c r="DC181" s="7" t="str">
        <f t="shared" ca="1" si="78"/>
        <v>05_001</v>
      </c>
      <c r="DD181" t="s">
        <v>4834</v>
      </c>
      <c r="DE181" t="s">
        <v>4784</v>
      </c>
      <c r="DF181" t="s">
        <v>4785</v>
      </c>
      <c r="DG181" t="s">
        <v>4873</v>
      </c>
      <c r="DH181" t="s">
        <v>4941</v>
      </c>
    </row>
    <row r="182" spans="4:112" ht="14.6">
      <c r="D182" s="6" t="str">
        <f t="shared" si="43"/>
        <v>纪念碑谷-&gt;游戏建议</v>
      </c>
      <c r="E182" s="6" t="str">
        <f t="shared" si="44"/>
        <v>#'5.4纪念碑谷'!AI1:BA344</v>
      </c>
      <c r="F182" s="6" t="s">
        <v>5776</v>
      </c>
      <c r="G182" s="6" t="s">
        <v>5777</v>
      </c>
      <c r="H182" s="6" t="s">
        <v>5778</v>
      </c>
      <c r="I182" s="7" t="s">
        <v>4782</v>
      </c>
      <c r="J182" s="7" t="str">
        <f t="shared" ref="J182:J189" si="79">MID(F182,4,1)</f>
        <v>游</v>
      </c>
      <c r="K182" s="7" t="str">
        <f>MID(F182,5,1)</f>
        <v>戏</v>
      </c>
      <c r="L182" s="7" t="str">
        <f>MID(F182,6,1)</f>
        <v>建</v>
      </c>
      <c r="M182" s="7" t="s">
        <v>4782</v>
      </c>
      <c r="N182" s="7" t="s">
        <v>4782</v>
      </c>
      <c r="O182" s="7" t="s">
        <v>4782</v>
      </c>
      <c r="P182" s="7" t="s">
        <v>4782</v>
      </c>
      <c r="Q182" s="7" t="s">
        <v>4782</v>
      </c>
      <c r="R182" s="7" t="s">
        <v>4782</v>
      </c>
      <c r="S182" s="7">
        <f t="array" ref="S182">SUM(IFERROR(IF(MATCH(I182:R182,$F$4:$Q$4,0)&gt;0,1,0),0))</f>
        <v>0</v>
      </c>
      <c r="T182" s="7">
        <f t="shared" ca="1" si="75"/>
        <v>37</v>
      </c>
      <c r="U182" s="7">
        <f ca="1">T182+COUNTIF(T$5:$T181,T182)</f>
        <v>193</v>
      </c>
      <c r="Y182" t="s">
        <v>167</v>
      </c>
      <c r="Z182" t="str">
        <f t="shared" ca="1" si="76"/>
        <v>09_004</v>
      </c>
      <c r="AA182" t="s">
        <v>4783</v>
      </c>
      <c r="AB182" t="s">
        <v>4783</v>
      </c>
      <c r="AC182" t="s">
        <v>4783</v>
      </c>
      <c r="AD182" t="s">
        <v>4873</v>
      </c>
      <c r="AE182" t="s">
        <v>4941</v>
      </c>
      <c r="AF182" t="s">
        <v>4874</v>
      </c>
      <c r="AG182" t="s">
        <v>4875</v>
      </c>
      <c r="AH182" t="s">
        <v>4930</v>
      </c>
      <c r="AI182" t="s">
        <v>4852</v>
      </c>
      <c r="AX182" s="28">
        <v>30000</v>
      </c>
      <c r="AY182" s="28" t="s">
        <v>5163</v>
      </c>
      <c r="AZ182" s="28" t="s">
        <v>4689</v>
      </c>
      <c r="BA182" s="28" t="s">
        <v>5779</v>
      </c>
      <c r="BB182" s="28">
        <v>100</v>
      </c>
      <c r="CD182" s="38">
        <v>178</v>
      </c>
      <c r="CE182" s="38">
        <f t="shared" si="42"/>
        <v>3.5726474456879447</v>
      </c>
      <c r="CF182" s="38">
        <f t="shared" ref="CF182:CF211" si="80">MAX(CEILING($CC$4*(1-CE182*$CC$6)/$CC$8,1),0)+CD182+ROUND(MOD($CC$4*(1-CE182*$CC$6),$CC$8)/$CC$4,5)</f>
        <v>178.21281999999999</v>
      </c>
      <c r="CG182" s="38">
        <f t="shared" si="39"/>
        <v>179</v>
      </c>
      <c r="CP182" s="40">
        <v>530</v>
      </c>
      <c r="CQ182" s="41" t="s">
        <v>3676</v>
      </c>
      <c r="CR182" s="41" t="s">
        <v>5780</v>
      </c>
      <c r="CS182" s="41">
        <v>300</v>
      </c>
      <c r="CT182" s="41">
        <v>8</v>
      </c>
      <c r="CU182" s="41">
        <v>40</v>
      </c>
      <c r="CV182" s="41">
        <v>10</v>
      </c>
      <c r="CW182" s="40"/>
      <c r="CX182" s="41" t="s">
        <v>4716</v>
      </c>
      <c r="CY182" s="40" t="s">
        <v>4717</v>
      </c>
      <c r="DB182" t="s">
        <v>184</v>
      </c>
      <c r="DC182" s="7" t="str">
        <f t="shared" ca="1" si="78"/>
        <v>05_006</v>
      </c>
      <c r="DD182" t="s">
        <v>4989</v>
      </c>
      <c r="DE182" t="s">
        <v>5206</v>
      </c>
      <c r="DF182" t="s">
        <v>4897</v>
      </c>
      <c r="DG182" t="s">
        <v>4898</v>
      </c>
      <c r="DH182" t="s">
        <v>4900</v>
      </c>
    </row>
    <row r="183" spans="4:112" ht="14.6">
      <c r="D183" s="6" t="str">
        <f t="shared" si="43"/>
        <v>纪念碑谷-&gt;障碍&amp;装饰</v>
      </c>
      <c r="E183" s="6" t="str">
        <f t="shared" si="44"/>
        <v>#'5.4纪念碑谷'!BG1:BV95</v>
      </c>
      <c r="F183" s="43" t="s">
        <v>5781</v>
      </c>
      <c r="G183" s="43" t="s">
        <v>5782</v>
      </c>
      <c r="H183" s="6" t="s">
        <v>5778</v>
      </c>
      <c r="I183" s="7" t="s">
        <v>4782</v>
      </c>
      <c r="J183" t="str">
        <f t="shared" si="79"/>
        <v>障</v>
      </c>
      <c r="K183" s="7" t="s">
        <v>5783</v>
      </c>
      <c r="L183" s="7" t="s">
        <v>5784</v>
      </c>
      <c r="M183" s="7" t="s">
        <v>4782</v>
      </c>
      <c r="N183" s="7" t="s">
        <v>4782</v>
      </c>
      <c r="O183" s="7" t="s">
        <v>4782</v>
      </c>
      <c r="P183" s="7" t="s">
        <v>4782</v>
      </c>
      <c r="Q183" s="7" t="s">
        <v>4782</v>
      </c>
      <c r="R183" s="7" t="s">
        <v>4782</v>
      </c>
      <c r="S183" s="7">
        <f t="array" ref="S183">SUM(IFERROR(IF(MATCH(I183:R183,$F$4:$Q$4,0)&gt;0,1,0),0))</f>
        <v>0</v>
      </c>
      <c r="T183" s="7">
        <f t="shared" ca="1" si="75"/>
        <v>37</v>
      </c>
      <c r="U183" s="7">
        <f ca="1">T183+COUNTIF(T$5:$T182,T183)</f>
        <v>194</v>
      </c>
      <c r="AX183" s="28">
        <v>50000</v>
      </c>
      <c r="AY183" s="28" t="s">
        <v>4866</v>
      </c>
      <c r="AZ183" s="28" t="s">
        <v>4865</v>
      </c>
      <c r="BA183" s="28" t="s">
        <v>3432</v>
      </c>
      <c r="BB183" s="28">
        <v>120</v>
      </c>
      <c r="CD183" s="38">
        <v>179</v>
      </c>
      <c r="CE183" s="38">
        <f t="shared" si="42"/>
        <v>3.5754485661361239</v>
      </c>
      <c r="CF183" s="38">
        <f t="shared" si="80"/>
        <v>179.21200999999999</v>
      </c>
      <c r="CG183" s="38">
        <f t="shared" si="39"/>
        <v>180</v>
      </c>
      <c r="CP183" s="40">
        <v>531</v>
      </c>
      <c r="CQ183" s="41" t="s">
        <v>3676</v>
      </c>
      <c r="CR183" s="41" t="s">
        <v>5785</v>
      </c>
      <c r="CS183" s="41">
        <v>600</v>
      </c>
      <c r="CT183" s="41">
        <v>24</v>
      </c>
      <c r="CU183" s="41">
        <v>20</v>
      </c>
      <c r="CV183" s="41">
        <v>15</v>
      </c>
      <c r="CW183" s="40"/>
      <c r="CX183" s="41" t="s">
        <v>4716</v>
      </c>
      <c r="CY183" s="40" t="s">
        <v>3104</v>
      </c>
      <c r="DC183" s="7">
        <f t="shared" ca="1" si="78"/>
        <v>0</v>
      </c>
    </row>
    <row r="184" spans="4:112" ht="14.6">
      <c r="D184" s="6" t="str">
        <f t="shared" si="43"/>
        <v>纪念碑谷-&gt;被遗忘的海岸</v>
      </c>
      <c r="E184" s="6" t="str">
        <f t="shared" si="44"/>
        <v>#'5.4纪念碑谷'!BGF97:BQ300</v>
      </c>
      <c r="F184" s="43" t="s">
        <v>5786</v>
      </c>
      <c r="G184" s="43" t="s">
        <v>5787</v>
      </c>
      <c r="H184" s="6" t="s">
        <v>5778</v>
      </c>
      <c r="I184" s="7" t="s">
        <v>4782</v>
      </c>
      <c r="J184" t="str">
        <f t="shared" si="79"/>
        <v>被</v>
      </c>
      <c r="K184" s="7" t="str">
        <f t="shared" ref="K184:K189" si="81">MID(F184,5,1)</f>
        <v>遗</v>
      </c>
      <c r="L184" s="7" t="str">
        <f t="shared" ref="L184:L189" si="82">MID(F184,6,1)</f>
        <v>忘</v>
      </c>
      <c r="M184" s="7" t="s">
        <v>5788</v>
      </c>
      <c r="N184" s="7" t="s">
        <v>5789</v>
      </c>
      <c r="O184" s="7" t="s">
        <v>4782</v>
      </c>
      <c r="P184" s="7" t="s">
        <v>4782</v>
      </c>
      <c r="Q184" s="7" t="s">
        <v>4782</v>
      </c>
      <c r="R184" s="7" t="s">
        <v>4782</v>
      </c>
      <c r="S184" s="7">
        <f t="array" ref="S184">SUM(IFERROR(IF(MATCH(I184:R184,$F$4:$Q$4,0)&gt;0,1,0),0))</f>
        <v>0</v>
      </c>
      <c r="T184" s="7">
        <f t="shared" ca="1" si="75"/>
        <v>37</v>
      </c>
      <c r="U184" s="7">
        <f ca="1">T184+COUNTIF(T$5:$T183,T184)</f>
        <v>195</v>
      </c>
      <c r="AX184" s="28">
        <v>3000</v>
      </c>
      <c r="AY184" s="28" t="s">
        <v>5467</v>
      </c>
      <c r="AZ184" s="28" t="s">
        <v>4878</v>
      </c>
      <c r="BA184" s="28" t="s">
        <v>4739</v>
      </c>
      <c r="BB184" s="28">
        <v>20</v>
      </c>
      <c r="CD184" s="38">
        <v>180</v>
      </c>
      <c r="CE184" s="38">
        <f t="shared" si="42"/>
        <v>3.5782340814564582</v>
      </c>
      <c r="CF184" s="38">
        <f t="shared" si="80"/>
        <v>180.21119999999999</v>
      </c>
      <c r="CG184" s="38">
        <f t="shared" si="39"/>
        <v>181</v>
      </c>
      <c r="CP184" s="40">
        <v>532</v>
      </c>
      <c r="CQ184" s="41" t="s">
        <v>3681</v>
      </c>
      <c r="CR184" s="41" t="s">
        <v>5790</v>
      </c>
      <c r="CS184" s="41">
        <v>100</v>
      </c>
      <c r="CT184" s="41">
        <v>3</v>
      </c>
      <c r="CU184" s="41">
        <v>75</v>
      </c>
      <c r="CV184" s="41">
        <v>5</v>
      </c>
      <c r="CW184" s="40"/>
      <c r="CX184" s="41" t="s">
        <v>4716</v>
      </c>
      <c r="CY184" s="40" t="s">
        <v>3096</v>
      </c>
      <c r="DC184" s="7">
        <f t="shared" ca="1" si="78"/>
        <v>0</v>
      </c>
    </row>
    <row r="185" spans="4:112" ht="14.6">
      <c r="D185" s="6" t="str">
        <f t="shared" si="43"/>
        <v>纪念碑谷-&gt;魔法物品</v>
      </c>
      <c r="E185" s="6" t="str">
        <f t="shared" si="44"/>
        <v>#'5.4纪念碑谷'!D1:P93</v>
      </c>
      <c r="F185" s="43" t="s">
        <v>5791</v>
      </c>
      <c r="G185" s="43" t="s">
        <v>5792</v>
      </c>
      <c r="H185" s="6" t="s">
        <v>5778</v>
      </c>
      <c r="I185" s="7" t="s">
        <v>4782</v>
      </c>
      <c r="J185" t="str">
        <f t="shared" si="79"/>
        <v>魔</v>
      </c>
      <c r="K185" s="7" t="str">
        <f t="shared" si="81"/>
        <v>法</v>
      </c>
      <c r="L185" s="7" t="str">
        <f t="shared" si="82"/>
        <v>物</v>
      </c>
      <c r="M185" s="7" t="s">
        <v>4782</v>
      </c>
      <c r="N185" s="7" t="s">
        <v>4782</v>
      </c>
      <c r="O185" s="7" t="s">
        <v>4782</v>
      </c>
      <c r="P185" s="7" t="s">
        <v>4782</v>
      </c>
      <c r="Q185" s="7" t="s">
        <v>4782</v>
      </c>
      <c r="R185" s="7" t="s">
        <v>4782</v>
      </c>
      <c r="S185" s="7">
        <f t="array" ref="S185">SUM(IFERROR(IF(MATCH(I185:R185,$F$4:$Q$4,0)&gt;0,1,0),0))</f>
        <v>0</v>
      </c>
      <c r="T185" s="7">
        <f t="shared" ca="1" si="75"/>
        <v>37</v>
      </c>
      <c r="U185" s="7">
        <f ca="1">T185+COUNTIF(T$5:$T184,T185)</f>
        <v>196</v>
      </c>
      <c r="AX185" s="28">
        <v>7500</v>
      </c>
      <c r="AY185" s="28" t="s">
        <v>4674</v>
      </c>
      <c r="AZ185" s="28" t="s">
        <v>4673</v>
      </c>
      <c r="BA185" s="28" t="s">
        <v>4877</v>
      </c>
      <c r="BB185" s="28">
        <v>40</v>
      </c>
      <c r="CD185" s="38">
        <v>181</v>
      </c>
      <c r="CE185" s="38">
        <f t="shared" si="42"/>
        <v>3.5810041645589514</v>
      </c>
      <c r="CF185" s="38">
        <f t="shared" si="80"/>
        <v>181.21039999999999</v>
      </c>
      <c r="CG185" s="38">
        <f t="shared" si="39"/>
        <v>182</v>
      </c>
      <c r="CP185" s="40">
        <v>533</v>
      </c>
      <c r="CQ185" s="41" t="s">
        <v>3681</v>
      </c>
      <c r="CR185" s="41" t="s">
        <v>5793</v>
      </c>
      <c r="CS185" s="41">
        <v>200</v>
      </c>
      <c r="CT185" s="41">
        <v>8</v>
      </c>
      <c r="CU185" s="41">
        <v>50</v>
      </c>
      <c r="CV185" s="41">
        <v>10</v>
      </c>
      <c r="CW185" s="40"/>
      <c r="CX185" s="41" t="s">
        <v>4716</v>
      </c>
      <c r="CY185" s="40" t="s">
        <v>4717</v>
      </c>
      <c r="DC185" s="7">
        <f t="shared" ca="1" si="78"/>
        <v>0</v>
      </c>
    </row>
    <row r="186" spans="4:112" ht="14.6">
      <c r="D186" s="6" t="str">
        <f t="shared" si="43"/>
        <v>纪念碑谷-&gt;月度挑战</v>
      </c>
      <c r="E186" s="6" t="str">
        <f t="shared" si="44"/>
        <v>#'5.4纪念碑谷'!D97:P320</v>
      </c>
      <c r="F186" s="43" t="s">
        <v>5794</v>
      </c>
      <c r="G186" s="43" t="s">
        <v>5795</v>
      </c>
      <c r="H186" s="6" t="s">
        <v>5778</v>
      </c>
      <c r="I186" s="7" t="s">
        <v>4782</v>
      </c>
      <c r="J186" t="str">
        <f t="shared" si="79"/>
        <v>月</v>
      </c>
      <c r="K186" s="7" t="str">
        <f t="shared" si="81"/>
        <v>度</v>
      </c>
      <c r="L186" s="7" t="str">
        <f t="shared" si="82"/>
        <v>挑</v>
      </c>
      <c r="M186" s="7" t="s">
        <v>4782</v>
      </c>
      <c r="N186" s="7" t="s">
        <v>4782</v>
      </c>
      <c r="O186" s="7" t="s">
        <v>4782</v>
      </c>
      <c r="P186" s="7" t="s">
        <v>4782</v>
      </c>
      <c r="Q186" s="7" t="s">
        <v>4782</v>
      </c>
      <c r="R186" s="7" t="s">
        <v>4782</v>
      </c>
      <c r="S186" s="7">
        <f t="array" ref="S186">SUM(IFERROR(IF(MATCH(I186:R186,$F$4:$Q$4,0)&gt;0,1,0),0))</f>
        <v>0</v>
      </c>
      <c r="T186" s="7">
        <f t="shared" ca="1" si="75"/>
        <v>37</v>
      </c>
      <c r="U186" s="7">
        <f ca="1">T186+COUNTIF(T$5:$T185,T186)</f>
        <v>197</v>
      </c>
      <c r="Y186" t="s">
        <v>139</v>
      </c>
      <c r="Z186" t="str">
        <f t="shared" ref="Z186:Z199" ca="1" si="83">OFFSET(AA186,0,$Z$168-1)</f>
        <v>09_180</v>
      </c>
      <c r="AA186" t="s">
        <v>5796</v>
      </c>
      <c r="AB186" t="s">
        <v>5797</v>
      </c>
      <c r="AC186" t="s">
        <v>4807</v>
      </c>
      <c r="AD186" t="s">
        <v>4808</v>
      </c>
      <c r="AE186" t="s">
        <v>4809</v>
      </c>
      <c r="AF186" t="s">
        <v>5798</v>
      </c>
      <c r="AG186" t="s">
        <v>5799</v>
      </c>
      <c r="AH186" t="s">
        <v>5800</v>
      </c>
      <c r="AI186" t="s">
        <v>5801</v>
      </c>
      <c r="AX186" s="28">
        <v>12000</v>
      </c>
      <c r="AY186" s="28" t="s">
        <v>4845</v>
      </c>
      <c r="AZ186" s="28" t="s">
        <v>4713</v>
      </c>
      <c r="BA186" s="28" t="s">
        <v>5468</v>
      </c>
      <c r="BB186" s="28">
        <v>60</v>
      </c>
      <c r="CD186" s="38">
        <v>182</v>
      </c>
      <c r="CE186" s="38">
        <f t="shared" si="42"/>
        <v>3.5837589854955905</v>
      </c>
      <c r="CF186" s="38">
        <f t="shared" si="80"/>
        <v>182.20959999999999</v>
      </c>
      <c r="CG186" s="38">
        <f t="shared" si="39"/>
        <v>183</v>
      </c>
      <c r="CP186" s="40">
        <v>534</v>
      </c>
      <c r="CQ186" s="41" t="s">
        <v>3681</v>
      </c>
      <c r="CR186" s="41" t="s">
        <v>5802</v>
      </c>
      <c r="CS186" s="41">
        <v>400</v>
      </c>
      <c r="CT186" s="41">
        <v>24</v>
      </c>
      <c r="CU186" s="41">
        <v>25</v>
      </c>
      <c r="CV186" s="41">
        <v>15</v>
      </c>
      <c r="CW186" s="40"/>
      <c r="CX186" s="41" t="s">
        <v>4716</v>
      </c>
      <c r="CY186" s="40" t="s">
        <v>3104</v>
      </c>
      <c r="DB186" t="s">
        <v>33</v>
      </c>
      <c r="DC186" s="7" t="str">
        <f t="shared" ca="1" si="78"/>
        <v>05_001</v>
      </c>
      <c r="DD186" t="s">
        <v>4834</v>
      </c>
      <c r="DE186" t="s">
        <v>4784</v>
      </c>
      <c r="DF186" t="s">
        <v>4785</v>
      </c>
      <c r="DG186" t="s">
        <v>4873</v>
      </c>
      <c r="DH186" t="s">
        <v>4941</v>
      </c>
    </row>
    <row r="187" spans="4:112" ht="14.6">
      <c r="D187" s="6" t="str">
        <f t="shared" si="43"/>
        <v>纪念碑谷-&gt;部落竞赛</v>
      </c>
      <c r="E187" s="6" t="str">
        <f t="shared" si="44"/>
        <v>#'5.4纪念碑谷'!R1:AB13</v>
      </c>
      <c r="F187" s="43" t="s">
        <v>5803</v>
      </c>
      <c r="G187" s="43" t="s">
        <v>5804</v>
      </c>
      <c r="H187" s="6" t="s">
        <v>5778</v>
      </c>
      <c r="I187" s="7" t="s">
        <v>4782</v>
      </c>
      <c r="J187" t="str">
        <f t="shared" si="79"/>
        <v>部</v>
      </c>
      <c r="K187" t="str">
        <f t="shared" si="81"/>
        <v>落</v>
      </c>
      <c r="L187" t="str">
        <f t="shared" si="82"/>
        <v>竞</v>
      </c>
      <c r="M187" s="7" t="s">
        <v>5805</v>
      </c>
      <c r="N187" s="7" t="s">
        <v>5806</v>
      </c>
      <c r="O187" s="7" t="s">
        <v>4782</v>
      </c>
      <c r="P187" s="7" t="s">
        <v>4782</v>
      </c>
      <c r="Q187" s="7" t="s">
        <v>4782</v>
      </c>
      <c r="R187" s="7" t="s">
        <v>4782</v>
      </c>
      <c r="S187">
        <f t="array" ref="S187">SUM(IFERROR(IF(MATCH(I187:R187,$F$4:$Q$4,0)&gt;0,1,0),0))</f>
        <v>0</v>
      </c>
      <c r="T187">
        <f t="shared" ca="1" si="75"/>
        <v>37</v>
      </c>
      <c r="U187">
        <f ca="1">T187+COUNTIF(T$5:$T186,T187)</f>
        <v>198</v>
      </c>
      <c r="Y187" t="s">
        <v>2</v>
      </c>
      <c r="Z187" t="str">
        <f t="shared" ca="1" si="83"/>
        <v>09_003</v>
      </c>
      <c r="AA187" t="s">
        <v>4834</v>
      </c>
      <c r="AB187" t="s">
        <v>4784</v>
      </c>
      <c r="AC187" t="s">
        <v>4755</v>
      </c>
      <c r="AD187" t="s">
        <v>4756</v>
      </c>
      <c r="AE187" t="s">
        <v>4757</v>
      </c>
      <c r="AF187" t="s">
        <v>4874</v>
      </c>
      <c r="AG187" t="s">
        <v>4875</v>
      </c>
      <c r="AH187" t="s">
        <v>4930</v>
      </c>
      <c r="AI187" t="s">
        <v>4931</v>
      </c>
      <c r="AX187" s="28">
        <v>18000</v>
      </c>
      <c r="AY187" s="28" t="s">
        <v>4689</v>
      </c>
      <c r="AZ187" s="28" t="s">
        <v>4945</v>
      </c>
      <c r="BA187" s="28" t="s">
        <v>4770</v>
      </c>
      <c r="BB187" s="28">
        <v>80</v>
      </c>
      <c r="CD187" s="38">
        <v>183</v>
      </c>
      <c r="CE187" s="38">
        <f t="shared" si="42"/>
        <v>3.5864987115229878</v>
      </c>
      <c r="CF187" s="38">
        <f t="shared" si="80"/>
        <v>183.2088</v>
      </c>
      <c r="CG187" s="38">
        <f t="shared" si="39"/>
        <v>184</v>
      </c>
      <c r="CP187" s="40">
        <v>535</v>
      </c>
      <c r="CQ187" s="41" t="s">
        <v>3686</v>
      </c>
      <c r="CR187" s="41" t="s">
        <v>5807</v>
      </c>
      <c r="CS187" s="41">
        <v>100</v>
      </c>
      <c r="CT187" s="41">
        <v>3</v>
      </c>
      <c r="CU187" s="41">
        <v>75</v>
      </c>
      <c r="CV187" s="41">
        <v>5</v>
      </c>
      <c r="CW187" s="40"/>
      <c r="CX187" s="41" t="s">
        <v>4716</v>
      </c>
      <c r="CY187" s="40" t="s">
        <v>3096</v>
      </c>
      <c r="DB187" t="s">
        <v>198</v>
      </c>
      <c r="DC187" s="7" t="str">
        <f t="shared" ca="1" si="78"/>
        <v>05_001</v>
      </c>
      <c r="DD187" t="s">
        <v>4834</v>
      </c>
      <c r="DE187" t="s">
        <v>4784</v>
      </c>
      <c r="DF187" t="s">
        <v>4785</v>
      </c>
      <c r="DG187" t="s">
        <v>4873</v>
      </c>
      <c r="DH187" t="s">
        <v>4941</v>
      </c>
    </row>
    <row r="188" spans="4:112" ht="14.6">
      <c r="D188" s="6" t="str">
        <f t="shared" si="43"/>
        <v>纪念碑谷-&gt;竞赛任务</v>
      </c>
      <c r="E188" s="6" t="str">
        <f t="shared" si="44"/>
        <v>#'5.4纪念碑谷'!R18:AH207</v>
      </c>
      <c r="F188" s="43" t="s">
        <v>5808</v>
      </c>
      <c r="G188" s="43" t="s">
        <v>5809</v>
      </c>
      <c r="H188" s="6" t="s">
        <v>5778</v>
      </c>
      <c r="I188" s="7" t="s">
        <v>4782</v>
      </c>
      <c r="J188" t="str">
        <f t="shared" si="79"/>
        <v>竞</v>
      </c>
      <c r="K188" t="str">
        <f t="shared" si="81"/>
        <v>赛</v>
      </c>
      <c r="L188" s="7" t="str">
        <f t="shared" si="82"/>
        <v>任</v>
      </c>
      <c r="M188" s="7" t="s">
        <v>4782</v>
      </c>
      <c r="N188" s="7" t="s">
        <v>4782</v>
      </c>
      <c r="O188" s="7" t="s">
        <v>4782</v>
      </c>
      <c r="P188" s="7" t="s">
        <v>4782</v>
      </c>
      <c r="Q188" s="7" t="s">
        <v>4782</v>
      </c>
      <c r="R188" s="7" t="s">
        <v>4782</v>
      </c>
      <c r="S188">
        <f t="array" ref="S188">SUM(IFERROR(IF(MATCH(I188:R188,$F$4:$Q$4,0)&gt;0,1,0),0))</f>
        <v>0</v>
      </c>
      <c r="T188">
        <f t="shared" ca="1" si="75"/>
        <v>37</v>
      </c>
      <c r="U188">
        <f ca="1">T188+COUNTIF(T$5:$T187,T188)</f>
        <v>199</v>
      </c>
      <c r="Y188" t="s">
        <v>142</v>
      </c>
      <c r="Z188" t="str">
        <f t="shared" ca="1" si="83"/>
        <v>09_003</v>
      </c>
      <c r="AA188" t="s">
        <v>4783</v>
      </c>
      <c r="AB188" t="s">
        <v>4784</v>
      </c>
      <c r="AC188" t="s">
        <v>4785</v>
      </c>
      <c r="AD188" t="s">
        <v>4873</v>
      </c>
      <c r="AE188" t="s">
        <v>4757</v>
      </c>
      <c r="AF188" t="s">
        <v>4874</v>
      </c>
      <c r="AG188" t="s">
        <v>4875</v>
      </c>
      <c r="AH188" t="s">
        <v>4930</v>
      </c>
      <c r="AI188" t="s">
        <v>4931</v>
      </c>
      <c r="AX188" s="28">
        <v>30000</v>
      </c>
      <c r="AY188" s="28" t="s">
        <v>5164</v>
      </c>
      <c r="AZ188" s="28" t="s">
        <v>5643</v>
      </c>
      <c r="BA188" s="28" t="s">
        <v>5151</v>
      </c>
      <c r="BB188" s="28">
        <v>100</v>
      </c>
      <c r="CD188" s="38">
        <v>184</v>
      </c>
      <c r="CE188" s="38">
        <f t="shared" si="42"/>
        <v>3.589223507163315</v>
      </c>
      <c r="CF188" s="38">
        <f t="shared" si="80"/>
        <v>184.20801</v>
      </c>
      <c r="CG188" s="38">
        <f t="shared" si="39"/>
        <v>185</v>
      </c>
      <c r="CP188" s="40">
        <v>536</v>
      </c>
      <c r="CQ188" s="41" t="s">
        <v>3686</v>
      </c>
      <c r="CR188" s="41" t="s">
        <v>5810</v>
      </c>
      <c r="CS188" s="41">
        <v>200</v>
      </c>
      <c r="CT188" s="41">
        <v>8</v>
      </c>
      <c r="CU188" s="41">
        <v>50</v>
      </c>
      <c r="CV188" s="41">
        <v>10</v>
      </c>
      <c r="CW188" s="40"/>
      <c r="CX188" s="41" t="s">
        <v>4716</v>
      </c>
      <c r="CY188" s="40" t="s">
        <v>4717</v>
      </c>
      <c r="DB188" t="s">
        <v>203</v>
      </c>
      <c r="DC188" s="7" t="str">
        <f t="shared" ca="1" si="78"/>
        <v>05_001</v>
      </c>
      <c r="DD188" t="s">
        <v>4783</v>
      </c>
      <c r="DE188" t="s">
        <v>4784</v>
      </c>
      <c r="DF188" t="s">
        <v>4785</v>
      </c>
      <c r="DG188" t="s">
        <v>4873</v>
      </c>
      <c r="DH188" t="s">
        <v>4941</v>
      </c>
    </row>
    <row r="189" spans="4:112" ht="14.6">
      <c r="D189" s="6" t="str">
        <f t="shared" si="43"/>
        <v>纪念碑谷-&gt;成就挑战</v>
      </c>
      <c r="E189" s="6" t="str">
        <f t="shared" si="44"/>
        <v>#'5.4纪念碑谷'!R227:AG399</v>
      </c>
      <c r="F189" s="43" t="s">
        <v>5811</v>
      </c>
      <c r="G189" s="43" t="s">
        <v>5812</v>
      </c>
      <c r="H189" s="6" t="s">
        <v>5778</v>
      </c>
      <c r="I189" s="7" t="s">
        <v>4782</v>
      </c>
      <c r="J189" t="str">
        <f t="shared" si="79"/>
        <v>成</v>
      </c>
      <c r="K189" t="str">
        <f t="shared" si="81"/>
        <v>就</v>
      </c>
      <c r="L189" t="str">
        <f t="shared" si="82"/>
        <v>挑</v>
      </c>
      <c r="M189" t="s">
        <v>4782</v>
      </c>
      <c r="N189" t="s">
        <v>4782</v>
      </c>
      <c r="O189" t="s">
        <v>4782</v>
      </c>
      <c r="P189" t="s">
        <v>4782</v>
      </c>
      <c r="Q189" t="s">
        <v>4782</v>
      </c>
      <c r="R189" t="s">
        <v>4782</v>
      </c>
      <c r="S189">
        <f t="array" ref="S189">SUM(IFERROR(IF(MATCH(I189:R189,$F$4:$Q$4,0)&gt;0,1,0),0))</f>
        <v>0</v>
      </c>
      <c r="T189">
        <f t="shared" ca="1" si="75"/>
        <v>37</v>
      </c>
      <c r="U189">
        <f ca="1">T189+COUNTIF(T$5:$T188,T189)</f>
        <v>200</v>
      </c>
      <c r="Y189" t="s">
        <v>145</v>
      </c>
      <c r="Z189" t="str">
        <f t="shared" ca="1" si="83"/>
        <v>09_003</v>
      </c>
      <c r="AA189" t="s">
        <v>4783</v>
      </c>
      <c r="AB189" t="s">
        <v>4784</v>
      </c>
      <c r="AC189" t="s">
        <v>4785</v>
      </c>
      <c r="AD189" t="s">
        <v>4756</v>
      </c>
      <c r="AE189" t="s">
        <v>4757</v>
      </c>
      <c r="AF189" t="s">
        <v>4758</v>
      </c>
      <c r="AG189" t="s">
        <v>4759</v>
      </c>
      <c r="AH189" t="s">
        <v>4930</v>
      </c>
      <c r="AI189" t="s">
        <v>4931</v>
      </c>
      <c r="AX189" s="28">
        <v>50000</v>
      </c>
      <c r="AY189" s="28" t="s">
        <v>4943</v>
      </c>
      <c r="AZ189" s="28" t="s">
        <v>4746</v>
      </c>
      <c r="BA189" s="28" t="s">
        <v>3432</v>
      </c>
      <c r="BB189" s="28">
        <v>120</v>
      </c>
      <c r="CD189" s="38">
        <v>185</v>
      </c>
      <c r="CE189" s="38">
        <f t="shared" si="42"/>
        <v>3.5919335342635859</v>
      </c>
      <c r="CF189" s="38">
        <f t="shared" si="80"/>
        <v>185.20723000000001</v>
      </c>
      <c r="CG189" s="38">
        <f t="shared" si="39"/>
        <v>186</v>
      </c>
      <c r="CP189" s="40">
        <v>537</v>
      </c>
      <c r="CQ189" s="41" t="s">
        <v>3686</v>
      </c>
      <c r="CR189" s="41" t="s">
        <v>5813</v>
      </c>
      <c r="CS189" s="41">
        <v>400</v>
      </c>
      <c r="CT189" s="41">
        <v>24</v>
      </c>
      <c r="CU189" s="41">
        <v>25</v>
      </c>
      <c r="CV189" s="41">
        <v>15</v>
      </c>
      <c r="CW189" s="40"/>
      <c r="CX189" s="41" t="s">
        <v>4716</v>
      </c>
      <c r="CY189" s="40" t="s">
        <v>3104</v>
      </c>
      <c r="DB189" t="s">
        <v>208</v>
      </c>
      <c r="DC189" s="7" t="str">
        <f t="shared" ca="1" si="78"/>
        <v>05_001</v>
      </c>
      <c r="DD189" t="s">
        <v>4834</v>
      </c>
      <c r="DE189" t="s">
        <v>4784</v>
      </c>
      <c r="DF189" t="s">
        <v>4785</v>
      </c>
      <c r="DG189" t="s">
        <v>4873</v>
      </c>
      <c r="DH189" t="s">
        <v>4941</v>
      </c>
    </row>
    <row r="190" spans="4:112" ht="14.6">
      <c r="D190" s="6" t="str">
        <f t="shared" si="43"/>
        <v>研究笔记-&gt;镜像法术</v>
      </c>
      <c r="E190" s="6" t="str">
        <f t="shared" si="44"/>
        <v>#'5.2研究笔记'!Y511:AJ533</v>
      </c>
      <c r="F190" t="s">
        <v>5814</v>
      </c>
      <c r="G190" t="s">
        <v>5815</v>
      </c>
      <c r="H190" s="6" t="s">
        <v>5677</v>
      </c>
      <c r="I190" s="7" t="s">
        <v>4782</v>
      </c>
      <c r="J190" t="s">
        <v>5287</v>
      </c>
      <c r="K190" t="s">
        <v>5288</v>
      </c>
      <c r="L190" t="s">
        <v>5037</v>
      </c>
      <c r="M190" t="s">
        <v>5244</v>
      </c>
      <c r="N190" t="s">
        <v>4782</v>
      </c>
      <c r="O190" t="s">
        <v>4782</v>
      </c>
      <c r="P190" t="s">
        <v>4782</v>
      </c>
      <c r="Q190" t="s">
        <v>4782</v>
      </c>
      <c r="R190" t="s">
        <v>4782</v>
      </c>
      <c r="S190">
        <f t="array" ref="S190">SUM(IFERROR(IF(MATCH(I190:R190,$F$4:$Q$4,0)&gt;0,1,0),0))</f>
        <v>0</v>
      </c>
      <c r="T190">
        <f t="shared" ca="1" si="75"/>
        <v>37</v>
      </c>
      <c r="U190">
        <f ca="1">T190+COUNTIF(T$5:$T189,T190)</f>
        <v>201</v>
      </c>
      <c r="Y190" t="s">
        <v>43</v>
      </c>
      <c r="Z190" t="str">
        <f t="shared" ca="1" si="83"/>
        <v>09_003</v>
      </c>
      <c r="AA190" t="s">
        <v>4783</v>
      </c>
      <c r="AB190" t="s">
        <v>4783</v>
      </c>
      <c r="AC190" t="s">
        <v>4785</v>
      </c>
      <c r="AD190" t="s">
        <v>4873</v>
      </c>
      <c r="AE190" t="s">
        <v>4941</v>
      </c>
      <c r="AF190" t="s">
        <v>5106</v>
      </c>
      <c r="AG190" t="s">
        <v>4875</v>
      </c>
      <c r="AH190" t="s">
        <v>4930</v>
      </c>
      <c r="AI190" t="s">
        <v>4931</v>
      </c>
      <c r="AX190" s="28">
        <v>3000</v>
      </c>
      <c r="AY190" s="28" t="s">
        <v>4713</v>
      </c>
      <c r="AZ190" s="28" t="s">
        <v>4878</v>
      </c>
      <c r="BA190" s="28" t="s">
        <v>5538</v>
      </c>
      <c r="BB190" s="28">
        <v>20</v>
      </c>
      <c r="CD190" s="38">
        <v>186</v>
      </c>
      <c r="CE190" s="38">
        <f t="shared" si="42"/>
        <v>3.5946289520533434</v>
      </c>
      <c r="CF190" s="38">
        <f t="shared" si="80"/>
        <v>186.20644999999999</v>
      </c>
      <c r="CG190" s="38">
        <f t="shared" si="39"/>
        <v>187</v>
      </c>
      <c r="CP190" s="40">
        <v>538</v>
      </c>
      <c r="CQ190" s="41" t="s">
        <v>3691</v>
      </c>
      <c r="CR190" s="41" t="s">
        <v>5816</v>
      </c>
      <c r="CS190" s="41">
        <v>150</v>
      </c>
      <c r="CT190" s="41">
        <v>3</v>
      </c>
      <c r="CU190" s="41">
        <v>20</v>
      </c>
      <c r="CV190" s="41">
        <v>5</v>
      </c>
      <c r="CW190" s="40"/>
      <c r="CX190" s="41" t="s">
        <v>4716</v>
      </c>
      <c r="CY190" s="40" t="s">
        <v>3096</v>
      </c>
      <c r="DC190" s="7">
        <f t="shared" ca="1" si="78"/>
        <v>0</v>
      </c>
    </row>
    <row r="191" spans="4:112" ht="14.6">
      <c r="D191" s="6" t="str">
        <f t="shared" si="43"/>
        <v>家乡支援军-&gt;投石战车</v>
      </c>
      <c r="E191" s="6" t="str">
        <f t="shared" si="44"/>
        <v>#'2.2家乡支援军'!An24:Aw31</v>
      </c>
      <c r="F191" s="6" t="s">
        <v>784</v>
      </c>
      <c r="G191" s="6" t="s">
        <v>5817</v>
      </c>
      <c r="H191" s="6" t="s">
        <v>5148</v>
      </c>
      <c r="I191" t="s">
        <v>5048</v>
      </c>
      <c r="J191" t="s">
        <v>4981</v>
      </c>
      <c r="K191" t="s">
        <v>4970</v>
      </c>
      <c r="L191" t="s">
        <v>5177</v>
      </c>
      <c r="M191" t="s">
        <v>5167</v>
      </c>
      <c r="N191" t="s">
        <v>5818</v>
      </c>
      <c r="O191" t="s">
        <v>5819</v>
      </c>
      <c r="P191" t="s">
        <v>4782</v>
      </c>
      <c r="Q191" t="s">
        <v>4782</v>
      </c>
      <c r="R191" t="s">
        <v>4782</v>
      </c>
      <c r="S191">
        <f t="array" ref="S191">SUM(IFERROR(IF(MATCH(I191:R191,$F$4:$Q$4,0)&gt;0,1,0),0))</f>
        <v>0</v>
      </c>
      <c r="T191">
        <f t="shared" ca="1" si="75"/>
        <v>37</v>
      </c>
      <c r="U191">
        <f ca="1">T191+COUNTIF(T$5:$T190,T191)</f>
        <v>202</v>
      </c>
      <c r="Y191" t="s">
        <v>148</v>
      </c>
      <c r="Z191" t="str">
        <f t="shared" ca="1" si="83"/>
        <v>09_005</v>
      </c>
      <c r="AA191" t="s">
        <v>4783</v>
      </c>
      <c r="AB191" t="s">
        <v>4783</v>
      </c>
      <c r="AC191" t="s">
        <v>4785</v>
      </c>
      <c r="AD191" t="s">
        <v>4873</v>
      </c>
      <c r="AE191" t="s">
        <v>4757</v>
      </c>
      <c r="AF191" t="s">
        <v>4874</v>
      </c>
      <c r="AG191" t="s">
        <v>4759</v>
      </c>
      <c r="AH191" t="s">
        <v>4786</v>
      </c>
      <c r="AI191" t="s">
        <v>5762</v>
      </c>
      <c r="AX191" s="28">
        <v>7500</v>
      </c>
      <c r="AY191" s="28" t="s">
        <v>5467</v>
      </c>
      <c r="AZ191" s="28" t="s">
        <v>4739</v>
      </c>
      <c r="BA191" s="28" t="s">
        <v>4794</v>
      </c>
      <c r="BB191" s="28">
        <v>40</v>
      </c>
      <c r="CD191" s="38">
        <v>187</v>
      </c>
      <c r="CE191" s="38">
        <f t="shared" si="42"/>
        <v>3.5973099172007963</v>
      </c>
      <c r="CF191" s="38">
        <f t="shared" si="80"/>
        <v>187.20567</v>
      </c>
      <c r="CG191" s="38">
        <f t="shared" si="39"/>
        <v>188</v>
      </c>
      <c r="CP191" s="40">
        <v>539</v>
      </c>
      <c r="CQ191" s="41" t="s">
        <v>3691</v>
      </c>
      <c r="CR191" s="41" t="s">
        <v>5820</v>
      </c>
      <c r="CS191" s="41">
        <v>300</v>
      </c>
      <c r="CT191" s="41">
        <v>8</v>
      </c>
      <c r="CU191" s="41">
        <v>10</v>
      </c>
      <c r="CV191" s="41">
        <v>10</v>
      </c>
      <c r="CW191" s="40"/>
      <c r="CX191" s="41" t="s">
        <v>4716</v>
      </c>
      <c r="CY191" s="40" t="s">
        <v>4717</v>
      </c>
      <c r="DC191" s="7">
        <f t="shared" ca="1" si="78"/>
        <v>0</v>
      </c>
    </row>
    <row r="192" spans="4:112" ht="14.6">
      <c r="D192" s="6" t="str">
        <f t="shared" si="43"/>
        <v>家乡支援军-&gt;超级巨石投手</v>
      </c>
      <c r="E192" s="6" t="str">
        <f t="shared" si="44"/>
        <v>#'2.3家乡支援军'!AN103:AS113</v>
      </c>
      <c r="F192" t="s">
        <v>932</v>
      </c>
      <c r="G192" t="s">
        <v>5821</v>
      </c>
      <c r="H192" s="6" t="s">
        <v>5822</v>
      </c>
      <c r="I192" t="s">
        <v>5085</v>
      </c>
      <c r="J192" t="s">
        <v>5155</v>
      </c>
      <c r="K192" t="s">
        <v>4927</v>
      </c>
      <c r="L192" t="s">
        <v>4981</v>
      </c>
      <c r="M192" t="s">
        <v>5048</v>
      </c>
      <c r="N192" t="s">
        <v>4890</v>
      </c>
      <c r="O192" t="s">
        <v>4782</v>
      </c>
      <c r="P192" t="s">
        <v>4782</v>
      </c>
      <c r="Q192" t="s">
        <v>4782</v>
      </c>
      <c r="R192" t="s">
        <v>4782</v>
      </c>
      <c r="S192">
        <f t="array" ref="S192">SUM(IFERROR(IF(MATCH(I192:R192,$F$4:$Q$4,0)&gt;0,1,0),0))</f>
        <v>0</v>
      </c>
      <c r="T192">
        <f t="shared" ca="1" si="75"/>
        <v>37</v>
      </c>
      <c r="U192">
        <f ca="1">T192+COUNTIF(T$5:$T191,T192)</f>
        <v>203</v>
      </c>
      <c r="Y192" t="s">
        <v>149</v>
      </c>
      <c r="Z192" t="str">
        <f t="shared" ca="1" si="83"/>
        <v>09_002</v>
      </c>
      <c r="AA192" t="s">
        <v>4783</v>
      </c>
      <c r="AB192" t="s">
        <v>4783</v>
      </c>
      <c r="AC192" t="s">
        <v>4785</v>
      </c>
      <c r="AD192" t="s">
        <v>4873</v>
      </c>
      <c r="AE192" t="s">
        <v>4941</v>
      </c>
      <c r="AF192" t="s">
        <v>4874</v>
      </c>
      <c r="AG192" t="s">
        <v>4875</v>
      </c>
      <c r="AH192" t="s">
        <v>4905</v>
      </c>
      <c r="AI192" t="s">
        <v>4906</v>
      </c>
      <c r="AX192" s="28">
        <v>12000</v>
      </c>
      <c r="AY192" s="28" t="s">
        <v>4674</v>
      </c>
      <c r="AZ192" s="28" t="s">
        <v>4770</v>
      </c>
      <c r="BA192" s="28" t="s">
        <v>5468</v>
      </c>
      <c r="BB192" s="28">
        <v>60</v>
      </c>
      <c r="CD192" s="38">
        <v>188</v>
      </c>
      <c r="CE192" s="38">
        <f t="shared" si="42"/>
        <v>3.5999765838674631</v>
      </c>
      <c r="CF192" s="38">
        <f t="shared" si="80"/>
        <v>188.20490000000001</v>
      </c>
      <c r="CG192" s="38">
        <f t="shared" si="39"/>
        <v>189</v>
      </c>
      <c r="CP192" s="40">
        <v>540</v>
      </c>
      <c r="CQ192" s="41" t="s">
        <v>3691</v>
      </c>
      <c r="CR192" s="41" t="s">
        <v>5823</v>
      </c>
      <c r="CS192" s="41">
        <v>600</v>
      </c>
      <c r="CT192" s="41">
        <v>24</v>
      </c>
      <c r="CU192" s="41">
        <v>5</v>
      </c>
      <c r="CV192" s="41">
        <v>15</v>
      </c>
      <c r="CW192" s="40"/>
      <c r="CX192" s="41" t="s">
        <v>4716</v>
      </c>
      <c r="CY192" s="40" t="s">
        <v>3104</v>
      </c>
      <c r="DC192" s="7">
        <f t="shared" ca="1" si="78"/>
        <v>0</v>
      </c>
    </row>
    <row r="193" spans="4:112" ht="14.6">
      <c r="D193" s="6" t="str">
        <f t="shared" si="43"/>
        <v>家乡支援军-&gt;超级飞龙</v>
      </c>
      <c r="E193" s="6" t="str">
        <f t="shared" si="44"/>
        <v>#'2.3家乡支援军'!AX103:BC114</v>
      </c>
      <c r="F193" t="s">
        <v>936</v>
      </c>
      <c r="G193" t="s">
        <v>5824</v>
      </c>
      <c r="H193" s="6" t="s">
        <v>5822</v>
      </c>
      <c r="I193" t="s">
        <v>5085</v>
      </c>
      <c r="J193" t="s">
        <v>5155</v>
      </c>
      <c r="K193" t="s">
        <v>4968</v>
      </c>
      <c r="L193" t="s">
        <v>5072</v>
      </c>
      <c r="M193" t="s">
        <v>4782</v>
      </c>
      <c r="N193" t="s">
        <v>4782</v>
      </c>
      <c r="O193" t="s">
        <v>4782</v>
      </c>
      <c r="P193" t="s">
        <v>4782</v>
      </c>
      <c r="Q193" t="s">
        <v>4782</v>
      </c>
      <c r="R193" t="s">
        <v>4782</v>
      </c>
      <c r="S193">
        <f t="array" ref="S193">SUM(IFERROR(IF(MATCH(I193:R193,$F$4:$Q$4,0)&gt;0,1,0),0))</f>
        <v>2</v>
      </c>
      <c r="T193">
        <f t="shared" ca="1" si="75"/>
        <v>4</v>
      </c>
      <c r="U193">
        <f ca="1">T193+COUNTIF(T$5:$T192,T193)</f>
        <v>12</v>
      </c>
      <c r="Y193" t="s">
        <v>151</v>
      </c>
      <c r="Z193" t="str">
        <f t="shared" ca="1" si="83"/>
        <v>09_001</v>
      </c>
      <c r="AA193" t="s">
        <v>4783</v>
      </c>
      <c r="AB193" t="s">
        <v>4783</v>
      </c>
      <c r="AC193" t="s">
        <v>4783</v>
      </c>
      <c r="AD193" t="s">
        <v>4873</v>
      </c>
      <c r="AE193" t="s">
        <v>4941</v>
      </c>
      <c r="AF193" t="s">
        <v>5106</v>
      </c>
      <c r="AG193" t="s">
        <v>5107</v>
      </c>
      <c r="AH193" t="s">
        <v>5108</v>
      </c>
      <c r="AI193" t="s">
        <v>5109</v>
      </c>
      <c r="AX193" s="28">
        <v>18000</v>
      </c>
      <c r="AY193" s="28" t="s">
        <v>4855</v>
      </c>
      <c r="AZ193" s="28" t="s">
        <v>5779</v>
      </c>
      <c r="BA193" s="28" t="s">
        <v>5117</v>
      </c>
      <c r="BB193" s="28">
        <v>80</v>
      </c>
      <c r="CD193" s="38">
        <v>189</v>
      </c>
      <c r="CE193" s="38">
        <f t="shared" si="42"/>
        <v>3.6026291037613625</v>
      </c>
      <c r="CF193" s="38">
        <f t="shared" si="80"/>
        <v>189.20412999999999</v>
      </c>
      <c r="CG193" s="38">
        <f t="shared" si="39"/>
        <v>190</v>
      </c>
      <c r="CP193" s="40">
        <v>541</v>
      </c>
      <c r="CQ193" s="41" t="s">
        <v>3696</v>
      </c>
      <c r="CR193" s="41" t="s">
        <v>5825</v>
      </c>
      <c r="CS193" s="41">
        <v>150</v>
      </c>
      <c r="CT193" s="41">
        <v>3</v>
      </c>
      <c r="CU193" s="41">
        <v>20</v>
      </c>
      <c r="CV193" s="41">
        <v>5</v>
      </c>
      <c r="CW193" s="40"/>
      <c r="CX193" s="41" t="s">
        <v>4716</v>
      </c>
      <c r="CY193" s="40" t="s">
        <v>3096</v>
      </c>
      <c r="DB193" t="s">
        <v>213</v>
      </c>
      <c r="DC193" s="7" t="str">
        <f t="shared" ca="1" si="78"/>
        <v>05_007</v>
      </c>
      <c r="DD193" t="s">
        <v>4989</v>
      </c>
      <c r="DE193" t="s">
        <v>4896</v>
      </c>
      <c r="DF193" t="s">
        <v>5058</v>
      </c>
      <c r="DG193" t="s">
        <v>4899</v>
      </c>
      <c r="DH193" t="s">
        <v>5197</v>
      </c>
    </row>
    <row r="194" spans="4:112" ht="14.6">
      <c r="D194" s="6" t="str">
        <f t="shared" ref="D194:D257" si="84">MID(H194,4,233)&amp;"-&gt;"&amp;MID(F194,4,233)</f>
        <v>都城军队-&gt;超级野蛮人</v>
      </c>
      <c r="E194" s="6" t="str">
        <f t="shared" si="44"/>
        <v>#'4.1都城军队'!F5:L13</v>
      </c>
      <c r="F194" t="s">
        <v>885</v>
      </c>
      <c r="G194" t="s">
        <v>5826</v>
      </c>
      <c r="H194" s="6" t="s">
        <v>5827</v>
      </c>
      <c r="I194" t="s">
        <v>5828</v>
      </c>
      <c r="J194" t="s">
        <v>5168</v>
      </c>
      <c r="K194" t="s">
        <v>5085</v>
      </c>
      <c r="L194" t="s">
        <v>5155</v>
      </c>
      <c r="M194" t="s">
        <v>4829</v>
      </c>
      <c r="N194" t="s">
        <v>4830</v>
      </c>
      <c r="O194" t="s">
        <v>4831</v>
      </c>
      <c r="P194" t="s">
        <v>4782</v>
      </c>
      <c r="Q194" t="s">
        <v>4782</v>
      </c>
      <c r="R194" t="s">
        <v>4782</v>
      </c>
      <c r="S194">
        <f t="array" ref="S194">SUM(IFERROR(IF(MATCH(I194:R194,$F$4:$Q$4,0)&gt;0,1,0),0))</f>
        <v>0</v>
      </c>
      <c r="T194">
        <f t="shared" ref="T194:T257" ca="1" si="85">RANK(S194,INDIRECT($T$4))</f>
        <v>37</v>
      </c>
      <c r="U194">
        <f ca="1">T194+COUNTIF(T$5:$T193,T194)</f>
        <v>204</v>
      </c>
      <c r="Y194" t="s">
        <v>2815</v>
      </c>
      <c r="Z194" t="str">
        <f t="shared" ca="1" si="83"/>
        <v>09_001</v>
      </c>
      <c r="AA194" t="s">
        <v>4783</v>
      </c>
      <c r="AB194" t="s">
        <v>4783</v>
      </c>
      <c r="AC194" t="s">
        <v>4783</v>
      </c>
      <c r="AD194" t="s">
        <v>4873</v>
      </c>
      <c r="AE194" t="s">
        <v>4941</v>
      </c>
      <c r="AF194" t="s">
        <v>5106</v>
      </c>
      <c r="AG194" t="s">
        <v>5107</v>
      </c>
      <c r="AH194" t="s">
        <v>5108</v>
      </c>
      <c r="AI194" t="s">
        <v>5109</v>
      </c>
      <c r="AX194" s="28">
        <v>30000</v>
      </c>
      <c r="AY194" s="28" t="s">
        <v>5163</v>
      </c>
      <c r="AZ194" s="28" t="s">
        <v>4745</v>
      </c>
      <c r="BA194" s="28" t="s">
        <v>4689</v>
      </c>
      <c r="BB194" s="28">
        <v>100</v>
      </c>
      <c r="CD194" s="38">
        <v>190</v>
      </c>
      <c r="CE194" s="38">
        <f t="shared" si="42"/>
        <v>3.605267626188803</v>
      </c>
      <c r="CF194" s="38">
        <f t="shared" si="80"/>
        <v>190.20336</v>
      </c>
      <c r="CG194" s="38">
        <f t="shared" si="39"/>
        <v>191</v>
      </c>
      <c r="CP194" s="40">
        <v>542</v>
      </c>
      <c r="CQ194" s="41" t="s">
        <v>3696</v>
      </c>
      <c r="CR194" s="41" t="s">
        <v>5829</v>
      </c>
      <c r="CS194" s="41">
        <v>300</v>
      </c>
      <c r="CT194" s="41">
        <v>8</v>
      </c>
      <c r="CU194" s="41">
        <v>10</v>
      </c>
      <c r="CV194" s="41">
        <v>10</v>
      </c>
      <c r="CW194" s="40"/>
      <c r="CX194" s="41" t="s">
        <v>4716</v>
      </c>
      <c r="CY194" s="40" t="s">
        <v>4717</v>
      </c>
      <c r="DB194" t="s">
        <v>215</v>
      </c>
      <c r="DC194" s="7" t="str">
        <f t="shared" ca="1" si="78"/>
        <v>05_002</v>
      </c>
      <c r="DD194" t="s">
        <v>4989</v>
      </c>
      <c r="DE194" t="s">
        <v>4754</v>
      </c>
      <c r="DF194" t="s">
        <v>4755</v>
      </c>
      <c r="DG194" t="s">
        <v>4756</v>
      </c>
      <c r="DH194" t="s">
        <v>4757</v>
      </c>
    </row>
    <row r="195" spans="4:112" ht="14.6">
      <c r="D195" s="6" t="str">
        <f t="shared" si="84"/>
        <v>都城军队-&gt;隐秘弓箭手</v>
      </c>
      <c r="E195" s="6" t="str">
        <f t="shared" si="44"/>
        <v>#'4.1都城军队'!O5:S12</v>
      </c>
      <c r="F195" t="s">
        <v>1436</v>
      </c>
      <c r="G195" t="s">
        <v>5830</v>
      </c>
      <c r="H195" s="6" t="s">
        <v>5827</v>
      </c>
      <c r="I195" t="s">
        <v>5828</v>
      </c>
      <c r="J195" t="s">
        <v>5168</v>
      </c>
      <c r="K195" t="s">
        <v>5226</v>
      </c>
      <c r="L195" t="s">
        <v>5227</v>
      </c>
      <c r="M195" t="s">
        <v>4869</v>
      </c>
      <c r="N195" t="s">
        <v>4870</v>
      </c>
      <c r="O195" t="s">
        <v>4890</v>
      </c>
      <c r="P195" t="s">
        <v>4782</v>
      </c>
      <c r="Q195" t="s">
        <v>4782</v>
      </c>
      <c r="R195" t="s">
        <v>4782</v>
      </c>
      <c r="S195">
        <f t="array" ref="S195">SUM(IFERROR(IF(MATCH(I195:R195,$F$4:$Q$4,0)&gt;0,1,0),0))</f>
        <v>0</v>
      </c>
      <c r="T195">
        <f t="shared" ca="1" si="85"/>
        <v>37</v>
      </c>
      <c r="U195">
        <f ca="1">T195+COUNTIF(T$5:$T194,T195)</f>
        <v>205</v>
      </c>
      <c r="Y195" t="s">
        <v>156</v>
      </c>
      <c r="Z195" t="str">
        <f t="shared" ca="1" si="83"/>
        <v>09_001</v>
      </c>
      <c r="AA195" t="s">
        <v>4783</v>
      </c>
      <c r="AB195" t="s">
        <v>4783</v>
      </c>
      <c r="AC195" t="s">
        <v>4783</v>
      </c>
      <c r="AD195" t="s">
        <v>4783</v>
      </c>
      <c r="AE195" t="s">
        <v>4941</v>
      </c>
      <c r="AF195" t="s">
        <v>5106</v>
      </c>
      <c r="AG195" t="s">
        <v>5107</v>
      </c>
      <c r="AH195" t="s">
        <v>5108</v>
      </c>
      <c r="AI195" t="s">
        <v>5109</v>
      </c>
      <c r="AX195" s="28">
        <v>50000</v>
      </c>
      <c r="AY195" s="28" t="s">
        <v>4750</v>
      </c>
      <c r="AZ195" s="28" t="s">
        <v>4751</v>
      </c>
      <c r="BA195" s="28" t="s">
        <v>3432</v>
      </c>
      <c r="BB195" s="28">
        <v>120</v>
      </c>
      <c r="CD195" s="38">
        <v>191</v>
      </c>
      <c r="CE195" s="38">
        <f t="shared" si="42"/>
        <v>3.6078922981048134</v>
      </c>
      <c r="CF195" s="38">
        <f t="shared" si="80"/>
        <v>191.20259999999999</v>
      </c>
      <c r="CG195" s="38">
        <f t="shared" si="39"/>
        <v>192</v>
      </c>
      <c r="CP195" s="40">
        <v>543</v>
      </c>
      <c r="CQ195" s="41" t="s">
        <v>3696</v>
      </c>
      <c r="CR195" s="41" t="s">
        <v>5831</v>
      </c>
      <c r="CS195" s="41">
        <v>600</v>
      </c>
      <c r="CT195" s="41">
        <v>24</v>
      </c>
      <c r="CU195" s="41">
        <v>5</v>
      </c>
      <c r="CV195" s="41">
        <v>15</v>
      </c>
      <c r="CW195" s="40"/>
      <c r="CX195" s="41" t="s">
        <v>4716</v>
      </c>
      <c r="CY195" s="40" t="s">
        <v>3104</v>
      </c>
      <c r="DB195" t="s">
        <v>216</v>
      </c>
      <c r="DC195" s="7" t="str">
        <f t="shared" ca="1" si="78"/>
        <v>05_005</v>
      </c>
      <c r="DD195" t="s">
        <v>5248</v>
      </c>
      <c r="DE195" t="s">
        <v>4896</v>
      </c>
      <c r="DF195" t="s">
        <v>5058</v>
      </c>
      <c r="DG195" t="s">
        <v>4898</v>
      </c>
      <c r="DH195" t="s">
        <v>5051</v>
      </c>
    </row>
    <row r="196" spans="4:112" ht="14.6">
      <c r="D196" s="6" t="str">
        <f t="shared" si="84"/>
        <v>都城军队-&gt;超级巨人</v>
      </c>
      <c r="E196" s="6" t="str">
        <f t="shared" si="44"/>
        <v>#'4.1都城军队'!W5:AC12</v>
      </c>
      <c r="F196" t="s">
        <v>1725</v>
      </c>
      <c r="G196" t="s">
        <v>5832</v>
      </c>
      <c r="H196" s="6" t="s">
        <v>5827</v>
      </c>
      <c r="I196" t="s">
        <v>5828</v>
      </c>
      <c r="J196" t="s">
        <v>5168</v>
      </c>
      <c r="K196" t="s">
        <v>5085</v>
      </c>
      <c r="L196" t="s">
        <v>5155</v>
      </c>
      <c r="M196" t="s">
        <v>4927</v>
      </c>
      <c r="N196" t="s">
        <v>4831</v>
      </c>
      <c r="O196" t="s">
        <v>4782</v>
      </c>
      <c r="P196" t="s">
        <v>4782</v>
      </c>
      <c r="Q196" t="s">
        <v>4782</v>
      </c>
      <c r="R196" t="s">
        <v>4782</v>
      </c>
      <c r="S196">
        <f t="array" ref="S196">SUM(IFERROR(IF(MATCH(I196:R196,$F$4:$Q$4,0)&gt;0,1,0),0))</f>
        <v>0</v>
      </c>
      <c r="T196">
        <f t="shared" ca="1" si="85"/>
        <v>37</v>
      </c>
      <c r="U196">
        <f ca="1">T196+COUNTIF(T$5:$T195,T196)</f>
        <v>206</v>
      </c>
      <c r="Y196" t="s">
        <v>159</v>
      </c>
      <c r="Z196" t="str">
        <f t="shared" ca="1" si="83"/>
        <v>09_001</v>
      </c>
      <c r="AA196" t="s">
        <v>4783</v>
      </c>
      <c r="AB196" t="s">
        <v>4783</v>
      </c>
      <c r="AC196" t="s">
        <v>4783</v>
      </c>
      <c r="AD196" t="s">
        <v>4783</v>
      </c>
      <c r="AE196" t="s">
        <v>4783</v>
      </c>
      <c r="AF196" t="s">
        <v>5106</v>
      </c>
      <c r="AG196" t="s">
        <v>5107</v>
      </c>
      <c r="AH196" t="s">
        <v>5108</v>
      </c>
      <c r="AI196" t="s">
        <v>5109</v>
      </c>
      <c r="AX196" s="28">
        <v>3000</v>
      </c>
      <c r="AY196" s="28" t="s">
        <v>4794</v>
      </c>
      <c r="AZ196" s="28" t="s">
        <v>5467</v>
      </c>
      <c r="BA196" s="28" t="s">
        <v>4878</v>
      </c>
      <c r="BB196" s="28">
        <v>20</v>
      </c>
      <c r="CD196" s="38">
        <v>192</v>
      </c>
      <c r="CE196" s="38">
        <f t="shared" si="42"/>
        <v>3.6105032641622548</v>
      </c>
      <c r="CF196" s="38">
        <f t="shared" si="80"/>
        <v>192.20184</v>
      </c>
      <c r="CG196" s="38">
        <f t="shared" ref="CG196:CG259" si="86">RANK(CF196,$CF$4:$CF$305,1)</f>
        <v>193</v>
      </c>
      <c r="CP196" s="40">
        <v>544</v>
      </c>
      <c r="CQ196" s="41" t="s">
        <v>3701</v>
      </c>
      <c r="CR196" s="41" t="s">
        <v>5833</v>
      </c>
      <c r="CS196" s="41">
        <v>150</v>
      </c>
      <c r="CT196" s="41">
        <v>3</v>
      </c>
      <c r="CU196" s="41">
        <v>20</v>
      </c>
      <c r="CV196" s="41">
        <v>5</v>
      </c>
      <c r="CW196" s="40"/>
      <c r="CX196" s="41" t="s">
        <v>4716</v>
      </c>
      <c r="CY196" s="40" t="s">
        <v>3096</v>
      </c>
      <c r="DC196" s="7">
        <f t="shared" ca="1" si="78"/>
        <v>0</v>
      </c>
    </row>
    <row r="197" spans="4:112" ht="14.6">
      <c r="D197" s="6" t="str">
        <f t="shared" si="84"/>
        <v>都城军队-&gt;野蛮人攻城槌</v>
      </c>
      <c r="E197" s="6" t="str">
        <f t="shared" si="44"/>
        <v>#'4.1都城军队'!F18:M24</v>
      </c>
      <c r="F197" t="s">
        <v>1732</v>
      </c>
      <c r="G197" t="s">
        <v>5834</v>
      </c>
      <c r="H197" s="6" t="s">
        <v>5827</v>
      </c>
      <c r="I197" t="s">
        <v>5828</v>
      </c>
      <c r="J197" t="s">
        <v>5168</v>
      </c>
      <c r="K197" t="s">
        <v>4829</v>
      </c>
      <c r="L197" t="s">
        <v>4830</v>
      </c>
      <c r="M197" t="s">
        <v>4831</v>
      </c>
      <c r="N197" t="s">
        <v>5167</v>
      </c>
      <c r="O197" t="s">
        <v>5168</v>
      </c>
      <c r="P197" t="s">
        <v>5835</v>
      </c>
      <c r="Q197" t="s">
        <v>4782</v>
      </c>
      <c r="R197" t="s">
        <v>4782</v>
      </c>
      <c r="S197">
        <f t="array" ref="S197">SUM(IFERROR(IF(MATCH(I197:R197,$F$4:$Q$4,0)&gt;0,1,0),0))</f>
        <v>0</v>
      </c>
      <c r="T197">
        <f t="shared" ca="1" si="85"/>
        <v>37</v>
      </c>
      <c r="U197">
        <f ca="1">T197+COUNTIF(T$5:$T196,T197)</f>
        <v>207</v>
      </c>
      <c r="Y197" t="s">
        <v>161</v>
      </c>
      <c r="Z197" t="str">
        <f t="shared" ca="1" si="83"/>
        <v>09_001</v>
      </c>
      <c r="AA197" t="s">
        <v>4783</v>
      </c>
      <c r="AB197" t="s">
        <v>4783</v>
      </c>
      <c r="AC197" t="s">
        <v>4783</v>
      </c>
      <c r="AD197" t="s">
        <v>4783</v>
      </c>
      <c r="AE197" t="s">
        <v>4783</v>
      </c>
      <c r="AF197" t="s">
        <v>4783</v>
      </c>
      <c r="AG197" t="s">
        <v>5107</v>
      </c>
      <c r="AH197" t="s">
        <v>5108</v>
      </c>
      <c r="AI197" t="s">
        <v>5109</v>
      </c>
      <c r="AX197" s="28">
        <v>7500</v>
      </c>
      <c r="AY197" s="28" t="s">
        <v>4674</v>
      </c>
      <c r="AZ197" s="28" t="s">
        <v>4673</v>
      </c>
      <c r="BA197" s="28" t="s">
        <v>5538</v>
      </c>
      <c r="BB197" s="28">
        <v>40</v>
      </c>
      <c r="CD197" s="38">
        <v>193</v>
      </c>
      <c r="CE197" s="38">
        <f t="shared" si="42"/>
        <v>3.6131006667596575</v>
      </c>
      <c r="CF197" s="38">
        <f t="shared" si="80"/>
        <v>193.20108999999999</v>
      </c>
      <c r="CG197" s="38">
        <f t="shared" si="86"/>
        <v>194</v>
      </c>
      <c r="CP197" s="40">
        <v>545</v>
      </c>
      <c r="CQ197" s="41" t="s">
        <v>3701</v>
      </c>
      <c r="CR197" s="41" t="s">
        <v>5836</v>
      </c>
      <c r="CS197" s="41">
        <v>300</v>
      </c>
      <c r="CT197" s="41">
        <v>8</v>
      </c>
      <c r="CU197" s="41">
        <v>10</v>
      </c>
      <c r="CV197" s="41">
        <v>10</v>
      </c>
      <c r="CW197" s="40"/>
      <c r="CX197" s="41" t="s">
        <v>4716</v>
      </c>
      <c r="CY197" s="40" t="s">
        <v>4717</v>
      </c>
      <c r="DC197" s="7">
        <f t="shared" ca="1" si="78"/>
        <v>0</v>
      </c>
    </row>
    <row r="198" spans="4:112" ht="14.6">
      <c r="D198" s="6" t="str">
        <f t="shared" si="84"/>
        <v>都城军队-&gt;亡灵大军</v>
      </c>
      <c r="E198" s="6" t="str">
        <f t="shared" si="44"/>
        <v>#'4.1都城军队'!O18:T24</v>
      </c>
      <c r="F198" t="s">
        <v>1739</v>
      </c>
      <c r="G198" t="s">
        <v>5837</v>
      </c>
      <c r="H198" s="6" t="s">
        <v>5827</v>
      </c>
      <c r="I198" t="s">
        <v>5828</v>
      </c>
      <c r="J198" t="s">
        <v>5168</v>
      </c>
      <c r="K198" t="s">
        <v>4802</v>
      </c>
      <c r="L198" t="s">
        <v>4803</v>
      </c>
      <c r="M198" t="s">
        <v>4859</v>
      </c>
      <c r="N198" t="s">
        <v>5838</v>
      </c>
      <c r="O198" t="s">
        <v>4782</v>
      </c>
      <c r="P198" t="s">
        <v>4782</v>
      </c>
      <c r="Q198" t="s">
        <v>4782</v>
      </c>
      <c r="R198" t="s">
        <v>4782</v>
      </c>
      <c r="S198">
        <f t="array" ref="S198">SUM(IFERROR(IF(MATCH(I198:R198,$F$4:$Q$4,0)&gt;0,1,0),0))</f>
        <v>0</v>
      </c>
      <c r="T198">
        <f t="shared" ca="1" si="85"/>
        <v>37</v>
      </c>
      <c r="U198">
        <f ca="1">T198+COUNTIF(T$5:$T197,T198)</f>
        <v>208</v>
      </c>
      <c r="Y198" t="s">
        <v>164</v>
      </c>
      <c r="Z198" t="str">
        <f t="shared" ca="1" si="83"/>
        <v>09_001</v>
      </c>
      <c r="AA198" t="s">
        <v>4783</v>
      </c>
      <c r="AB198" t="s">
        <v>4783</v>
      </c>
      <c r="AC198" t="s">
        <v>4783</v>
      </c>
      <c r="AD198" t="s">
        <v>4783</v>
      </c>
      <c r="AE198" t="s">
        <v>4783</v>
      </c>
      <c r="AF198" t="s">
        <v>4783</v>
      </c>
      <c r="AG198" t="s">
        <v>4783</v>
      </c>
      <c r="AH198" t="s">
        <v>5108</v>
      </c>
      <c r="AI198" t="s">
        <v>5109</v>
      </c>
      <c r="AX198" s="28">
        <v>12000</v>
      </c>
      <c r="AY198" s="28" t="s">
        <v>4963</v>
      </c>
      <c r="AZ198" s="28" t="s">
        <v>4845</v>
      </c>
      <c r="BA198" s="28" t="s">
        <v>4795</v>
      </c>
      <c r="BB198" s="28">
        <v>60</v>
      </c>
      <c r="CD198" s="38">
        <v>194</v>
      </c>
      <c r="CE198" s="38">
        <f t="shared" ref="CE198:CE261" si="87">CE197+1/(2*CD198-1)</f>
        <v>3.6156846460878227</v>
      </c>
      <c r="CF198" s="38">
        <f t="shared" si="80"/>
        <v>194.20034000000001</v>
      </c>
      <c r="CG198" s="38">
        <f t="shared" si="86"/>
        <v>195</v>
      </c>
      <c r="CP198" s="40">
        <v>546</v>
      </c>
      <c r="CQ198" s="41" t="s">
        <v>3701</v>
      </c>
      <c r="CR198" s="41" t="s">
        <v>5839</v>
      </c>
      <c r="CS198" s="41">
        <v>600</v>
      </c>
      <c r="CT198" s="41">
        <v>24</v>
      </c>
      <c r="CU198" s="41">
        <v>5</v>
      </c>
      <c r="CV198" s="41">
        <v>15</v>
      </c>
      <c r="CW198" s="40"/>
      <c r="CX198" s="41" t="s">
        <v>4716</v>
      </c>
      <c r="CY198" s="40" t="s">
        <v>3104</v>
      </c>
      <c r="DB198" t="s">
        <v>217</v>
      </c>
      <c r="DC198" s="7">
        <f t="shared" ca="1" si="78"/>
        <v>4</v>
      </c>
      <c r="DD198">
        <v>4</v>
      </c>
      <c r="DE198">
        <v>4</v>
      </c>
      <c r="DF198">
        <v>4</v>
      </c>
      <c r="DG198">
        <v>4</v>
      </c>
      <c r="DH198">
        <v>4</v>
      </c>
    </row>
    <row r="199" spans="4:112" ht="14.6">
      <c r="D199" s="6" t="str">
        <f t="shared" si="84"/>
        <v>都城军队-&gt;超级法师</v>
      </c>
      <c r="E199" s="6" t="str">
        <f t="shared" si="44"/>
        <v>#'4.1都城军队'!W18:AC24</v>
      </c>
      <c r="F199" t="s">
        <v>1746</v>
      </c>
      <c r="G199" t="s">
        <v>5840</v>
      </c>
      <c r="H199" s="6" t="s">
        <v>5827</v>
      </c>
      <c r="I199" t="s">
        <v>5828</v>
      </c>
      <c r="J199" t="s">
        <v>5168</v>
      </c>
      <c r="K199" t="s">
        <v>5085</v>
      </c>
      <c r="L199" t="s">
        <v>5155</v>
      </c>
      <c r="M199" t="s">
        <v>5037</v>
      </c>
      <c r="N199" t="s">
        <v>5038</v>
      </c>
      <c r="O199" t="s">
        <v>4782</v>
      </c>
      <c r="P199" t="s">
        <v>4782</v>
      </c>
      <c r="Q199" t="s">
        <v>4782</v>
      </c>
      <c r="R199" t="s">
        <v>4782</v>
      </c>
      <c r="S199">
        <f t="array" ref="S199">SUM(IFERROR(IF(MATCH(I199:R199,$F$4:$Q$4,0)&gt;0,1,0),0))</f>
        <v>0</v>
      </c>
      <c r="T199">
        <f t="shared" ca="1" si="85"/>
        <v>37</v>
      </c>
      <c r="U199">
        <f ca="1">T199+COUNTIF(T$5:$T198,T199)</f>
        <v>209</v>
      </c>
      <c r="Y199" t="s">
        <v>2488</v>
      </c>
      <c r="Z199" t="str">
        <f t="shared" ca="1" si="83"/>
        <v>09_001</v>
      </c>
      <c r="AA199" t="s">
        <v>4783</v>
      </c>
      <c r="AB199" t="s">
        <v>4783</v>
      </c>
      <c r="AC199" t="s">
        <v>4783</v>
      </c>
      <c r="AD199" t="s">
        <v>4783</v>
      </c>
      <c r="AE199" t="s">
        <v>4783</v>
      </c>
      <c r="AF199" t="s">
        <v>4783</v>
      </c>
      <c r="AG199" t="s">
        <v>4783</v>
      </c>
      <c r="AH199" t="s">
        <v>4783</v>
      </c>
      <c r="AI199" t="s">
        <v>5109</v>
      </c>
      <c r="AX199" s="28">
        <v>18000</v>
      </c>
      <c r="AY199" s="28" t="s">
        <v>5693</v>
      </c>
      <c r="AZ199" s="28" t="s">
        <v>4945</v>
      </c>
      <c r="BA199" s="28" t="s">
        <v>4689</v>
      </c>
      <c r="BB199" s="28">
        <v>80</v>
      </c>
      <c r="CD199" s="38">
        <v>195</v>
      </c>
      <c r="CE199" s="38">
        <f t="shared" si="87"/>
        <v>3.6182553401752262</v>
      </c>
      <c r="CF199" s="38">
        <f t="shared" si="80"/>
        <v>195.19959</v>
      </c>
      <c r="CG199" s="38">
        <f t="shared" si="86"/>
        <v>196</v>
      </c>
      <c r="CP199" s="40">
        <v>547</v>
      </c>
      <c r="CQ199" s="41" t="s">
        <v>3708</v>
      </c>
      <c r="CR199" s="41" t="s">
        <v>5841</v>
      </c>
      <c r="CS199" s="41">
        <v>150</v>
      </c>
      <c r="CT199" s="41">
        <v>3</v>
      </c>
      <c r="CU199" s="41">
        <v>75</v>
      </c>
      <c r="CV199" s="41">
        <v>5</v>
      </c>
      <c r="CW199" s="40"/>
      <c r="CX199" s="41" t="s">
        <v>4716</v>
      </c>
      <c r="CY199" s="40" t="s">
        <v>3096</v>
      </c>
      <c r="DB199" t="s">
        <v>220</v>
      </c>
      <c r="DC199" s="7">
        <f t="shared" ca="1" si="78"/>
        <v>8</v>
      </c>
      <c r="DD199">
        <v>4</v>
      </c>
      <c r="DE199">
        <v>6</v>
      </c>
      <c r="DF199">
        <v>8</v>
      </c>
      <c r="DG199">
        <v>8</v>
      </c>
      <c r="DH199">
        <v>8</v>
      </c>
    </row>
    <row r="200" spans="4:112" ht="14.6">
      <c r="D200" s="6" t="str">
        <f t="shared" si="84"/>
        <v>都城军队-&gt;火箭气球兵</v>
      </c>
      <c r="E200" s="6" t="str">
        <f t="shared" si="44"/>
        <v>#'4.1都城军队'!F28:L38</v>
      </c>
      <c r="F200" t="s">
        <v>1752</v>
      </c>
      <c r="G200" t="s">
        <v>5842</v>
      </c>
      <c r="H200" s="6" t="s">
        <v>5827</v>
      </c>
      <c r="I200" t="s">
        <v>5828</v>
      </c>
      <c r="J200" t="s">
        <v>5168</v>
      </c>
      <c r="K200" t="s">
        <v>5149</v>
      </c>
      <c r="L200" t="s">
        <v>4870</v>
      </c>
      <c r="M200" t="s">
        <v>5022</v>
      </c>
      <c r="N200" t="s">
        <v>5023</v>
      </c>
      <c r="O200" t="s">
        <v>5024</v>
      </c>
      <c r="P200" t="s">
        <v>4782</v>
      </c>
      <c r="Q200" t="s">
        <v>4782</v>
      </c>
      <c r="R200" t="s">
        <v>4782</v>
      </c>
      <c r="S200">
        <f t="array" ref="S200">SUM(IFERROR(IF(MATCH(I200:R200,$F$4:$Q$4,0)&gt;0,1,0),0))</f>
        <v>0</v>
      </c>
      <c r="T200">
        <f t="shared" ca="1" si="85"/>
        <v>37</v>
      </c>
      <c r="U200">
        <f ca="1">T200+COUNTIF(T$5:$T199,T200)</f>
        <v>210</v>
      </c>
      <c r="AX200" s="28">
        <v>30000</v>
      </c>
      <c r="AY200" s="28" t="s">
        <v>5164</v>
      </c>
      <c r="AZ200" s="28" t="s">
        <v>5117</v>
      </c>
      <c r="BA200" s="28" t="s">
        <v>4714</v>
      </c>
      <c r="BB200" s="28">
        <v>100</v>
      </c>
      <c r="CD200" s="38">
        <v>196</v>
      </c>
      <c r="CE200" s="38">
        <f t="shared" si="87"/>
        <v>3.6208128849322594</v>
      </c>
      <c r="CF200" s="38">
        <f t="shared" si="80"/>
        <v>196.19884999999999</v>
      </c>
      <c r="CG200" s="38">
        <f t="shared" si="86"/>
        <v>197</v>
      </c>
      <c r="CP200" s="40">
        <v>548</v>
      </c>
      <c r="CQ200" s="41" t="s">
        <v>3708</v>
      </c>
      <c r="CR200" s="41" t="s">
        <v>5843</v>
      </c>
      <c r="CS200" s="41">
        <v>300</v>
      </c>
      <c r="CT200" s="41">
        <v>8</v>
      </c>
      <c r="CU200" s="41">
        <v>50</v>
      </c>
      <c r="CV200" s="41">
        <v>10</v>
      </c>
      <c r="CW200" s="40"/>
      <c r="CX200" s="41" t="s">
        <v>4716</v>
      </c>
      <c r="CY200" s="40" t="s">
        <v>4717</v>
      </c>
      <c r="DB200" t="s">
        <v>219</v>
      </c>
      <c r="DC200" s="7">
        <f t="shared" ca="1" si="78"/>
        <v>8</v>
      </c>
      <c r="DD200">
        <v>0</v>
      </c>
      <c r="DE200">
        <v>2</v>
      </c>
      <c r="DF200">
        <v>4</v>
      </c>
      <c r="DG200">
        <v>6</v>
      </c>
      <c r="DH200">
        <v>8</v>
      </c>
    </row>
    <row r="201" spans="4:112" ht="14.6">
      <c r="D201" s="6" t="str">
        <f t="shared" si="84"/>
        <v>都城军队-&gt;骷髅飞桶</v>
      </c>
      <c r="E201" s="6" t="str">
        <f t="shared" si="44"/>
        <v>#'4.1都城军队'!O28:T34</v>
      </c>
      <c r="F201" t="s">
        <v>1756</v>
      </c>
      <c r="G201" t="s">
        <v>5844</v>
      </c>
      <c r="H201" s="6" t="s">
        <v>5827</v>
      </c>
      <c r="I201" t="s">
        <v>5828</v>
      </c>
      <c r="J201" t="s">
        <v>5168</v>
      </c>
      <c r="K201" t="s">
        <v>5010</v>
      </c>
      <c r="L201" t="s">
        <v>5234</v>
      </c>
      <c r="M201" t="s">
        <v>4968</v>
      </c>
      <c r="N201" t="s">
        <v>5845</v>
      </c>
      <c r="O201" t="s">
        <v>4782</v>
      </c>
      <c r="P201" t="s">
        <v>4782</v>
      </c>
      <c r="Q201" t="s">
        <v>4782</v>
      </c>
      <c r="R201" t="s">
        <v>4782</v>
      </c>
      <c r="S201">
        <f t="array" ref="S201">SUM(IFERROR(IF(MATCH(I201:R201,$F$4:$Q$4,0)&gt;0,1,0),0))</f>
        <v>1</v>
      </c>
      <c r="T201">
        <f t="shared" ca="1" si="85"/>
        <v>20</v>
      </c>
      <c r="U201">
        <f ca="1">T201+COUNTIF(T$5:$T200,T201)</f>
        <v>31</v>
      </c>
      <c r="Y201" t="s">
        <v>140</v>
      </c>
      <c r="Z201">
        <f t="shared" ref="Z201:Z211" ca="1" si="88">OFFSET(AA201,0,$Z$168-1)</f>
        <v>18</v>
      </c>
      <c r="AA201">
        <v>2</v>
      </c>
      <c r="AB201">
        <v>4</v>
      </c>
      <c r="AC201">
        <v>6</v>
      </c>
      <c r="AD201">
        <v>8</v>
      </c>
      <c r="AE201">
        <v>10</v>
      </c>
      <c r="AF201">
        <v>12</v>
      </c>
      <c r="AG201">
        <v>14</v>
      </c>
      <c r="AH201">
        <v>16</v>
      </c>
      <c r="AI201">
        <v>18</v>
      </c>
      <c r="AX201" s="28">
        <v>50000</v>
      </c>
      <c r="AY201" s="28" t="s">
        <v>4866</v>
      </c>
      <c r="AZ201" s="28" t="s">
        <v>4855</v>
      </c>
      <c r="BA201" s="28" t="s">
        <v>5569</v>
      </c>
      <c r="BB201" s="28">
        <v>120</v>
      </c>
      <c r="CD201" s="38">
        <v>197</v>
      </c>
      <c r="CE201" s="38">
        <f t="shared" si="87"/>
        <v>3.6233574141943459</v>
      </c>
      <c r="CF201" s="38">
        <f t="shared" si="80"/>
        <v>197.19811999999999</v>
      </c>
      <c r="CG201" s="38">
        <f t="shared" si="86"/>
        <v>198</v>
      </c>
      <c r="CP201" s="40">
        <v>549</v>
      </c>
      <c r="CQ201" s="41" t="s">
        <v>3708</v>
      </c>
      <c r="CR201" s="41" t="s">
        <v>5846</v>
      </c>
      <c r="CS201" s="41">
        <v>600</v>
      </c>
      <c r="CT201" s="41">
        <v>24</v>
      </c>
      <c r="CU201" s="41">
        <v>25</v>
      </c>
      <c r="CV201" s="41">
        <v>15</v>
      </c>
      <c r="CW201" s="40"/>
      <c r="CX201" s="41" t="s">
        <v>4716</v>
      </c>
      <c r="CY201" s="40" t="s">
        <v>3104</v>
      </c>
      <c r="DC201" s="7"/>
    </row>
    <row r="202" spans="4:112" ht="14.6">
      <c r="D202" s="6" t="str">
        <f t="shared" si="84"/>
        <v>都城军队-&gt;空中堡垒</v>
      </c>
      <c r="E202" s="6" t="str">
        <f t="shared" ref="E202:E265" si="89">"#'"&amp;H202&amp;"'!"&amp;G202</f>
        <v>#'4.1都城军队'!W28:AE34</v>
      </c>
      <c r="F202" t="s">
        <v>1762</v>
      </c>
      <c r="G202" t="s">
        <v>5847</v>
      </c>
      <c r="H202" s="6" t="s">
        <v>5827</v>
      </c>
      <c r="I202" t="s">
        <v>5828</v>
      </c>
      <c r="J202" t="s">
        <v>5168</v>
      </c>
      <c r="K202" t="s">
        <v>5429</v>
      </c>
      <c r="L202" t="s">
        <v>5430</v>
      </c>
      <c r="M202" t="s">
        <v>5389</v>
      </c>
      <c r="N202" t="s">
        <v>5848</v>
      </c>
      <c r="O202" t="s">
        <v>4782</v>
      </c>
      <c r="P202" t="s">
        <v>4782</v>
      </c>
      <c r="Q202" t="s">
        <v>4782</v>
      </c>
      <c r="R202" t="s">
        <v>4782</v>
      </c>
      <c r="S202">
        <f t="array" ref="S202">SUM(IFERROR(IF(MATCH(I202:R202,$F$4:$Q$4,0)&gt;0,1,0),0))</f>
        <v>0</v>
      </c>
      <c r="T202">
        <f t="shared" ca="1" si="85"/>
        <v>37</v>
      </c>
      <c r="U202">
        <f ca="1">T202+COUNTIF(T$5:$T201,T202)</f>
        <v>211</v>
      </c>
      <c r="Y202" t="s">
        <v>141</v>
      </c>
      <c r="Z202">
        <f t="shared" ca="1" si="88"/>
        <v>18</v>
      </c>
      <c r="AA202">
        <v>0</v>
      </c>
      <c r="AB202">
        <v>4</v>
      </c>
      <c r="AC202">
        <v>6</v>
      </c>
      <c r="AD202">
        <v>8</v>
      </c>
      <c r="AE202">
        <v>10</v>
      </c>
      <c r="AF202">
        <v>12</v>
      </c>
      <c r="AG202">
        <v>14</v>
      </c>
      <c r="AH202">
        <v>16</v>
      </c>
      <c r="AI202">
        <v>18</v>
      </c>
      <c r="AX202" s="28">
        <v>75000</v>
      </c>
      <c r="AY202" s="28" t="s">
        <v>5376</v>
      </c>
      <c r="AZ202" s="28" t="s">
        <v>4865</v>
      </c>
      <c r="BA202" s="28" t="s">
        <v>3432</v>
      </c>
      <c r="BB202" s="28">
        <v>140</v>
      </c>
      <c r="CD202" s="38">
        <v>198</v>
      </c>
      <c r="CE202" s="38">
        <f t="shared" si="87"/>
        <v>3.6258890597639661</v>
      </c>
      <c r="CF202" s="38">
        <f t="shared" si="80"/>
        <v>198.19738000000001</v>
      </c>
      <c r="CG202" s="38">
        <f t="shared" si="86"/>
        <v>199</v>
      </c>
      <c r="CP202" s="40">
        <v>550</v>
      </c>
      <c r="CQ202" s="41" t="s">
        <v>3725</v>
      </c>
      <c r="CR202" s="41" t="s">
        <v>3744</v>
      </c>
      <c r="CS202" s="41">
        <v>150</v>
      </c>
      <c r="CT202" s="41">
        <v>3</v>
      </c>
      <c r="CU202" s="41">
        <v>30</v>
      </c>
      <c r="CV202" s="41">
        <v>5</v>
      </c>
      <c r="CW202" s="40"/>
      <c r="CX202" s="41" t="s">
        <v>4716</v>
      </c>
      <c r="CY202" s="40" t="s">
        <v>4717</v>
      </c>
      <c r="DC202" s="7"/>
    </row>
    <row r="203" spans="4:112" ht="14.6">
      <c r="D203" s="6" t="str">
        <f t="shared" si="84"/>
        <v>都城军队-&gt;突袭炮车</v>
      </c>
      <c r="E203" s="6" t="str">
        <f t="shared" si="89"/>
        <v>#'4.1都城军队'!F42:L50</v>
      </c>
      <c r="F203" t="s">
        <v>1766</v>
      </c>
      <c r="G203" t="s">
        <v>5849</v>
      </c>
      <c r="H203" s="6" t="s">
        <v>5827</v>
      </c>
      <c r="I203" t="s">
        <v>5828</v>
      </c>
      <c r="J203" t="s">
        <v>5168</v>
      </c>
      <c r="K203" t="s">
        <v>5850</v>
      </c>
      <c r="L203" t="s">
        <v>5851</v>
      </c>
      <c r="M203" t="s">
        <v>5327</v>
      </c>
      <c r="N203" t="s">
        <v>5177</v>
      </c>
      <c r="O203" t="s">
        <v>4782</v>
      </c>
      <c r="P203" t="s">
        <v>4782</v>
      </c>
      <c r="Q203" t="s">
        <v>4782</v>
      </c>
      <c r="R203" t="s">
        <v>4782</v>
      </c>
      <c r="S203">
        <f t="array" ref="S203">SUM(IFERROR(IF(MATCH(I203:R203,$F$4:$Q$4,0)&gt;0,1,0),0))</f>
        <v>0</v>
      </c>
      <c r="T203">
        <f t="shared" ca="1" si="85"/>
        <v>37</v>
      </c>
      <c r="U203">
        <f ca="1">T203+COUNTIF(T$5:$T202,T203)</f>
        <v>212</v>
      </c>
      <c r="Y203" t="s">
        <v>144</v>
      </c>
      <c r="Z203">
        <f t="shared" ca="1" si="88"/>
        <v>18</v>
      </c>
      <c r="AA203">
        <v>0</v>
      </c>
      <c r="AB203">
        <v>0</v>
      </c>
      <c r="AC203">
        <v>4</v>
      </c>
      <c r="AD203">
        <v>8</v>
      </c>
      <c r="AE203">
        <v>10</v>
      </c>
      <c r="AF203">
        <v>12</v>
      </c>
      <c r="AG203">
        <v>14</v>
      </c>
      <c r="AH203">
        <v>16</v>
      </c>
      <c r="AI203">
        <v>18</v>
      </c>
      <c r="AX203" s="28">
        <v>3000</v>
      </c>
      <c r="AY203" s="28" t="s">
        <v>5467</v>
      </c>
      <c r="AZ203" s="28" t="s">
        <v>4878</v>
      </c>
      <c r="BA203" s="28" t="s">
        <v>4794</v>
      </c>
      <c r="BB203" s="28">
        <v>20</v>
      </c>
      <c r="CD203" s="38">
        <v>199</v>
      </c>
      <c r="CE203" s="38">
        <f t="shared" si="87"/>
        <v>3.6284079514516234</v>
      </c>
      <c r="CF203" s="38">
        <f t="shared" si="80"/>
        <v>199.19665000000001</v>
      </c>
      <c r="CG203" s="38">
        <f t="shared" si="86"/>
        <v>200</v>
      </c>
      <c r="CP203" s="40">
        <v>551</v>
      </c>
      <c r="CQ203" s="41" t="s">
        <v>3680</v>
      </c>
      <c r="CR203" s="41" t="s">
        <v>3748</v>
      </c>
      <c r="CS203" s="41">
        <v>150</v>
      </c>
      <c r="CT203" s="41">
        <v>3</v>
      </c>
      <c r="CU203" s="41">
        <v>30</v>
      </c>
      <c r="CV203" s="41">
        <v>5</v>
      </c>
      <c r="CW203" s="40"/>
      <c r="CX203" s="41" t="s">
        <v>4716</v>
      </c>
      <c r="CY203" s="40" t="s">
        <v>4717</v>
      </c>
      <c r="DB203" t="s">
        <v>175</v>
      </c>
      <c r="DC203" s="7">
        <f ca="1">DC11</f>
        <v>5</v>
      </c>
    </row>
    <row r="204" spans="4:112" ht="14.6">
      <c r="D204" s="6" t="str">
        <f t="shared" si="84"/>
        <v>都城军队-&gt;超级皮卡</v>
      </c>
      <c r="E204" s="6" t="str">
        <f t="shared" si="89"/>
        <v>#'4.1都城军队'!O42:U50</v>
      </c>
      <c r="F204" t="s">
        <v>1772</v>
      </c>
      <c r="G204" t="s">
        <v>5852</v>
      </c>
      <c r="H204" s="6" t="s">
        <v>5827</v>
      </c>
      <c r="I204" t="s">
        <v>5828</v>
      </c>
      <c r="J204" t="s">
        <v>5168</v>
      </c>
      <c r="K204" t="s">
        <v>5085</v>
      </c>
      <c r="L204" t="s">
        <v>5155</v>
      </c>
      <c r="M204" t="s">
        <v>4999</v>
      </c>
      <c r="N204" t="s">
        <v>5084</v>
      </c>
      <c r="O204" t="s">
        <v>4782</v>
      </c>
      <c r="P204" t="s">
        <v>4782</v>
      </c>
      <c r="Q204" t="s">
        <v>4782</v>
      </c>
      <c r="R204" t="s">
        <v>4782</v>
      </c>
      <c r="S204">
        <f t="array" ref="S204">SUM(IFERROR(IF(MATCH(I204:R204,$F$4:$Q$4,0)&gt;0,1,0),0))</f>
        <v>0</v>
      </c>
      <c r="T204">
        <f t="shared" ca="1" si="85"/>
        <v>37</v>
      </c>
      <c r="U204">
        <f ca="1">T204+COUNTIF(T$5:$T203,T204)</f>
        <v>213</v>
      </c>
      <c r="Y204" t="s">
        <v>146</v>
      </c>
      <c r="Z204">
        <f t="shared" ca="1" si="88"/>
        <v>18</v>
      </c>
      <c r="AA204">
        <v>0</v>
      </c>
      <c r="AB204">
        <v>0</v>
      </c>
      <c r="AC204">
        <v>4</v>
      </c>
      <c r="AD204">
        <v>8</v>
      </c>
      <c r="AE204">
        <v>10</v>
      </c>
      <c r="AF204">
        <v>12</v>
      </c>
      <c r="AG204">
        <v>14</v>
      </c>
      <c r="AH204">
        <v>16</v>
      </c>
      <c r="AI204">
        <v>18</v>
      </c>
      <c r="AX204" s="28">
        <v>7500</v>
      </c>
      <c r="AY204" s="28" t="s">
        <v>5538</v>
      </c>
      <c r="AZ204" s="28" t="s">
        <v>4673</v>
      </c>
      <c r="BA204" s="28" t="s">
        <v>4739</v>
      </c>
      <c r="BB204" s="28">
        <v>40</v>
      </c>
      <c r="CD204" s="38">
        <v>200</v>
      </c>
      <c r="CE204" s="38">
        <f t="shared" si="87"/>
        <v>3.6309142171157838</v>
      </c>
      <c r="CF204" s="38">
        <f t="shared" si="80"/>
        <v>200.19592</v>
      </c>
      <c r="CG204" s="38">
        <f t="shared" si="86"/>
        <v>201</v>
      </c>
      <c r="CP204" s="40">
        <v>552</v>
      </c>
      <c r="CQ204" s="41" t="s">
        <v>3716</v>
      </c>
      <c r="CR204" s="41" t="s">
        <v>3753</v>
      </c>
      <c r="CS204" s="41">
        <v>150</v>
      </c>
      <c r="CT204" s="41">
        <v>3</v>
      </c>
      <c r="CU204" s="41">
        <v>75</v>
      </c>
      <c r="CV204" s="41">
        <v>5</v>
      </c>
      <c r="CW204" s="40"/>
      <c r="CX204" s="41" t="s">
        <v>4716</v>
      </c>
      <c r="CY204" s="40" t="s">
        <v>4717</v>
      </c>
      <c r="DC204" s="7"/>
    </row>
    <row r="205" spans="4:112" ht="14.6">
      <c r="D205" s="6" t="str">
        <f t="shared" si="84"/>
        <v>都城军队-&gt;野猪突袭队</v>
      </c>
      <c r="E205" s="6" t="str">
        <f t="shared" si="89"/>
        <v>#'4.1都城军队'!W42:AD50</v>
      </c>
      <c r="F205" t="s">
        <v>1775</v>
      </c>
      <c r="G205" t="s">
        <v>5853</v>
      </c>
      <c r="H205" s="6" t="s">
        <v>5827</v>
      </c>
      <c r="I205" t="s">
        <v>5828</v>
      </c>
      <c r="J205" t="s">
        <v>5168</v>
      </c>
      <c r="K205" t="s">
        <v>4829</v>
      </c>
      <c r="L205" t="s">
        <v>4902</v>
      </c>
      <c r="M205" t="s">
        <v>5850</v>
      </c>
      <c r="N205" t="s">
        <v>5851</v>
      </c>
      <c r="O205" t="s">
        <v>5854</v>
      </c>
      <c r="P205" t="s">
        <v>5459</v>
      </c>
      <c r="Q205" t="s">
        <v>5167</v>
      </c>
      <c r="R205" t="s">
        <v>4903</v>
      </c>
      <c r="S205">
        <f t="array" ref="S205">SUM(IFERROR(IF(MATCH(I205:R205,$F$4:$Q$4,0)&gt;0,1,0),0))</f>
        <v>0</v>
      </c>
      <c r="T205">
        <f t="shared" ca="1" si="85"/>
        <v>37</v>
      </c>
      <c r="U205">
        <f ca="1">T205+COUNTIF(T$5:$T204,T205)</f>
        <v>214</v>
      </c>
      <c r="Y205" t="s">
        <v>147</v>
      </c>
      <c r="Z205">
        <f t="shared" ca="1" si="88"/>
        <v>18</v>
      </c>
      <c r="AA205">
        <v>0</v>
      </c>
      <c r="AB205">
        <v>0</v>
      </c>
      <c r="AC205">
        <v>0</v>
      </c>
      <c r="AD205">
        <v>8</v>
      </c>
      <c r="AE205">
        <v>10</v>
      </c>
      <c r="AF205">
        <v>12</v>
      </c>
      <c r="AG205">
        <v>14</v>
      </c>
      <c r="AH205">
        <v>16</v>
      </c>
      <c r="AI205">
        <v>18</v>
      </c>
      <c r="AX205" s="28">
        <v>12000</v>
      </c>
      <c r="AY205" s="28" t="s">
        <v>4689</v>
      </c>
      <c r="AZ205" s="28" t="s">
        <v>4713</v>
      </c>
      <c r="BA205" s="28" t="s">
        <v>5468</v>
      </c>
      <c r="BB205" s="28">
        <v>60</v>
      </c>
      <c r="CD205" s="38">
        <v>201</v>
      </c>
      <c r="CE205" s="38">
        <f t="shared" si="87"/>
        <v>3.6334079827018186</v>
      </c>
      <c r="CF205" s="38">
        <f t="shared" si="80"/>
        <v>201.1952</v>
      </c>
      <c r="CG205" s="38">
        <f t="shared" si="86"/>
        <v>202</v>
      </c>
      <c r="CP205" s="40">
        <v>553</v>
      </c>
      <c r="CQ205" s="41" t="s">
        <v>3722</v>
      </c>
      <c r="CR205" s="41" t="s">
        <v>3757</v>
      </c>
      <c r="CS205" s="41">
        <v>150</v>
      </c>
      <c r="CT205" s="41">
        <v>3</v>
      </c>
      <c r="CU205" s="41">
        <v>75</v>
      </c>
      <c r="CV205" s="41">
        <v>5</v>
      </c>
      <c r="CW205" s="40"/>
      <c r="CX205" s="41" t="s">
        <v>4716</v>
      </c>
      <c r="CY205" s="40" t="s">
        <v>4717</v>
      </c>
      <c r="DB205" t="s">
        <v>14</v>
      </c>
      <c r="DC205" s="7" t="str">
        <f ca="1">IF($DC$11&gt;0,OFFSET(DD205,0,$DC$11-1),)</f>
        <v>05_160</v>
      </c>
      <c r="DD205" t="s">
        <v>5497</v>
      </c>
      <c r="DE205" t="s">
        <v>5172</v>
      </c>
      <c r="DF205" t="s">
        <v>5738</v>
      </c>
      <c r="DG205" t="s">
        <v>5739</v>
      </c>
      <c r="DH205" t="s">
        <v>5855</v>
      </c>
    </row>
    <row r="206" spans="4:112" ht="14.6">
      <c r="D206" s="6" t="str">
        <f t="shared" si="84"/>
        <v>都城军队-&gt;超级飞龙</v>
      </c>
      <c r="E206" s="6" t="str">
        <f t="shared" si="89"/>
        <v>#'4.1都城军队'!F54:K63</v>
      </c>
      <c r="F206" t="s">
        <v>1776</v>
      </c>
      <c r="G206" t="s">
        <v>5856</v>
      </c>
      <c r="H206" s="6" t="s">
        <v>5827</v>
      </c>
      <c r="I206" t="s">
        <v>5828</v>
      </c>
      <c r="J206" t="s">
        <v>5168</v>
      </c>
      <c r="K206" t="s">
        <v>5085</v>
      </c>
      <c r="L206" t="s">
        <v>5155</v>
      </c>
      <c r="M206" t="s">
        <v>4968</v>
      </c>
      <c r="N206" t="s">
        <v>5072</v>
      </c>
      <c r="O206" t="s">
        <v>4782</v>
      </c>
      <c r="P206" t="s">
        <v>4782</v>
      </c>
      <c r="Q206" t="s">
        <v>4782</v>
      </c>
      <c r="R206" t="s">
        <v>4782</v>
      </c>
      <c r="S206">
        <f t="array" ref="S206">SUM(IFERROR(IF(MATCH(I206:R206,$F$4:$Q$4,0)&gt;0,1,0),0))</f>
        <v>2</v>
      </c>
      <c r="T206">
        <f t="shared" ca="1" si="85"/>
        <v>4</v>
      </c>
      <c r="U206">
        <f ca="1">T206+COUNTIF(T$5:$T205,T206)</f>
        <v>13</v>
      </c>
      <c r="Y206" t="s">
        <v>61</v>
      </c>
      <c r="Z206">
        <f t="shared" ca="1" si="88"/>
        <v>18</v>
      </c>
      <c r="AA206">
        <v>0</v>
      </c>
      <c r="AB206">
        <v>0</v>
      </c>
      <c r="AC206">
        <v>0</v>
      </c>
      <c r="AD206">
        <v>8</v>
      </c>
      <c r="AE206">
        <v>10</v>
      </c>
      <c r="AF206">
        <v>12</v>
      </c>
      <c r="AG206">
        <v>14</v>
      </c>
      <c r="AH206">
        <v>16</v>
      </c>
      <c r="AI206">
        <v>18</v>
      </c>
      <c r="AX206" s="28">
        <v>18000</v>
      </c>
      <c r="AY206" s="28" t="s">
        <v>5693</v>
      </c>
      <c r="AZ206" s="28" t="s">
        <v>4945</v>
      </c>
      <c r="BA206" s="28" t="s">
        <v>5117</v>
      </c>
      <c r="BB206" s="28">
        <v>80</v>
      </c>
      <c r="CD206" s="38">
        <v>202</v>
      </c>
      <c r="CE206" s="38">
        <f t="shared" si="87"/>
        <v>3.6358893722799825</v>
      </c>
      <c r="CF206" s="38">
        <f t="shared" si="80"/>
        <v>202.19448</v>
      </c>
      <c r="CG206" s="38">
        <f t="shared" si="86"/>
        <v>203</v>
      </c>
      <c r="CP206" s="40">
        <v>554</v>
      </c>
      <c r="CQ206" s="41" t="s">
        <v>3685</v>
      </c>
      <c r="CR206" s="41" t="s">
        <v>3761</v>
      </c>
      <c r="CS206" s="41">
        <v>150</v>
      </c>
      <c r="CT206" s="41">
        <v>3</v>
      </c>
      <c r="CU206" s="41">
        <v>50</v>
      </c>
      <c r="CV206" s="41">
        <v>5</v>
      </c>
      <c r="CW206" s="40"/>
      <c r="CX206" s="41" t="s">
        <v>4716</v>
      </c>
      <c r="CY206" s="40" t="s">
        <v>4717</v>
      </c>
      <c r="DB206" t="s">
        <v>2</v>
      </c>
      <c r="DC206" s="7" t="str">
        <f t="shared" ref="DC206:DC233" ca="1" si="90">IF($DC$11&gt;0,OFFSET(DD206,0,$DC$11-1),)</f>
        <v>05_015</v>
      </c>
      <c r="DD206" t="s">
        <v>5507</v>
      </c>
      <c r="DE206" t="s">
        <v>5361</v>
      </c>
      <c r="DF206" t="s">
        <v>5362</v>
      </c>
      <c r="DG206" t="s">
        <v>5363</v>
      </c>
      <c r="DH206" t="s">
        <v>5857</v>
      </c>
    </row>
    <row r="207" spans="4:112" ht="14.6">
      <c r="D207" s="6" t="str">
        <f t="shared" si="84"/>
        <v>都城军队-&gt;高山戈仑</v>
      </c>
      <c r="E207" s="6" t="str">
        <f t="shared" si="89"/>
        <v>#'4.1都城军队'!O52:U62</v>
      </c>
      <c r="F207" t="s">
        <v>1778</v>
      </c>
      <c r="G207" t="s">
        <v>5858</v>
      </c>
      <c r="H207" s="6" t="s">
        <v>5827</v>
      </c>
      <c r="I207" t="s">
        <v>5828</v>
      </c>
      <c r="J207" t="s">
        <v>5168</v>
      </c>
      <c r="K207" t="s">
        <v>5859</v>
      </c>
      <c r="L207" t="s">
        <v>5860</v>
      </c>
      <c r="M207" t="s">
        <v>4979</v>
      </c>
      <c r="N207" t="s">
        <v>4980</v>
      </c>
      <c r="O207" t="s">
        <v>4927</v>
      </c>
      <c r="P207" t="s">
        <v>4859</v>
      </c>
      <c r="Q207" t="s">
        <v>4782</v>
      </c>
      <c r="R207" t="s">
        <v>4782</v>
      </c>
      <c r="S207">
        <f t="array" ref="S207">SUM(IFERROR(IF(MATCH(I207:R207,$F$4:$Q$4,0)&gt;0,1,0),0))</f>
        <v>0</v>
      </c>
      <c r="T207">
        <f t="shared" ca="1" si="85"/>
        <v>37</v>
      </c>
      <c r="U207">
        <f ca="1">T207+COUNTIF(T$5:$T206,T207)</f>
        <v>215</v>
      </c>
      <c r="Y207" t="s">
        <v>150</v>
      </c>
      <c r="Z207">
        <f t="shared" ca="1" si="88"/>
        <v>18</v>
      </c>
      <c r="AA207">
        <v>0</v>
      </c>
      <c r="AB207">
        <v>0</v>
      </c>
      <c r="AC207">
        <v>0</v>
      </c>
      <c r="AD207">
        <v>0</v>
      </c>
      <c r="AE207">
        <v>10</v>
      </c>
      <c r="AF207">
        <v>12</v>
      </c>
      <c r="AG207">
        <v>14</v>
      </c>
      <c r="AH207">
        <v>16</v>
      </c>
      <c r="AI207">
        <v>18</v>
      </c>
      <c r="AX207" s="28">
        <v>30000</v>
      </c>
      <c r="AY207" s="28" t="s">
        <v>5163</v>
      </c>
      <c r="AZ207" s="28" t="s">
        <v>4845</v>
      </c>
      <c r="BA207" s="28" t="s">
        <v>4674</v>
      </c>
      <c r="BB207" s="28">
        <v>100</v>
      </c>
      <c r="CD207" s="38">
        <v>203</v>
      </c>
      <c r="CE207" s="38">
        <f t="shared" si="87"/>
        <v>3.6383585080824519</v>
      </c>
      <c r="CF207" s="38">
        <f t="shared" si="80"/>
        <v>203.19376</v>
      </c>
      <c r="CG207" s="38">
        <f t="shared" si="86"/>
        <v>204</v>
      </c>
      <c r="CP207" s="40">
        <v>555</v>
      </c>
      <c r="CQ207" s="41" t="s">
        <v>3646</v>
      </c>
      <c r="CR207" s="41" t="s">
        <v>3765</v>
      </c>
      <c r="CS207" s="41">
        <v>150</v>
      </c>
      <c r="CT207" s="41">
        <v>3</v>
      </c>
      <c r="CU207" s="41">
        <v>50</v>
      </c>
      <c r="CV207" s="41">
        <v>5</v>
      </c>
      <c r="CW207" s="40"/>
      <c r="CX207" s="41" t="s">
        <v>4716</v>
      </c>
      <c r="CY207" s="40" t="s">
        <v>4717</v>
      </c>
      <c r="DB207" t="s">
        <v>177</v>
      </c>
      <c r="DC207" s="7" t="str">
        <f t="shared" ca="1" si="90"/>
        <v>05_012</v>
      </c>
      <c r="DD207" t="s">
        <v>5861</v>
      </c>
      <c r="DE207" t="s">
        <v>5862</v>
      </c>
      <c r="DF207" t="s">
        <v>5863</v>
      </c>
      <c r="DG207" t="s">
        <v>5864</v>
      </c>
      <c r="DH207" t="s">
        <v>5099</v>
      </c>
    </row>
    <row r="208" spans="4:112" ht="14.6">
      <c r="D208" s="6" t="str">
        <f t="shared" si="84"/>
        <v>都城军队-&gt;疗伤法术</v>
      </c>
      <c r="E208" s="6" t="str">
        <f t="shared" si="89"/>
        <v>#'4.1都城军队'!AH5:AL11</v>
      </c>
      <c r="F208" t="s">
        <v>1717</v>
      </c>
      <c r="G208" t="s">
        <v>5865</v>
      </c>
      <c r="H208" s="6" t="s">
        <v>5827</v>
      </c>
      <c r="I208" t="s">
        <v>5828</v>
      </c>
      <c r="J208" t="s">
        <v>5168</v>
      </c>
      <c r="K208" t="s">
        <v>5298</v>
      </c>
      <c r="L208" t="s">
        <v>5262</v>
      </c>
      <c r="M208" t="s">
        <v>5037</v>
      </c>
      <c r="N208" t="s">
        <v>5244</v>
      </c>
      <c r="O208" t="s">
        <v>4782</v>
      </c>
      <c r="P208" t="s">
        <v>4782</v>
      </c>
      <c r="Q208" t="s">
        <v>4782</v>
      </c>
      <c r="R208" t="s">
        <v>4782</v>
      </c>
      <c r="S208">
        <f t="array" ref="S208">SUM(IFERROR(IF(MATCH(I208:R208,$F$4:$Q$4,0)&gt;0,1,0),0))</f>
        <v>0</v>
      </c>
      <c r="T208">
        <f t="shared" ca="1" si="85"/>
        <v>37</v>
      </c>
      <c r="U208">
        <f ca="1">T208+COUNTIF(T$5:$T207,T208)</f>
        <v>216</v>
      </c>
      <c r="Y208" t="s">
        <v>152</v>
      </c>
      <c r="Z208">
        <f t="shared" ca="1" si="88"/>
        <v>18</v>
      </c>
      <c r="AA208">
        <v>0</v>
      </c>
      <c r="AB208">
        <v>0</v>
      </c>
      <c r="AC208">
        <v>0</v>
      </c>
      <c r="AD208">
        <v>0</v>
      </c>
      <c r="AE208">
        <v>0</v>
      </c>
      <c r="AF208">
        <v>12</v>
      </c>
      <c r="AG208">
        <v>14</v>
      </c>
      <c r="AH208">
        <v>16</v>
      </c>
      <c r="AI208">
        <v>18</v>
      </c>
      <c r="AX208" s="28">
        <v>50000</v>
      </c>
      <c r="AY208" s="28" t="s">
        <v>4750</v>
      </c>
      <c r="AZ208" s="28" t="s">
        <v>4746</v>
      </c>
      <c r="BA208" s="28" t="s">
        <v>3432</v>
      </c>
      <c r="BB208" s="28">
        <v>120</v>
      </c>
      <c r="CD208" s="38">
        <v>204</v>
      </c>
      <c r="CE208" s="38">
        <f t="shared" si="87"/>
        <v>3.6408155105394542</v>
      </c>
      <c r="CF208" s="38">
        <f t="shared" si="80"/>
        <v>204.19305</v>
      </c>
      <c r="CG208" s="38">
        <f t="shared" si="86"/>
        <v>205</v>
      </c>
      <c r="CP208" s="40">
        <v>556</v>
      </c>
      <c r="CQ208" s="41" t="s">
        <v>3769</v>
      </c>
      <c r="CR208" s="41" t="s">
        <v>3770</v>
      </c>
      <c r="CS208" s="41">
        <v>150</v>
      </c>
      <c r="CT208" s="41">
        <v>3</v>
      </c>
      <c r="CU208" s="41">
        <v>20</v>
      </c>
      <c r="CV208" s="41">
        <v>5</v>
      </c>
      <c r="CW208" s="40"/>
      <c r="CX208" s="41" t="s">
        <v>4716</v>
      </c>
      <c r="CY208" s="40" t="s">
        <v>4717</v>
      </c>
      <c r="DB208" t="s">
        <v>26</v>
      </c>
      <c r="DC208" s="7" t="str">
        <f t="shared" ca="1" si="90"/>
        <v>05_009</v>
      </c>
      <c r="DD208" t="s">
        <v>4960</v>
      </c>
      <c r="DE208" t="s">
        <v>5088</v>
      </c>
      <c r="DF208" t="s">
        <v>5095</v>
      </c>
      <c r="DG208" t="s">
        <v>4992</v>
      </c>
      <c r="DH208" t="s">
        <v>5068</v>
      </c>
    </row>
    <row r="209" spans="4:112" ht="14.6">
      <c r="D209" s="6" t="str">
        <f t="shared" si="84"/>
        <v>都城军队-&gt;弹跳法术</v>
      </c>
      <c r="E209" s="6" t="str">
        <f t="shared" si="89"/>
        <v>#'4.1都城军队'!AO5:AR13</v>
      </c>
      <c r="F209" t="s">
        <v>1722</v>
      </c>
      <c r="G209" t="s">
        <v>5866</v>
      </c>
      <c r="H209" s="6" t="s">
        <v>5827</v>
      </c>
      <c r="I209" t="s">
        <v>5828</v>
      </c>
      <c r="J209" t="s">
        <v>5168</v>
      </c>
      <c r="K209" t="s">
        <v>5016</v>
      </c>
      <c r="L209" t="s">
        <v>5282</v>
      </c>
      <c r="M209" t="s">
        <v>5037</v>
      </c>
      <c r="N209" t="s">
        <v>5244</v>
      </c>
      <c r="O209" t="s">
        <v>4782</v>
      </c>
      <c r="P209" t="s">
        <v>4782</v>
      </c>
      <c r="Q209" t="s">
        <v>4782</v>
      </c>
      <c r="R209" t="s">
        <v>4782</v>
      </c>
      <c r="S209">
        <f t="array" ref="S209">SUM(IFERROR(IF(MATCH(I209:R209,$F$4:$Q$4,0)&gt;0,1,0),0))</f>
        <v>0</v>
      </c>
      <c r="T209">
        <f t="shared" ca="1" si="85"/>
        <v>37</v>
      </c>
      <c r="U209">
        <f ca="1">T209+COUNTIF(T$5:$T208,T209)</f>
        <v>217</v>
      </c>
      <c r="Y209" t="s">
        <v>155</v>
      </c>
      <c r="Z209">
        <f t="shared" ca="1" si="88"/>
        <v>18</v>
      </c>
      <c r="AA209">
        <v>0</v>
      </c>
      <c r="AB209">
        <v>0</v>
      </c>
      <c r="AC209">
        <v>0</v>
      </c>
      <c r="AD209">
        <v>0</v>
      </c>
      <c r="AE209">
        <v>0</v>
      </c>
      <c r="AF209">
        <v>0</v>
      </c>
      <c r="AG209">
        <v>14</v>
      </c>
      <c r="AH209">
        <v>16</v>
      </c>
      <c r="AI209">
        <v>18</v>
      </c>
      <c r="AX209" s="28">
        <v>3000</v>
      </c>
      <c r="AY209" s="28" t="s">
        <v>4713</v>
      </c>
      <c r="AZ209" s="28" t="s">
        <v>4673</v>
      </c>
      <c r="BA209" s="28" t="s">
        <v>4878</v>
      </c>
      <c r="BB209" s="28">
        <v>20</v>
      </c>
      <c r="CD209" s="38">
        <v>205</v>
      </c>
      <c r="CE209" s="38">
        <f t="shared" si="87"/>
        <v>3.6432604983145152</v>
      </c>
      <c r="CF209" s="38">
        <f t="shared" si="80"/>
        <v>205.19234</v>
      </c>
      <c r="CG209" s="38">
        <f t="shared" si="86"/>
        <v>206</v>
      </c>
      <c r="CP209" s="40">
        <v>557</v>
      </c>
      <c r="CQ209" s="41" t="s">
        <v>3719</v>
      </c>
      <c r="CR209" s="41" t="s">
        <v>3772</v>
      </c>
      <c r="CS209" s="41">
        <v>150</v>
      </c>
      <c r="CT209" s="41">
        <v>3</v>
      </c>
      <c r="CU209" s="41">
        <v>50</v>
      </c>
      <c r="CV209" s="41">
        <v>5</v>
      </c>
      <c r="CW209" s="40"/>
      <c r="CX209" s="41" t="s">
        <v>4716</v>
      </c>
      <c r="CY209" s="40" t="s">
        <v>4717</v>
      </c>
      <c r="DB209" t="s">
        <v>178</v>
      </c>
      <c r="DC209" s="7" t="str">
        <f t="shared" ca="1" si="90"/>
        <v>05_003</v>
      </c>
      <c r="DD209" t="s">
        <v>4834</v>
      </c>
      <c r="DE209" t="s">
        <v>4754</v>
      </c>
      <c r="DF209" t="s">
        <v>5073</v>
      </c>
      <c r="DG209" t="s">
        <v>4920</v>
      </c>
      <c r="DH209" t="s">
        <v>4835</v>
      </c>
    </row>
    <row r="210" spans="4:112" ht="14.6">
      <c r="D210" s="6" t="str">
        <f t="shared" si="84"/>
        <v>都城军队-&gt;雷电法术</v>
      </c>
      <c r="E210" s="6" t="str">
        <f t="shared" si="89"/>
        <v>#'4.1都城军队'!AH16:AK22</v>
      </c>
      <c r="F210" t="s">
        <v>1727</v>
      </c>
      <c r="G210" t="s">
        <v>5867</v>
      </c>
      <c r="H210" s="6" t="s">
        <v>5827</v>
      </c>
      <c r="I210" t="s">
        <v>5828</v>
      </c>
      <c r="J210" t="s">
        <v>5168</v>
      </c>
      <c r="K210" t="s">
        <v>5120</v>
      </c>
      <c r="L210" t="s">
        <v>5121</v>
      </c>
      <c r="M210" t="s">
        <v>5037</v>
      </c>
      <c r="N210" t="s">
        <v>5244</v>
      </c>
      <c r="O210" t="s">
        <v>4782</v>
      </c>
      <c r="P210" t="s">
        <v>4782</v>
      </c>
      <c r="Q210" t="s">
        <v>4782</v>
      </c>
      <c r="R210" t="s">
        <v>4782</v>
      </c>
      <c r="S210">
        <f t="array" ref="S210">SUM(IFERROR(IF(MATCH(I210:R210,$F$4:$Q$4,0)&gt;0,1,0),0))</f>
        <v>0</v>
      </c>
      <c r="T210">
        <f t="shared" ca="1" si="85"/>
        <v>37</v>
      </c>
      <c r="U210">
        <f ca="1">T210+COUNTIF(T$5:$T209,T210)</f>
        <v>218</v>
      </c>
      <c r="Y210" t="s">
        <v>158</v>
      </c>
      <c r="Z210">
        <f t="shared" ca="1" si="88"/>
        <v>18</v>
      </c>
      <c r="AA210">
        <v>0</v>
      </c>
      <c r="AB210">
        <v>0</v>
      </c>
      <c r="AC210">
        <v>0</v>
      </c>
      <c r="AD210">
        <v>0</v>
      </c>
      <c r="AE210">
        <v>0</v>
      </c>
      <c r="AF210">
        <v>0</v>
      </c>
      <c r="AG210">
        <v>0</v>
      </c>
      <c r="AH210">
        <v>16</v>
      </c>
      <c r="AI210">
        <v>18</v>
      </c>
      <c r="AX210" s="28">
        <v>7500</v>
      </c>
      <c r="AY210" s="28" t="s">
        <v>4739</v>
      </c>
      <c r="AZ210" s="28" t="s">
        <v>4794</v>
      </c>
      <c r="BA210" s="28" t="s">
        <v>5467</v>
      </c>
      <c r="BB210" s="28">
        <v>40</v>
      </c>
      <c r="CD210" s="38">
        <v>206</v>
      </c>
      <c r="CE210" s="38">
        <f t="shared" si="87"/>
        <v>3.6456935883388462</v>
      </c>
      <c r="CF210" s="38">
        <f t="shared" si="80"/>
        <v>206.19164000000001</v>
      </c>
      <c r="CG210" s="38">
        <f t="shared" si="86"/>
        <v>207</v>
      </c>
      <c r="CP210" s="40">
        <v>558</v>
      </c>
      <c r="CQ210" s="41" t="s">
        <v>3650</v>
      </c>
      <c r="CR210" s="41" t="s">
        <v>3775</v>
      </c>
      <c r="CS210" s="41">
        <v>150</v>
      </c>
      <c r="CT210" s="41">
        <v>3</v>
      </c>
      <c r="CU210" s="41">
        <v>75</v>
      </c>
      <c r="CV210" s="41">
        <v>5</v>
      </c>
      <c r="CW210" s="40"/>
      <c r="CX210" s="41" t="s">
        <v>4716</v>
      </c>
      <c r="CY210" s="40" t="s">
        <v>4717</v>
      </c>
      <c r="DB210" t="s">
        <v>156</v>
      </c>
      <c r="DC210" s="7" t="str">
        <f t="shared" ca="1" si="90"/>
        <v>05_004</v>
      </c>
      <c r="DD210" t="s">
        <v>4989</v>
      </c>
      <c r="DE210" t="s">
        <v>5206</v>
      </c>
      <c r="DF210" t="s">
        <v>4897</v>
      </c>
      <c r="DG210" t="s">
        <v>5050</v>
      </c>
      <c r="DH210" t="s">
        <v>4921</v>
      </c>
    </row>
    <row r="211" spans="4:112" ht="14.6">
      <c r="D211" s="6" t="str">
        <f t="shared" si="84"/>
        <v>都城军队-&gt;冰霜法术</v>
      </c>
      <c r="E211" s="6" t="str">
        <f t="shared" si="89"/>
        <v>#'4.1都城军队'!AO16:AR22</v>
      </c>
      <c r="F211" t="s">
        <v>1734</v>
      </c>
      <c r="G211" t="s">
        <v>5868</v>
      </c>
      <c r="H211" s="6" t="s">
        <v>5827</v>
      </c>
      <c r="I211" t="s">
        <v>5828</v>
      </c>
      <c r="J211" t="s">
        <v>5168</v>
      </c>
      <c r="K211" t="s">
        <v>5056</v>
      </c>
      <c r="L211" t="s">
        <v>5869</v>
      </c>
      <c r="M211" t="s">
        <v>5037</v>
      </c>
      <c r="N211" t="s">
        <v>5244</v>
      </c>
      <c r="O211" t="s">
        <v>4782</v>
      </c>
      <c r="P211" t="s">
        <v>4782</v>
      </c>
      <c r="Q211" t="s">
        <v>4782</v>
      </c>
      <c r="R211" t="s">
        <v>4782</v>
      </c>
      <c r="S211">
        <f t="array" ref="S211">SUM(IFERROR(IF(MATCH(I211:R211,$F$4:$Q$4,0)&gt;0,1,0),0))</f>
        <v>0</v>
      </c>
      <c r="T211">
        <f t="shared" ca="1" si="85"/>
        <v>37</v>
      </c>
      <c r="U211">
        <f ca="1">T211+COUNTIF(T$5:$T210,T211)</f>
        <v>219</v>
      </c>
      <c r="Y211" t="s">
        <v>160</v>
      </c>
      <c r="Z211">
        <f t="shared" ca="1" si="88"/>
        <v>18</v>
      </c>
      <c r="AA211">
        <v>0</v>
      </c>
      <c r="AB211">
        <v>0</v>
      </c>
      <c r="AC211">
        <v>0</v>
      </c>
      <c r="AD211">
        <v>0</v>
      </c>
      <c r="AE211">
        <v>0</v>
      </c>
      <c r="AF211">
        <v>0</v>
      </c>
      <c r="AG211">
        <v>0</v>
      </c>
      <c r="AH211">
        <v>0</v>
      </c>
      <c r="AI211">
        <v>18</v>
      </c>
      <c r="AX211" s="28">
        <v>12000</v>
      </c>
      <c r="AY211" s="28" t="s">
        <v>4674</v>
      </c>
      <c r="AZ211" s="28" t="s">
        <v>4674</v>
      </c>
      <c r="BA211" s="28" t="s">
        <v>5468</v>
      </c>
      <c r="BB211" s="28">
        <v>60</v>
      </c>
      <c r="CD211" s="38">
        <v>207</v>
      </c>
      <c r="CE211" s="38">
        <f t="shared" si="87"/>
        <v>3.6481148958448992</v>
      </c>
      <c r="CF211" s="38">
        <f t="shared" si="80"/>
        <v>207.19094000000001</v>
      </c>
      <c r="CG211" s="38">
        <f t="shared" si="86"/>
        <v>208</v>
      </c>
      <c r="CP211" s="40">
        <v>559</v>
      </c>
      <c r="CQ211" s="41" t="s">
        <v>3713</v>
      </c>
      <c r="CR211" s="41" t="s">
        <v>3780</v>
      </c>
      <c r="CS211" s="41">
        <v>150</v>
      </c>
      <c r="CT211" s="41">
        <v>3</v>
      </c>
      <c r="CU211" s="41">
        <v>50</v>
      </c>
      <c r="CV211" s="41">
        <v>5</v>
      </c>
      <c r="CW211" s="40"/>
      <c r="CX211" s="41" t="s">
        <v>4716</v>
      </c>
      <c r="CY211" s="40" t="s">
        <v>4717</v>
      </c>
      <c r="DB211" t="s">
        <v>153</v>
      </c>
      <c r="DC211" s="7" t="str">
        <f t="shared" ca="1" si="90"/>
        <v>05_002</v>
      </c>
      <c r="DD211" t="s">
        <v>4989</v>
      </c>
      <c r="DE211" t="s">
        <v>4754</v>
      </c>
      <c r="DF211" t="s">
        <v>4755</v>
      </c>
      <c r="DG211" t="s">
        <v>4756</v>
      </c>
      <c r="DH211" t="s">
        <v>4757</v>
      </c>
    </row>
    <row r="212" spans="4:112" ht="14.6">
      <c r="D212" s="6" t="str">
        <f t="shared" si="84"/>
        <v>都城军队-&gt;狂暴法术</v>
      </c>
      <c r="E212" s="6" t="str">
        <f t="shared" si="89"/>
        <v>#'4.1都城军队'!AH26:AL33</v>
      </c>
      <c r="F212" t="s">
        <v>1740</v>
      </c>
      <c r="G212" t="s">
        <v>5870</v>
      </c>
      <c r="H212" s="6" t="s">
        <v>5827</v>
      </c>
      <c r="I212" t="s">
        <v>5828</v>
      </c>
      <c r="J212" t="s">
        <v>5168</v>
      </c>
      <c r="K212" t="s">
        <v>5242</v>
      </c>
      <c r="L212" t="s">
        <v>5243</v>
      </c>
      <c r="M212" t="s">
        <v>5037</v>
      </c>
      <c r="N212" t="s">
        <v>5244</v>
      </c>
      <c r="O212" t="s">
        <v>4782</v>
      </c>
      <c r="P212" t="s">
        <v>4782</v>
      </c>
      <c r="Q212" t="s">
        <v>4782</v>
      </c>
      <c r="R212" t="s">
        <v>4782</v>
      </c>
      <c r="S212">
        <f t="array" ref="S212">SUM(IFERROR(IF(MATCH(I212:R212,$F$4:$Q$4,0)&gt;0,1,0),0))</f>
        <v>0</v>
      </c>
      <c r="T212">
        <f t="shared" ca="1" si="85"/>
        <v>37</v>
      </c>
      <c r="U212">
        <f ca="1">T212+COUNTIF(T$5:$T211,T212)</f>
        <v>220</v>
      </c>
      <c r="AX212" s="28">
        <v>18000</v>
      </c>
      <c r="AY212" s="28" t="s">
        <v>4689</v>
      </c>
      <c r="AZ212" s="28" t="s">
        <v>5117</v>
      </c>
      <c r="BA212" s="28" t="s">
        <v>4945</v>
      </c>
      <c r="BB212" s="28">
        <v>80</v>
      </c>
      <c r="CD212" s="38">
        <v>208</v>
      </c>
      <c r="CE212" s="38">
        <f t="shared" si="87"/>
        <v>3.650524534399116</v>
      </c>
      <c r="CF212" s="38">
        <f t="shared" ref="CF212:CF243" si="91">MAX(CEILING($CC$4*(1-CE212*$CC$6)/$CC$8,1),0)+CD212+ROUND(MOD($CC$4*(1-CE212*$CC$6),$CC$8)/$CC$4,5)</f>
        <v>208.19023999999999</v>
      </c>
      <c r="CG212" s="38">
        <f t="shared" si="86"/>
        <v>209</v>
      </c>
      <c r="CP212" s="40">
        <v>560</v>
      </c>
      <c r="CQ212" s="41" t="s">
        <v>3655</v>
      </c>
      <c r="CR212" s="41" t="s">
        <v>3784</v>
      </c>
      <c r="CS212" s="41">
        <v>150</v>
      </c>
      <c r="CT212" s="41">
        <v>3</v>
      </c>
      <c r="CU212" s="41">
        <v>75</v>
      </c>
      <c r="CV212" s="41">
        <v>5</v>
      </c>
      <c r="CW212" s="40"/>
      <c r="CX212" s="41" t="s">
        <v>4716</v>
      </c>
      <c r="CY212" s="40" t="s">
        <v>4717</v>
      </c>
      <c r="DB212" t="s">
        <v>181</v>
      </c>
      <c r="DC212" s="7" t="str">
        <f t="shared" ca="1" si="90"/>
        <v>05_003</v>
      </c>
      <c r="DD212" t="s">
        <v>4834</v>
      </c>
      <c r="DE212" t="s">
        <v>4754</v>
      </c>
      <c r="DF212" t="s">
        <v>5073</v>
      </c>
      <c r="DG212" t="s">
        <v>4920</v>
      </c>
      <c r="DH212" t="s">
        <v>4835</v>
      </c>
    </row>
    <row r="213" spans="4:112" ht="14.6">
      <c r="D213" s="6" t="str">
        <f t="shared" si="84"/>
        <v>都城建筑-&gt;城墙</v>
      </c>
      <c r="E213" s="6" t="str">
        <f t="shared" si="89"/>
        <v>#'4.2都城建筑'!F5:J11</v>
      </c>
      <c r="F213" t="s">
        <v>1854</v>
      </c>
      <c r="G213" t="s">
        <v>5871</v>
      </c>
      <c r="H213" s="6" t="s">
        <v>5872</v>
      </c>
      <c r="I213" t="s">
        <v>5828</v>
      </c>
      <c r="J213" t="s">
        <v>5168</v>
      </c>
      <c r="K213" t="s">
        <v>5168</v>
      </c>
      <c r="L213" t="s">
        <v>5321</v>
      </c>
      <c r="M213" t="s">
        <v>4782</v>
      </c>
      <c r="N213" t="s">
        <v>4782</v>
      </c>
      <c r="O213" t="s">
        <v>4782</v>
      </c>
      <c r="P213" t="s">
        <v>4782</v>
      </c>
      <c r="Q213" t="s">
        <v>4782</v>
      </c>
      <c r="R213" t="s">
        <v>4782</v>
      </c>
      <c r="S213">
        <f t="array" ref="S213">SUM(IFERROR(IF(MATCH(I213:R213,$F$4:$Q$4,0)&gt;0,1,0),0))</f>
        <v>0</v>
      </c>
      <c r="T213">
        <f t="shared" ca="1" si="85"/>
        <v>37</v>
      </c>
      <c r="U213">
        <f ca="1">T213+COUNTIF(T$5:$T212,T213)</f>
        <v>221</v>
      </c>
      <c r="Y213" t="s">
        <v>165</v>
      </c>
      <c r="Z213">
        <f ca="1">OFFSET(AA213,0,$Z$168-1)</f>
        <v>30</v>
      </c>
      <c r="AA213">
        <v>0</v>
      </c>
      <c r="AB213">
        <v>0</v>
      </c>
      <c r="AC213">
        <v>0</v>
      </c>
      <c r="AD213">
        <v>0</v>
      </c>
      <c r="AE213">
        <v>5</v>
      </c>
      <c r="AF213">
        <v>10</v>
      </c>
      <c r="AG213">
        <v>20</v>
      </c>
      <c r="AH213">
        <v>25</v>
      </c>
      <c r="AI213">
        <v>30</v>
      </c>
      <c r="AX213" s="28">
        <v>30000</v>
      </c>
      <c r="AY213" s="28" t="s">
        <v>5164</v>
      </c>
      <c r="AZ213" s="28" t="s">
        <v>5693</v>
      </c>
      <c r="BA213" s="28" t="s">
        <v>4845</v>
      </c>
      <c r="BB213" s="28">
        <v>100</v>
      </c>
      <c r="CD213" s="38">
        <v>209</v>
      </c>
      <c r="CE213" s="38">
        <f t="shared" si="87"/>
        <v>3.6529226159338881</v>
      </c>
      <c r="CF213" s="38">
        <f t="shared" si="91"/>
        <v>209.18953999999999</v>
      </c>
      <c r="CG213" s="38">
        <f t="shared" si="86"/>
        <v>210</v>
      </c>
      <c r="CP213" s="40">
        <v>561</v>
      </c>
      <c r="CQ213" s="41" t="s">
        <v>3660</v>
      </c>
      <c r="CR213" s="41" t="s">
        <v>3788</v>
      </c>
      <c r="CS213" s="41">
        <v>150</v>
      </c>
      <c r="CT213" s="41">
        <v>3</v>
      </c>
      <c r="CU213" s="41">
        <v>20</v>
      </c>
      <c r="CV213" s="41">
        <v>5</v>
      </c>
      <c r="CW213" s="40"/>
      <c r="CX213" s="41" t="s">
        <v>4716</v>
      </c>
      <c r="CY213" s="40" t="s">
        <v>4717</v>
      </c>
      <c r="DB213" t="s">
        <v>149</v>
      </c>
      <c r="DC213" s="7" t="str">
        <f t="shared" ca="1" si="90"/>
        <v>05_002</v>
      </c>
      <c r="DD213" t="s">
        <v>4834</v>
      </c>
      <c r="DE213" t="s">
        <v>4754</v>
      </c>
      <c r="DF213" t="s">
        <v>4755</v>
      </c>
      <c r="DG213" t="s">
        <v>4756</v>
      </c>
      <c r="DH213" t="s">
        <v>4757</v>
      </c>
    </row>
    <row r="214" spans="4:112" ht="14.6">
      <c r="D214" s="6" t="str">
        <f t="shared" si="84"/>
        <v>都城建筑-&gt;加农炮</v>
      </c>
      <c r="E214" s="6" t="str">
        <f t="shared" si="89"/>
        <v>#'4.2都城建筑'!P5:W11</v>
      </c>
      <c r="F214" t="s">
        <v>1570</v>
      </c>
      <c r="G214" t="s">
        <v>5873</v>
      </c>
      <c r="H214" s="6" t="s">
        <v>5872</v>
      </c>
      <c r="I214" t="s">
        <v>5828</v>
      </c>
      <c r="J214" t="s">
        <v>5168</v>
      </c>
      <c r="K214" t="s">
        <v>5447</v>
      </c>
      <c r="L214" t="s">
        <v>5448</v>
      </c>
      <c r="M214" t="s">
        <v>5327</v>
      </c>
      <c r="N214" t="s">
        <v>4782</v>
      </c>
      <c r="O214" t="s">
        <v>4782</v>
      </c>
      <c r="P214" t="s">
        <v>4782</v>
      </c>
      <c r="Q214" t="s">
        <v>4782</v>
      </c>
      <c r="R214" t="s">
        <v>4782</v>
      </c>
      <c r="S214">
        <f t="array" ref="S214">SUM(IFERROR(IF(MATCH(I214:R214,$F$4:$Q$4,0)&gt;0,1,0),0))</f>
        <v>0</v>
      </c>
      <c r="T214">
        <f t="shared" ca="1" si="85"/>
        <v>37</v>
      </c>
      <c r="U214">
        <f ca="1">T214+COUNTIF(T$5:$T213,T214)</f>
        <v>222</v>
      </c>
      <c r="AX214" s="28">
        <v>50000</v>
      </c>
      <c r="AY214" s="28" t="s">
        <v>4865</v>
      </c>
      <c r="AZ214" s="28" t="s">
        <v>4866</v>
      </c>
      <c r="BA214" s="28" t="s">
        <v>3432</v>
      </c>
      <c r="BB214" s="28">
        <v>120</v>
      </c>
      <c r="CD214" s="38">
        <v>210</v>
      </c>
      <c r="CE214" s="38">
        <f t="shared" si="87"/>
        <v>3.6553092507787568</v>
      </c>
      <c r="CF214" s="38">
        <f t="shared" si="91"/>
        <v>210.18885</v>
      </c>
      <c r="CG214" s="38">
        <f t="shared" si="86"/>
        <v>211</v>
      </c>
      <c r="CP214" s="40">
        <v>562</v>
      </c>
      <c r="CQ214" s="41" t="s">
        <v>3791</v>
      </c>
      <c r="CR214" s="41" t="s">
        <v>3792</v>
      </c>
      <c r="CS214" s="41">
        <v>150</v>
      </c>
      <c r="CT214" s="41">
        <v>3</v>
      </c>
      <c r="CU214" s="41">
        <v>50</v>
      </c>
      <c r="CV214" s="41">
        <v>5</v>
      </c>
      <c r="CW214" s="40"/>
      <c r="CX214" s="41" t="s">
        <v>4716</v>
      </c>
      <c r="CY214" s="40" t="s">
        <v>3096</v>
      </c>
      <c r="DB214" t="s">
        <v>180</v>
      </c>
      <c r="DC214" s="7" t="str">
        <f t="shared" ca="1" si="90"/>
        <v>05_001</v>
      </c>
      <c r="DD214" t="s">
        <v>4834</v>
      </c>
      <c r="DE214" t="s">
        <v>4784</v>
      </c>
      <c r="DF214" t="s">
        <v>4785</v>
      </c>
      <c r="DG214" t="s">
        <v>4873</v>
      </c>
      <c r="DH214" t="s">
        <v>4941</v>
      </c>
    </row>
    <row r="215" spans="4:112" ht="14.6">
      <c r="D215" s="6" t="str">
        <f t="shared" si="84"/>
        <v>都城建筑-&gt;投矛器</v>
      </c>
      <c r="E215" s="6" t="str">
        <f t="shared" si="89"/>
        <v>#'4.2都城建筑'!Z5:AG11</v>
      </c>
      <c r="F215" t="s">
        <v>1860</v>
      </c>
      <c r="G215" t="s">
        <v>5874</v>
      </c>
      <c r="H215" s="6" t="s">
        <v>5872</v>
      </c>
      <c r="I215" t="s">
        <v>5828</v>
      </c>
      <c r="J215" t="s">
        <v>5168</v>
      </c>
      <c r="K215" t="s">
        <v>5048</v>
      </c>
      <c r="L215" t="s">
        <v>1858</v>
      </c>
      <c r="M215" t="s">
        <v>5397</v>
      </c>
      <c r="N215" t="s">
        <v>4782</v>
      </c>
      <c r="O215" t="s">
        <v>4782</v>
      </c>
      <c r="P215" t="s">
        <v>4782</v>
      </c>
      <c r="Q215" t="s">
        <v>4782</v>
      </c>
      <c r="R215" t="s">
        <v>4782</v>
      </c>
      <c r="S215">
        <f t="array" ref="S215">SUM(IFERROR(IF(MATCH(I215:R215,$F$4:$Q$4,0)&gt;0,1,0),0))</f>
        <v>0</v>
      </c>
      <c r="T215">
        <f t="shared" ca="1" si="85"/>
        <v>37</v>
      </c>
      <c r="U215">
        <f ca="1">T215+COUNTIF(T$5:$T214,T215)</f>
        <v>223</v>
      </c>
      <c r="Y215" s="46" t="s">
        <v>5875</v>
      </c>
      <c r="AX215" s="28">
        <v>3000</v>
      </c>
      <c r="AY215" s="28" t="s">
        <v>4770</v>
      </c>
      <c r="AZ215" s="28" t="s">
        <v>4878</v>
      </c>
      <c r="BA215" s="28" t="s">
        <v>4673</v>
      </c>
      <c r="BB215" s="28">
        <v>20</v>
      </c>
      <c r="CD215" s="38">
        <v>211</v>
      </c>
      <c r="CE215" s="38">
        <f t="shared" si="87"/>
        <v>3.6576845476908706</v>
      </c>
      <c r="CF215" s="38">
        <f t="shared" si="91"/>
        <v>211.18816000000001</v>
      </c>
      <c r="CG215" s="38">
        <f t="shared" si="86"/>
        <v>212</v>
      </c>
      <c r="CP215" s="40">
        <v>563</v>
      </c>
      <c r="CQ215" s="41" t="s">
        <v>3795</v>
      </c>
      <c r="CR215" s="41" t="s">
        <v>3796</v>
      </c>
      <c r="CS215" s="41">
        <v>150</v>
      </c>
      <c r="CT215" s="41">
        <v>3</v>
      </c>
      <c r="CU215" s="41">
        <v>50</v>
      </c>
      <c r="CV215" s="41">
        <v>5</v>
      </c>
      <c r="CW215" s="40"/>
      <c r="CX215" s="41" t="s">
        <v>4716</v>
      </c>
      <c r="CY215" s="40" t="s">
        <v>3096</v>
      </c>
      <c r="DB215" t="s">
        <v>186</v>
      </c>
      <c r="DC215" s="7" t="str">
        <f t="shared" ca="1" si="90"/>
        <v>05_003</v>
      </c>
      <c r="DD215" t="s">
        <v>4834</v>
      </c>
      <c r="DE215" t="s">
        <v>4754</v>
      </c>
      <c r="DF215" t="s">
        <v>4755</v>
      </c>
      <c r="DG215" t="s">
        <v>4920</v>
      </c>
      <c r="DH215" t="s">
        <v>4835</v>
      </c>
    </row>
    <row r="216" spans="4:112" ht="14.6">
      <c r="D216" s="6" t="str">
        <f t="shared" si="84"/>
        <v>都城建筑-&gt;防空火箭</v>
      </c>
      <c r="E216" s="6" t="str">
        <f t="shared" si="89"/>
        <v>#'4.2都城建筑'!F15:M22</v>
      </c>
      <c r="F216" t="s">
        <v>1867</v>
      </c>
      <c r="G216" t="s">
        <v>5876</v>
      </c>
      <c r="H216" s="6" t="s">
        <v>5872</v>
      </c>
      <c r="I216" t="s">
        <v>5828</v>
      </c>
      <c r="J216" t="s">
        <v>5168</v>
      </c>
      <c r="K216" t="s">
        <v>5479</v>
      </c>
      <c r="L216" t="s">
        <v>5429</v>
      </c>
      <c r="M216" t="s">
        <v>5149</v>
      </c>
      <c r="N216" t="s">
        <v>4870</v>
      </c>
      <c r="O216" t="s">
        <v>4782</v>
      </c>
      <c r="P216" t="s">
        <v>4782</v>
      </c>
      <c r="Q216" t="s">
        <v>4782</v>
      </c>
      <c r="R216" t="s">
        <v>4782</v>
      </c>
      <c r="S216">
        <f t="array" ref="S216">SUM(IFERROR(IF(MATCH(I216:R216,$F$4:$Q$4,0)&gt;0,1,0),0))</f>
        <v>0</v>
      </c>
      <c r="T216">
        <f t="shared" ca="1" si="85"/>
        <v>37</v>
      </c>
      <c r="U216">
        <f ca="1">T216+COUNTIF(T$5:$T215,T216)</f>
        <v>224</v>
      </c>
      <c r="Y216" s="12" t="s">
        <v>2</v>
      </c>
      <c r="AA216">
        <f ca="1">IF(VALUE(RIGHT(AA8,3)),VALUE(RIGHT(AA8,3))*SUM(OFFSET('2.3家乡建筑'!$M7,,,VALUE(LEFT(AA8,2)))),)</f>
        <v>2500</v>
      </c>
      <c r="AB216">
        <f ca="1">IF(VALUE(RIGHT(AB8,3)),VALUE(RIGHT(AB8,3))*SUM(OFFSET('2.3家乡建筑'!$M7,,,VALUE(LEFT(AB8,2)))),)</f>
        <v>10500</v>
      </c>
      <c r="AC216">
        <f ca="1">IF(VALUE(RIGHT(AC8,3)),VALUE(RIGHT(AC8,3))*SUM(OFFSET('2.3家乡建筑'!$M7,,,VALUE(LEFT(AC8,2)))),)</f>
        <v>42500</v>
      </c>
      <c r="AD216">
        <f ca="1">IF(VALUE(RIGHT(AD8,3)),VALUE(RIGHT(AD8,3))*SUM(OFFSET('2.3家乡建筑'!$M7,,,VALUE(LEFT(AD8,2)))),)</f>
        <v>142500</v>
      </c>
      <c r="AE216">
        <f ca="1">IF(VALUE(RIGHT(AE8,3)),VALUE(RIGHT(AE8,3))*SUM(OFFSET('2.3家乡建筑'!$M7,,,VALUE(LEFT(AE8,2)))),)</f>
        <v>513750</v>
      </c>
      <c r="AF216">
        <f ca="1">IF(VALUE(RIGHT(AF8,3)),VALUE(RIGHT(AF8,3))*SUM(OFFSET('2.3家乡建筑'!$M7,,,VALUE(LEFT(AF8,2)))),)</f>
        <v>1113750</v>
      </c>
      <c r="AG216">
        <f ca="1">IF(VALUE(RIGHT(AG8,3)),VALUE(RIGHT(AG8,3))*SUM(OFFSET('2.3家乡建筑'!$M7,,,VALUE(LEFT(AG8,2)))),)</f>
        <v>3356250</v>
      </c>
      <c r="AH216">
        <f ca="1">IF(VALUE(RIGHT(AH8,3)),VALUE(RIGHT(AH8,3))*SUM(OFFSET('2.3家乡建筑'!$M7,,,VALUE(LEFT(AH8,2)))),)</f>
        <v>9356250</v>
      </c>
      <c r="AI216">
        <f ca="1">IF(VALUE(RIGHT(AI8,3)),VALUE(RIGHT(AI8,3))*SUM(OFFSET('2.3家乡建筑'!$M7,,,VALUE(LEFT(AI8,2)))),)</f>
        <v>14356250</v>
      </c>
      <c r="AJ216">
        <f ca="1">IF(VALUE(RIGHT(AJ8,3)),VALUE(RIGHT(AJ8,3))*SUM(OFFSET('2.3家乡建筑'!$M7,,,VALUE(LEFT(AJ8,2)))),)</f>
        <v>34627500</v>
      </c>
      <c r="AK216">
        <f ca="1">IF(VALUE(RIGHT(AK8,3)),VALUE(RIGHT(AK8,3))*SUM(OFFSET('2.3家乡建筑'!$M7,,,VALUE(LEFT(AK8,2)))),)</f>
        <v>77498750</v>
      </c>
      <c r="AL216">
        <f ca="1">IF(VALUE(RIGHT(AL8,3)),VALUE(RIGHT(AL8,3))*SUM(OFFSET('2.3家乡建筑'!$M7,,,VALUE(LEFT(AL8,2)))),)</f>
        <v>155898750</v>
      </c>
      <c r="AM216">
        <f ca="1">IF(VALUE(RIGHT(AM8,3)),VALUE(RIGHT(AM8,3))*SUM(OFFSET('2.3家乡建筑'!$M7,,,VALUE(LEFT(AM8,2)))),)</f>
        <v>281898750</v>
      </c>
      <c r="AN216">
        <f ca="1">IF(VALUE(RIGHT(AN8,3)),VALUE(RIGHT(AN8,3))*SUM(OFFSET('2.3家乡建筑'!$M7,,,VALUE(LEFT(AN8,2)))),)</f>
        <v>397398750</v>
      </c>
      <c r="AO216">
        <f ca="1">IF(VALUE(RIGHT(AO8,3)),VALUE(RIGHT(AO8,3))*SUM(OFFSET('2.3家乡建筑'!$M7,,,VALUE(LEFT(AO8,2)))),)</f>
        <v>523398750</v>
      </c>
      <c r="AX216" s="28">
        <v>7500</v>
      </c>
      <c r="AY216" s="28" t="s">
        <v>4739</v>
      </c>
      <c r="AZ216" s="28" t="s">
        <v>4877</v>
      </c>
      <c r="BA216" s="28" t="s">
        <v>5467</v>
      </c>
      <c r="BB216" s="28">
        <v>40</v>
      </c>
      <c r="CD216" s="38">
        <v>212</v>
      </c>
      <c r="CE216" s="38">
        <f t="shared" si="87"/>
        <v>3.6600486138847241</v>
      </c>
      <c r="CF216" s="38">
        <f t="shared" si="91"/>
        <v>212.18746999999999</v>
      </c>
      <c r="CG216" s="38">
        <f t="shared" si="86"/>
        <v>213</v>
      </c>
      <c r="CP216" s="40">
        <v>564</v>
      </c>
      <c r="CQ216" s="41" t="s">
        <v>3799</v>
      </c>
      <c r="CR216" s="41" t="s">
        <v>3800</v>
      </c>
      <c r="CS216" s="41">
        <v>150</v>
      </c>
      <c r="CT216" s="41">
        <v>3</v>
      </c>
      <c r="CU216" s="41">
        <v>50</v>
      </c>
      <c r="CV216" s="41">
        <v>5</v>
      </c>
      <c r="CW216" s="40"/>
      <c r="CX216" s="41" t="s">
        <v>4716</v>
      </c>
      <c r="CY216" s="40" t="s">
        <v>3096</v>
      </c>
      <c r="DB216" t="s">
        <v>183</v>
      </c>
      <c r="DC216" s="7" t="str">
        <f t="shared" ca="1" si="90"/>
        <v>05_003</v>
      </c>
      <c r="DD216" t="s">
        <v>4834</v>
      </c>
      <c r="DE216" t="s">
        <v>4784</v>
      </c>
      <c r="DF216" t="s">
        <v>4755</v>
      </c>
      <c r="DG216" t="s">
        <v>4756</v>
      </c>
      <c r="DH216" t="s">
        <v>4835</v>
      </c>
    </row>
    <row r="217" spans="4:112" ht="14.6">
      <c r="D217" s="6" t="str">
        <f t="shared" si="84"/>
        <v>都城建筑-&gt;多管加农炮</v>
      </c>
      <c r="E217" s="6" t="str">
        <f t="shared" si="89"/>
        <v>#'4.2都城建筑'!P15:W23</v>
      </c>
      <c r="F217" t="s">
        <v>1872</v>
      </c>
      <c r="G217" t="s">
        <v>5877</v>
      </c>
      <c r="H217" s="6" t="s">
        <v>5872</v>
      </c>
      <c r="I217" t="s">
        <v>5828</v>
      </c>
      <c r="J217" t="s">
        <v>5168</v>
      </c>
      <c r="K217" t="s">
        <v>5597</v>
      </c>
      <c r="L217" t="s">
        <v>5606</v>
      </c>
      <c r="M217" t="s">
        <v>5447</v>
      </c>
      <c r="N217" t="s">
        <v>5448</v>
      </c>
      <c r="O217" t="s">
        <v>5327</v>
      </c>
      <c r="P217" t="s">
        <v>4782</v>
      </c>
      <c r="Q217" t="s">
        <v>4782</v>
      </c>
      <c r="R217" t="s">
        <v>4782</v>
      </c>
      <c r="S217">
        <f t="array" ref="S217">SUM(IFERROR(IF(MATCH(I217:R217,$F$4:$Q$4,0)&gt;0,1,0),0))</f>
        <v>0</v>
      </c>
      <c r="T217">
        <f t="shared" ca="1" si="85"/>
        <v>37</v>
      </c>
      <c r="U217">
        <f ca="1">T217+COUNTIF(T$5:$T216,T217)</f>
        <v>225</v>
      </c>
      <c r="Y217" s="12" t="s">
        <v>9</v>
      </c>
      <c r="AA217">
        <f ca="1">IF(VALUE(RIGHT(AA9,3)),VALUE(RIGHT(AA9,3))*SUM(OFFSET('2.3家乡建筑'!$W7,,,VALUE(LEFT(AA9,2)))),)</f>
        <v>0</v>
      </c>
      <c r="AB217">
        <f ca="1">IF(VALUE(RIGHT(AB9,3)),VALUE(RIGHT(AB9,3))*SUM(OFFSET('2.3家乡建筑'!$W7,,,VALUE(LEFT(AB9,2)))),)</f>
        <v>3000</v>
      </c>
      <c r="AC217">
        <f ca="1">IF(VALUE(RIGHT(AC9,3)),VALUE(RIGHT(AC9,3))*SUM(OFFSET('2.3家乡建筑'!$W7,,,VALUE(LEFT(AC9,2)))),)</f>
        <v>8000</v>
      </c>
      <c r="AD217">
        <f ca="1">IF(VALUE(RIGHT(AD9,3)),VALUE(RIGHT(AD9,3))*SUM(OFFSET('2.3家乡建筑'!$W7,,,VALUE(LEFT(AD9,2)))),)</f>
        <v>56000</v>
      </c>
      <c r="AE217">
        <f ca="1">IF(VALUE(RIGHT(AE9,3)),VALUE(RIGHT(AE9,3))*SUM(OFFSET('2.3家乡建筑'!$W7,,,VALUE(LEFT(AE9,2)))),)</f>
        <v>864000</v>
      </c>
      <c r="AF217">
        <f ca="1">IF(VALUE(RIGHT(AF9,3)),VALUE(RIGHT(AF9,3))*SUM(OFFSET('2.3家乡建筑'!$W7,,,VALUE(LEFT(AF9,2)))),)</f>
        <v>1944000</v>
      </c>
      <c r="AG217">
        <f ca="1">IF(VALUE(RIGHT(AG9,3)),VALUE(RIGHT(AG9,3))*SUM(OFFSET('2.3家乡建筑'!$W7,,,VALUE(LEFT(AG9,2)))),)</f>
        <v>4992000</v>
      </c>
      <c r="AH217">
        <f ca="1">IF(VALUE(RIGHT(AH9,3)),VALUE(RIGHT(AH9,3))*SUM(OFFSET('2.3家乡建筑'!$W7,,,VALUE(LEFT(AH9,2)))),)</f>
        <v>15240000</v>
      </c>
      <c r="AI217">
        <f ca="1">IF(VALUE(RIGHT(AI9,3)),VALUE(RIGHT(AI9,3))*SUM(OFFSET('2.3家乡建筑'!$W7,,,VALUE(LEFT(AI9,2)))),)</f>
        <v>25488000</v>
      </c>
      <c r="AJ217">
        <f ca="1">IF(VALUE(RIGHT(AJ9,3)),VALUE(RIGHT(AJ9,3))*SUM(OFFSET('2.3家乡建筑'!$W7,,,VALUE(LEFT(AJ9,2)))),)</f>
        <v>54236000</v>
      </c>
      <c r="AK217">
        <f ca="1">IF(VALUE(RIGHT(AK9,3)),VALUE(RIGHT(AK9,3))*SUM(OFFSET('2.3家乡建筑'!$W7,,,VALUE(LEFT(AK9,2)))),)</f>
        <v>109984000</v>
      </c>
      <c r="AL217">
        <f ca="1">IF(VALUE(RIGHT(AL9,3)),VALUE(RIGHT(AL9,3))*SUM(OFFSET('2.3家乡建筑'!$W7,,,VALUE(LEFT(AL9,2)))),)</f>
        <v>206784000</v>
      </c>
      <c r="AM217">
        <f ca="1">IF(VALUE(RIGHT(AM9,3)),VALUE(RIGHT(AM9,3))*SUM(OFFSET('2.3家乡建筑'!$W7,,,VALUE(LEFT(AM9,2)))),)</f>
        <v>353184000</v>
      </c>
      <c r="AN217">
        <f ca="1">IF(VALUE(RIGHT(AN9,3)),VALUE(RIGHT(AN9,3))*SUM(OFFSET('2.3家乡建筑'!$W7,,,VALUE(LEFT(AN9,2)))),)</f>
        <v>485184000</v>
      </c>
      <c r="AO217">
        <f ca="1">IF(VALUE(RIGHT(AO9,3)),VALUE(RIGHT(AO9,3))*SUM(OFFSET('2.3家乡建筑'!$W7,,,VALUE(LEFT(AO9,2)))),)</f>
        <v>633184000</v>
      </c>
      <c r="AX217" s="28">
        <v>12000</v>
      </c>
      <c r="AY217" s="28" t="s">
        <v>4689</v>
      </c>
      <c r="AZ217" s="28" t="s">
        <v>4713</v>
      </c>
      <c r="BA217" s="28" t="s">
        <v>5468</v>
      </c>
      <c r="BB217" s="28">
        <v>60</v>
      </c>
      <c r="CD217" s="38">
        <v>213</v>
      </c>
      <c r="CE217" s="38">
        <f t="shared" si="87"/>
        <v>3.6624015550611948</v>
      </c>
      <c r="CF217" s="38">
        <f t="shared" si="91"/>
        <v>213.18679</v>
      </c>
      <c r="CG217" s="38">
        <f t="shared" si="86"/>
        <v>214</v>
      </c>
      <c r="CP217" s="40">
        <v>565</v>
      </c>
      <c r="CQ217" s="41" t="s">
        <v>3804</v>
      </c>
      <c r="CR217" s="41" t="s">
        <v>3805</v>
      </c>
      <c r="CS217" s="41">
        <v>150</v>
      </c>
      <c r="CT217" s="41">
        <v>3</v>
      </c>
      <c r="CU217" s="41">
        <v>30</v>
      </c>
      <c r="CV217" s="41">
        <v>5</v>
      </c>
      <c r="CW217" s="40"/>
      <c r="CX217" s="41" t="s">
        <v>4716</v>
      </c>
      <c r="CY217" s="40" t="s">
        <v>3096</v>
      </c>
      <c r="DC217" s="7">
        <f t="shared" ca="1" si="90"/>
        <v>0</v>
      </c>
    </row>
    <row r="218" spans="4:112" ht="14.6">
      <c r="D218" s="6" t="str">
        <f t="shared" si="84"/>
        <v>都城建筑-&gt;炸弹塔</v>
      </c>
      <c r="E218" s="6" t="str">
        <f t="shared" si="89"/>
        <v>#'4.2都城建筑'!Z15:AH23</v>
      </c>
      <c r="F218" t="s">
        <v>1875</v>
      </c>
      <c r="G218" t="s">
        <v>5878</v>
      </c>
      <c r="H218" s="6" t="s">
        <v>5872</v>
      </c>
      <c r="I218" t="s">
        <v>5828</v>
      </c>
      <c r="J218" t="s">
        <v>5168</v>
      </c>
      <c r="K218" t="s">
        <v>5015</v>
      </c>
      <c r="L218" t="s">
        <v>5016</v>
      </c>
      <c r="M218" t="s">
        <v>5313</v>
      </c>
      <c r="N218" t="s">
        <v>4782</v>
      </c>
      <c r="O218" t="s">
        <v>4782</v>
      </c>
      <c r="P218" t="s">
        <v>4782</v>
      </c>
      <c r="Q218" t="s">
        <v>4782</v>
      </c>
      <c r="R218" t="s">
        <v>4782</v>
      </c>
      <c r="S218">
        <f t="array" ref="S218">SUM(IFERROR(IF(MATCH(I218:R218,$F$4:$Q$4,0)&gt;0,1,0),0))</f>
        <v>0</v>
      </c>
      <c r="T218">
        <f t="shared" ca="1" si="85"/>
        <v>37</v>
      </c>
      <c r="U218">
        <f ca="1">T218+COUNTIF(T$5:$T217,T218)</f>
        <v>226</v>
      </c>
      <c r="Y218" s="12" t="s">
        <v>14</v>
      </c>
      <c r="AA218">
        <f ca="1">IF(VALUE(RIGHT(AA10,3)),VALUE(RIGHT(AA10,3))*SUM(OFFSET('2.3家乡建筑'!$AF7,,,VALUE(LEFT(AA10,2)))),)</f>
        <v>0</v>
      </c>
      <c r="AB218">
        <f ca="1">IF(VALUE(RIGHT(AB10,3)),VALUE(RIGHT(AB10,3))*SUM(OFFSET('2.3家乡建筑'!$AF7,,,VALUE(LEFT(AB10,2)))),)</f>
        <v>26250</v>
      </c>
      <c r="AC218">
        <f ca="1">IF(VALUE(RIGHT(AC10,3)),VALUE(RIGHT(AC10,3))*SUM(OFFSET('2.3家乡建筑'!$AF7,,,VALUE(LEFT(AC10,2)))),)</f>
        <v>302500</v>
      </c>
      <c r="AD218">
        <f ca="1">IF(VALUE(RIGHT(AD10,3)),VALUE(RIGHT(AD10,3))*SUM(OFFSET('2.3家乡建筑'!$AF7,,,VALUE(LEFT(AD10,2)))),)</f>
        <v>1203750</v>
      </c>
      <c r="AE218">
        <f ca="1">IF(VALUE(RIGHT(AE10,3)),VALUE(RIGHT(AE10,3))*SUM(OFFSET('2.3家乡建筑'!$AF7,,,VALUE(LEFT(AE10,2)))),)</f>
        <v>3605000</v>
      </c>
      <c r="AF218">
        <f ca="1">IF(VALUE(RIGHT(AF10,3)),VALUE(RIGHT(AF10,3))*SUM(OFFSET('2.3家乡建筑'!$AF7,,,VALUE(LEFT(AF10,2)))),)</f>
        <v>8256250</v>
      </c>
      <c r="AG218">
        <f ca="1">IF(VALUE(RIGHT(AG10,3)),VALUE(RIGHT(AG10,3))*SUM(OFFSET('2.3家乡建筑'!$AF7,,,VALUE(LEFT(AG10,2)))),)</f>
        <v>20308750</v>
      </c>
      <c r="AH218">
        <f ca="1">IF(VALUE(RIGHT(AH10,3)),VALUE(RIGHT(AH10,3))*SUM(OFFSET('2.3家乡建筑'!$AF7,,,VALUE(LEFT(AH10,2)))),)</f>
        <v>42986250</v>
      </c>
      <c r="AI218">
        <f ca="1">IF(VALUE(RIGHT(AI10,3)),VALUE(RIGHT(AI10,3))*SUM(OFFSET('2.3家乡建筑'!$AF7,,,VALUE(LEFT(AI10,2)))),)</f>
        <v>122762500</v>
      </c>
      <c r="AJ218">
        <f ca="1">IF(VALUE(RIGHT(AJ10,3)),VALUE(RIGHT(AJ10,3))*SUM(OFFSET('2.3家乡建筑'!$AF7,,,VALUE(LEFT(AJ10,2)))),)</f>
        <v>272538750</v>
      </c>
      <c r="AK218">
        <f ca="1">IF(VALUE(RIGHT(AK10,3)),VALUE(RIGHT(AK10,3))*SUM(OFFSET('2.3家乡建筑'!$AF7,,,VALUE(LEFT(AK10,2)))),)</f>
        <v>597315000</v>
      </c>
      <c r="AL218">
        <f ca="1">IF(VALUE(RIGHT(AL10,3)),VALUE(RIGHT(AL10,3))*SUM(OFFSET('2.3家乡建筑'!$AF7,,,VALUE(LEFT(AL10,2)))),)</f>
        <v>1197315000</v>
      </c>
      <c r="AM218">
        <f ca="1">IF(VALUE(RIGHT(AM10,3)),VALUE(RIGHT(AM10,3))*SUM(OFFSET('2.3家乡建筑'!$AF7,,,VALUE(LEFT(AM10,2)))),)</f>
        <v>2397315000</v>
      </c>
      <c r="AN218">
        <f ca="1">IF(VALUE(RIGHT(AN10,3)),VALUE(RIGHT(AN10,3))*SUM(OFFSET('2.3家乡建筑'!$AF7,,,VALUE(LEFT(AN10,2)))),)</f>
        <v>4872091250</v>
      </c>
      <c r="AO218">
        <f ca="1">AN218+8000000*200</f>
        <v>6472091250</v>
      </c>
      <c r="AX218" s="28">
        <v>18000</v>
      </c>
      <c r="AY218" s="28" t="s">
        <v>5693</v>
      </c>
      <c r="AZ218" s="28" t="s">
        <v>4945</v>
      </c>
      <c r="BA218" s="28" t="s">
        <v>4674</v>
      </c>
      <c r="BB218" s="28">
        <v>80</v>
      </c>
      <c r="CD218" s="38">
        <v>214</v>
      </c>
      <c r="CE218" s="38">
        <f t="shared" si="87"/>
        <v>3.6647434754359018</v>
      </c>
      <c r="CF218" s="38">
        <f t="shared" si="91"/>
        <v>214.18611000000001</v>
      </c>
      <c r="CG218" s="38">
        <f t="shared" si="86"/>
        <v>215</v>
      </c>
      <c r="CP218" s="40">
        <v>566</v>
      </c>
      <c r="CQ218" s="41" t="s">
        <v>3808</v>
      </c>
      <c r="CR218" s="41" t="s">
        <v>3809</v>
      </c>
      <c r="CS218" s="41">
        <v>150</v>
      </c>
      <c r="CT218" s="41">
        <v>3</v>
      </c>
      <c r="CU218" s="41">
        <v>50</v>
      </c>
      <c r="CV218" s="41">
        <v>5</v>
      </c>
      <c r="CW218" s="40"/>
      <c r="CX218" s="41" t="s">
        <v>4716</v>
      </c>
      <c r="CY218" s="40" t="s">
        <v>3096</v>
      </c>
      <c r="DC218" s="7">
        <f t="shared" ca="1" si="90"/>
        <v>0</v>
      </c>
    </row>
    <row r="219" spans="4:112" ht="14.6">
      <c r="D219" s="6" t="str">
        <f t="shared" si="84"/>
        <v>都城建筑-&gt;多管迫击炮</v>
      </c>
      <c r="E219" s="6" t="str">
        <f t="shared" si="89"/>
        <v>#'4.2都城建筑'!F26:M33</v>
      </c>
      <c r="F219" t="s">
        <v>1878</v>
      </c>
      <c r="G219" t="s">
        <v>5879</v>
      </c>
      <c r="H219" s="6" t="s">
        <v>5872</v>
      </c>
      <c r="I219" t="s">
        <v>5828</v>
      </c>
      <c r="J219" t="s">
        <v>5168</v>
      </c>
      <c r="K219" t="s">
        <v>5597</v>
      </c>
      <c r="L219" t="s">
        <v>5606</v>
      </c>
      <c r="M219" t="s">
        <v>5440</v>
      </c>
      <c r="N219" t="s">
        <v>5441</v>
      </c>
      <c r="O219" t="s">
        <v>5327</v>
      </c>
      <c r="P219" t="s">
        <v>4782</v>
      </c>
      <c r="Q219" t="s">
        <v>4782</v>
      </c>
      <c r="R219" t="s">
        <v>4782</v>
      </c>
      <c r="S219">
        <f t="array" ref="S219">SUM(IFERROR(IF(MATCH(I219:R219,$F$4:$Q$4,0)&gt;0,1,0),0))</f>
        <v>0</v>
      </c>
      <c r="T219">
        <f t="shared" ca="1" si="85"/>
        <v>37</v>
      </c>
      <c r="U219">
        <f ca="1">T219+COUNTIF(T$5:$T218,T219)</f>
        <v>227</v>
      </c>
      <c r="Y219" s="12" t="s">
        <v>20</v>
      </c>
      <c r="AA219">
        <f ca="1">IF(VALUE(RIGHT(AA11,3)),VALUE(RIGHT(AA11,3))*SUM(OFFSET('2.3家乡建筑'!$M32,,,VALUE(LEFT(AA11,2)))),)</f>
        <v>0</v>
      </c>
      <c r="AB219">
        <f ca="1">IF(VALUE(RIGHT(AB11,3)),VALUE(RIGHT(AB11,3))*SUM(OFFSET('2.3家乡建筑'!$M32,,,VALUE(LEFT(AB11,2)))),)</f>
        <v>0</v>
      </c>
      <c r="AC219">
        <f ca="1">IF(VALUE(RIGHT(AC11,3)),VALUE(RIGHT(AC11,3))*SUM(OFFSET('2.3家乡建筑'!$M32,,,VALUE(LEFT(AC11,2)))),)</f>
        <v>5000</v>
      </c>
      <c r="AD219">
        <f ca="1">IF(VALUE(RIGHT(AD11,3)),VALUE(RIGHT(AD11,3))*SUM(OFFSET('2.3家乡建筑'!$M32,,,VALUE(LEFT(AD11,2)))),)</f>
        <v>30000</v>
      </c>
      <c r="AE219">
        <f ca="1">IF(VALUE(RIGHT(AE11,3)),VALUE(RIGHT(AE11,3))*SUM(OFFSET('2.3家乡建筑'!$M32,,,VALUE(LEFT(AE11,2)))),)</f>
        <v>130000</v>
      </c>
      <c r="AF219">
        <f ca="1">IF(VALUE(RIGHT(AF11,3)),VALUE(RIGHT(AF11,3))*SUM(OFFSET('2.3家乡建筑'!$M32,,,VALUE(LEFT(AF11,2)))),)</f>
        <v>660000</v>
      </c>
      <c r="AG219">
        <f ca="1">IF(VALUE(RIGHT(AG11,3)),VALUE(RIGHT(AG11,3))*SUM(OFFSET('2.3家乡建筑'!$M32,,,VALUE(LEFT(AG11,2)))),)</f>
        <v>2190000</v>
      </c>
      <c r="AH219">
        <f ca="1">IF(VALUE(RIGHT(AH11,3)),VALUE(RIGHT(AH11,3))*SUM(OFFSET('2.3家乡建筑'!$M32,,,VALUE(LEFT(AH11,2)))),)</f>
        <v>5920000</v>
      </c>
      <c r="AI219">
        <f ca="1">IF(VALUE(RIGHT(AI11,3)),VALUE(RIGHT(AI11,3))*SUM(OFFSET('2.3家乡建筑'!$M32,,,VALUE(LEFT(AI11,2)))),)</f>
        <v>11920000</v>
      </c>
      <c r="AJ219">
        <f ca="1">IF(VALUE(RIGHT(AJ11,3)),VALUE(RIGHT(AJ11,3))*SUM(OFFSET('2.3家乡建筑'!$M32,,,VALUE(LEFT(AJ11,2)))),)</f>
        <v>21920000</v>
      </c>
      <c r="AK219">
        <f ca="1">IF(VALUE(RIGHT(AK11,3)),VALUE(RIGHT(AK11,3))*SUM(OFFSET('2.3家乡建筑'!$M32,,,VALUE(LEFT(AK11,2)))),)</f>
        <v>55120000</v>
      </c>
      <c r="AL219">
        <f ca="1">IF(VALUE(RIGHT(AL11,3)),VALUE(RIGHT(AL11,3))*SUM(OFFSET('2.3家乡建筑'!$M32,,,VALUE(LEFT(AL11,2)))),)</f>
        <v>109920000</v>
      </c>
      <c r="AM219">
        <f ca="1">IF(VALUE(RIGHT(AM11,3)),VALUE(RIGHT(AM11,3))*SUM(OFFSET('2.3家乡建筑'!$M32,,,VALUE(LEFT(AM11,2)))),)</f>
        <v>149120000</v>
      </c>
      <c r="AN219">
        <f ca="1">IF(VALUE(RIGHT(AN11,3)),VALUE(RIGHT(AN11,3))*SUM(OFFSET('2.3家乡建筑'!$M32,,,VALUE(LEFT(AN11,2)))),)</f>
        <v>215120000</v>
      </c>
      <c r="AO219">
        <f ca="1">IF(VALUE(RIGHT(AO11,3)),VALUE(RIGHT(AO11,3))*SUM(OFFSET('2.3家乡建筑'!$M32,,,VALUE(LEFT(AO11,2)))),)</f>
        <v>291120000</v>
      </c>
      <c r="AX219" s="28">
        <v>30000</v>
      </c>
      <c r="AY219" s="28" t="s">
        <v>5163</v>
      </c>
      <c r="AZ219" s="28" t="s">
        <v>4855</v>
      </c>
      <c r="BA219" s="28" t="s">
        <v>5643</v>
      </c>
      <c r="BB219" s="28">
        <v>100</v>
      </c>
      <c r="CD219" s="38">
        <v>215</v>
      </c>
      <c r="CE219" s="38">
        <f t="shared" si="87"/>
        <v>3.6670744777669042</v>
      </c>
      <c r="CF219" s="38">
        <f t="shared" si="91"/>
        <v>215.18544</v>
      </c>
      <c r="CG219" s="38">
        <f t="shared" si="86"/>
        <v>216</v>
      </c>
      <c r="CP219" s="40">
        <v>567</v>
      </c>
      <c r="CQ219" s="41" t="s">
        <v>3815</v>
      </c>
      <c r="CR219" s="41" t="s">
        <v>3816</v>
      </c>
      <c r="CS219" s="41">
        <v>150</v>
      </c>
      <c r="CT219" s="41">
        <v>3</v>
      </c>
      <c r="CU219" s="41">
        <v>20</v>
      </c>
      <c r="CV219" s="41">
        <v>5</v>
      </c>
      <c r="CW219" s="40"/>
      <c r="CX219" s="41" t="s">
        <v>4716</v>
      </c>
      <c r="CY219" s="40" t="s">
        <v>3096</v>
      </c>
      <c r="DB219" t="s">
        <v>192</v>
      </c>
      <c r="DC219" s="7" t="str">
        <f t="shared" ca="1" si="90"/>
        <v>05_001</v>
      </c>
      <c r="DD219" t="s">
        <v>4834</v>
      </c>
      <c r="DE219" t="s">
        <v>4784</v>
      </c>
      <c r="DF219" t="s">
        <v>4785</v>
      </c>
      <c r="DG219" t="s">
        <v>4873</v>
      </c>
      <c r="DH219" t="s">
        <v>4941</v>
      </c>
    </row>
    <row r="220" spans="4:112" ht="14.6">
      <c r="D220" s="6" t="str">
        <f t="shared" si="84"/>
        <v>都城建筑-&gt;超级法师塔</v>
      </c>
      <c r="E220" s="6" t="str">
        <f t="shared" si="89"/>
        <v>#'4.2都城建筑'!P26:X32</v>
      </c>
      <c r="F220" t="s">
        <v>1881</v>
      </c>
      <c r="G220" t="s">
        <v>5880</v>
      </c>
      <c r="H220" s="6" t="s">
        <v>5872</v>
      </c>
      <c r="I220" t="s">
        <v>5828</v>
      </c>
      <c r="J220" t="s">
        <v>5168</v>
      </c>
      <c r="K220" t="s">
        <v>5085</v>
      </c>
      <c r="L220" t="s">
        <v>5155</v>
      </c>
      <c r="M220" t="s">
        <v>5037</v>
      </c>
      <c r="N220" t="s">
        <v>5038</v>
      </c>
      <c r="O220" t="s">
        <v>5313</v>
      </c>
      <c r="P220" t="s">
        <v>4782</v>
      </c>
      <c r="Q220" t="s">
        <v>4782</v>
      </c>
      <c r="R220" t="s">
        <v>4782</v>
      </c>
      <c r="S220">
        <f t="array" ref="S220">SUM(IFERROR(IF(MATCH(I220:R220,$F$4:$Q$4,0)&gt;0,1,0),0))</f>
        <v>0</v>
      </c>
      <c r="T220">
        <f t="shared" ca="1" si="85"/>
        <v>37</v>
      </c>
      <c r="U220">
        <f ca="1">T220+COUNTIF(T$5:$T219,T220)</f>
        <v>228</v>
      </c>
      <c r="Y220" s="12" t="s">
        <v>26</v>
      </c>
      <c r="AA220">
        <f ca="1">IF(VALUE(RIGHT(AA12,3)),VALUE(RIGHT(AA12,3))*SUM(OFFSET('2.3家乡建筑'!$V31,,,VALUE(LEFT(AA12,2)))),)</f>
        <v>0</v>
      </c>
      <c r="AB220">
        <f ca="1">IF(VALUE(RIGHT(AB12,3)),VALUE(RIGHT(AB12,3))*SUM(OFFSET('2.3家乡建筑'!$V31,,,VALUE(LEFT(AB12,2)))),)</f>
        <v>0</v>
      </c>
      <c r="AC220">
        <f ca="1">IF(VALUE(RIGHT(AC12,3)),VALUE(RIGHT(AC12,3))*SUM(OFFSET('2.3家乡建筑'!$V31,,,VALUE(LEFT(AC12,2)))),)</f>
        <v>0</v>
      </c>
      <c r="AD220">
        <f ca="1">IF(VALUE(RIGHT(AD12,3)),VALUE(RIGHT(AD12,3))*SUM(OFFSET('2.3家乡建筑'!$V31,,,VALUE(LEFT(AD12,2)))),)</f>
        <v>112000</v>
      </c>
      <c r="AE220">
        <f ca="1">IF(VALUE(RIGHT(AE12,3)),VALUE(RIGHT(AE12,3))*SUM(OFFSET('2.3家乡建筑'!$V31,,,VALUE(LEFT(AE12,2)))),)</f>
        <v>382000</v>
      </c>
      <c r="AF220">
        <f ca="1">IF(VALUE(RIGHT(AF12,3)),VALUE(RIGHT(AF12,3))*SUM(OFFSET('2.3家乡建筑'!$V31,,,VALUE(LEFT(AF12,2)))),)</f>
        <v>1764000</v>
      </c>
      <c r="AG220">
        <f ca="1">IF(VALUE(RIGHT(AG12,3)),VALUE(RIGHT(AG12,3))*SUM(OFFSET('2.3家乡建筑'!$V31,,,VALUE(LEFT(AG12,2)))),)</f>
        <v>5646000</v>
      </c>
      <c r="AH220">
        <f ca="1">IF(VALUE(RIGHT(AH12,3)),VALUE(RIGHT(AH12,3))*SUM(OFFSET('2.3家乡建筑'!$V31,,,VALUE(LEFT(AH12,2)))),)</f>
        <v>9696000</v>
      </c>
      <c r="AI220">
        <f ca="1">IF(VALUE(RIGHT(AI12,3)),VALUE(RIGHT(AI12,3))*SUM(OFFSET('2.3家乡建筑'!$V31,,,VALUE(LEFT(AI12,2)))),)</f>
        <v>19928000</v>
      </c>
      <c r="AJ220">
        <f ca="1">IF(VALUE(RIGHT(AJ12,3)),VALUE(RIGHT(AJ12,3))*SUM(OFFSET('2.3家乡建筑'!$V31,,,VALUE(LEFT(AJ12,2)))),)</f>
        <v>31928000</v>
      </c>
      <c r="AK220">
        <f ca="1">IF(VALUE(RIGHT(AK12,3)),VALUE(RIGHT(AK12,3))*SUM(OFFSET('2.3家乡建筑'!$V31,,,VALUE(LEFT(AK12,2)))),)</f>
        <v>48728000</v>
      </c>
      <c r="AL220">
        <f ca="1">IF(VALUE(RIGHT(AL12,3)),VALUE(RIGHT(AL12,3))*SUM(OFFSET('2.3家乡建筑'!$V31,,,VALUE(LEFT(AL12,2)))),)</f>
        <v>74728000</v>
      </c>
      <c r="AM220">
        <f ca="1">IF(VALUE(RIGHT(AM12,3)),VALUE(RIGHT(AM12,3))*SUM(OFFSET('2.3家乡建筑'!$V31,,,VALUE(LEFT(AM12,2)))),)</f>
        <v>116728000</v>
      </c>
      <c r="AN220">
        <f ca="1">IF(VALUE(RIGHT(AN12,3)),VALUE(RIGHT(AN12,3))*SUM(OFFSET('2.3家乡建筑'!$V31,,,VALUE(LEFT(AN12,2)))),)</f>
        <v>184728000</v>
      </c>
      <c r="AO220">
        <f ca="1">IF(VALUE(RIGHT(AO12,3)),VALUE(RIGHT(AO12,3))*SUM(OFFSET('2.3家乡建筑'!$V31,,,VALUE(LEFT(AO12,2)))),)</f>
        <v>262728000</v>
      </c>
      <c r="AX220" s="28">
        <v>50000</v>
      </c>
      <c r="AY220" s="28" t="s">
        <v>4751</v>
      </c>
      <c r="AZ220" s="28" t="s">
        <v>4750</v>
      </c>
      <c r="BA220" s="28" t="s">
        <v>3432</v>
      </c>
      <c r="BB220" s="28">
        <v>120</v>
      </c>
      <c r="CD220" s="38">
        <v>216</v>
      </c>
      <c r="CE220" s="38">
        <f t="shared" si="87"/>
        <v>3.6693946633817536</v>
      </c>
      <c r="CF220" s="38">
        <f t="shared" si="91"/>
        <v>216.18476000000001</v>
      </c>
      <c r="CG220" s="38">
        <f t="shared" si="86"/>
        <v>217</v>
      </c>
      <c r="CP220" s="40">
        <v>568</v>
      </c>
      <c r="CQ220" s="41" t="s">
        <v>3820</v>
      </c>
      <c r="CR220" s="41" t="s">
        <v>3821</v>
      </c>
      <c r="CS220" s="41">
        <v>150</v>
      </c>
      <c r="CT220" s="41">
        <v>3</v>
      </c>
      <c r="CU220" s="41">
        <v>50</v>
      </c>
      <c r="CV220" s="41">
        <v>5</v>
      </c>
      <c r="CW220" s="40"/>
      <c r="CX220" s="41" t="s">
        <v>4716</v>
      </c>
      <c r="CY220" s="40" t="s">
        <v>3096</v>
      </c>
      <c r="DC220" s="7">
        <f t="shared" ca="1" si="90"/>
        <v>0</v>
      </c>
    </row>
    <row r="221" spans="4:112" ht="14.6">
      <c r="D221" s="6" t="str">
        <f t="shared" si="84"/>
        <v>都城建筑-&gt;空炸起源</v>
      </c>
      <c r="E221" s="6" t="str">
        <f t="shared" si="89"/>
        <v>#'4.2都城建筑'!Z26:AG33</v>
      </c>
      <c r="F221" t="s">
        <v>1599</v>
      </c>
      <c r="G221" t="s">
        <v>5881</v>
      </c>
      <c r="H221" s="6" t="s">
        <v>5872</v>
      </c>
      <c r="I221" t="s">
        <v>5828</v>
      </c>
      <c r="J221" t="s">
        <v>5168</v>
      </c>
      <c r="K221" t="s">
        <v>5429</v>
      </c>
      <c r="L221" t="s">
        <v>5015</v>
      </c>
      <c r="M221" t="s">
        <v>5641</v>
      </c>
      <c r="N221" t="s">
        <v>5642</v>
      </c>
      <c r="O221" t="s">
        <v>4782</v>
      </c>
      <c r="P221" t="s">
        <v>4782</v>
      </c>
      <c r="Q221" t="s">
        <v>4782</v>
      </c>
      <c r="R221" t="s">
        <v>4782</v>
      </c>
      <c r="S221">
        <f t="array" ref="S221">SUM(IFERROR(IF(MATCH(I221:R221,$F$4:$Q$4,0)&gt;0,1,0),0))</f>
        <v>0</v>
      </c>
      <c r="T221">
        <f t="shared" ca="1" si="85"/>
        <v>37</v>
      </c>
      <c r="U221">
        <f ca="1">T221+COUNTIF(T$5:$T220,T221)</f>
        <v>229</v>
      </c>
      <c r="Y221" s="12" t="s">
        <v>32</v>
      </c>
      <c r="AA221">
        <f ca="1">IF(VALUE(RIGHT(AA13,3)),VALUE(RIGHT(AA13,3))*SUM(OFFSET('2.3家乡建筑'!$AG30,,,VALUE(LEFT(AA13,2)))),)</f>
        <v>0</v>
      </c>
      <c r="AB221">
        <f ca="1">IF(VALUE(RIGHT(AB13,3)),VALUE(RIGHT(AB13,3))*SUM(OFFSET('2.3家乡建筑'!$AG30,,,VALUE(LEFT(AB13,2)))),)</f>
        <v>0</v>
      </c>
      <c r="AC221">
        <f ca="1">IF(VALUE(RIGHT(AC13,3)),VALUE(RIGHT(AC13,3))*SUM(OFFSET('2.3家乡建筑'!$AG30,,,VALUE(LEFT(AC13,2)))),)</f>
        <v>0</v>
      </c>
      <c r="AD221">
        <f ca="1">IF(VALUE(RIGHT(AD13,3)),VALUE(RIGHT(AD13,3))*SUM(OFFSET('2.3家乡建筑'!$AG30,,,VALUE(LEFT(AD13,2)))),)</f>
        <v>0</v>
      </c>
      <c r="AE221">
        <f ca="1">IF(VALUE(RIGHT(AE13,3)),VALUE(RIGHT(AE13,3))*SUM(OFFSET('2.3家乡建筑'!$AG30,,,VALUE(LEFT(AE13,2)))),)</f>
        <v>340000</v>
      </c>
      <c r="AF221">
        <f ca="1">IF(VALUE(RIGHT(AF13,3)),VALUE(RIGHT(AF13,3))*SUM(OFFSET('2.3家乡建筑'!$AG30,,,VALUE(LEFT(AF13,2)))),)</f>
        <v>1520000</v>
      </c>
      <c r="AG221">
        <f ca="1">IF(VALUE(RIGHT(AG13,3)),VALUE(RIGHT(AG13,3))*SUM(OFFSET('2.3家乡建筑'!$AG30,,,VALUE(LEFT(AG13,2)))),)</f>
        <v>2960000</v>
      </c>
      <c r="AH221">
        <f ca="1">IF(VALUE(RIGHT(AH13,3)),VALUE(RIGHT(AH13,3))*SUM(OFFSET('2.3家乡建筑'!$AG30,,,VALUE(LEFT(AH13,2)))),)</f>
        <v>10800000</v>
      </c>
      <c r="AI221">
        <f ca="1">IF(VALUE(RIGHT(AI13,3)),VALUE(RIGHT(AI13,3))*SUM(OFFSET('2.3家乡建筑'!$AG30,,,VALUE(LEFT(AI13,2)))),)</f>
        <v>23200000</v>
      </c>
      <c r="AJ221">
        <f ca="1">IF(VALUE(RIGHT(AJ13,3)),VALUE(RIGHT(AJ13,3))*SUM(OFFSET('2.3家乡建筑'!$AG30,,,VALUE(LEFT(AJ13,2)))),)</f>
        <v>48800000</v>
      </c>
      <c r="AK221">
        <f ca="1">IF(VALUE(RIGHT(AK13,3)),VALUE(RIGHT(AK13,3))*SUM(OFFSET('2.3家乡建筑'!$AG30,,,VALUE(LEFT(AK13,2)))),)</f>
        <v>87000000</v>
      </c>
      <c r="AL221">
        <f ca="1">IF(VALUE(RIGHT(AL13,3)),VALUE(RIGHT(AL13,3))*SUM(OFFSET('2.3家乡建筑'!$AG30,,,VALUE(LEFT(AL13,2)))),)</f>
        <v>123000000</v>
      </c>
      <c r="AM221">
        <f ca="1">IF(VALUE(RIGHT(AM13,3)),VALUE(RIGHT(AM13,3))*SUM(OFFSET('2.3家乡建筑'!$AG30,,,VALUE(LEFT(AM13,2)))),)</f>
        <v>237500000</v>
      </c>
      <c r="AN221">
        <f ca="1">IF(VALUE(RIGHT(AN13,3)),VALUE(RIGHT(AN13,3))*SUM(OFFSET('2.3家乡建筑'!$AG30,,,VALUE(LEFT(AN13,2)))),)</f>
        <v>323500000</v>
      </c>
      <c r="AO221">
        <f ca="1">IF(VALUE(RIGHT(AO13,3)),VALUE(RIGHT(AO13,3))*SUM(OFFSET('2.3家乡建筑'!$AG30,,,VALUE(LEFT(AO13,2)))),)</f>
        <v>419500000</v>
      </c>
      <c r="AX221" s="28">
        <v>3000</v>
      </c>
      <c r="AY221" s="28" t="s">
        <v>5538</v>
      </c>
      <c r="AZ221" s="28" t="s">
        <v>4878</v>
      </c>
      <c r="BA221" s="28" t="s">
        <v>4739</v>
      </c>
      <c r="BB221" s="28">
        <v>20</v>
      </c>
      <c r="CD221" s="38">
        <v>217</v>
      </c>
      <c r="CE221" s="38">
        <f t="shared" si="87"/>
        <v>3.6717041322039243</v>
      </c>
      <c r="CF221" s="38">
        <f t="shared" si="91"/>
        <v>217.18409</v>
      </c>
      <c r="CG221" s="38">
        <f t="shared" si="86"/>
        <v>218</v>
      </c>
      <c r="CP221" s="40">
        <v>569</v>
      </c>
      <c r="CQ221" s="41" t="s">
        <v>3819</v>
      </c>
      <c r="CR221" s="41" t="s">
        <v>3825</v>
      </c>
      <c r="CS221" s="41">
        <v>150</v>
      </c>
      <c r="CT221" s="41">
        <v>3</v>
      </c>
      <c r="CU221" s="41">
        <v>50</v>
      </c>
      <c r="CV221" s="41">
        <v>5</v>
      </c>
      <c r="CW221" s="40"/>
      <c r="CX221" s="41" t="s">
        <v>4716</v>
      </c>
      <c r="CY221" s="40" t="s">
        <v>3096</v>
      </c>
      <c r="DC221" s="7">
        <f t="shared" ca="1" si="90"/>
        <v>0</v>
      </c>
    </row>
    <row r="222" spans="4:112" ht="14.6">
      <c r="D222" s="6" t="str">
        <f t="shared" si="84"/>
        <v>都城建筑-&gt;疾速火箭</v>
      </c>
      <c r="E222" s="6" t="str">
        <f t="shared" si="89"/>
        <v>#'4.2都城建筑'!F37:M44</v>
      </c>
      <c r="F222" t="s">
        <v>1886</v>
      </c>
      <c r="G222" t="s">
        <v>5882</v>
      </c>
      <c r="H222" s="6" t="s">
        <v>5872</v>
      </c>
      <c r="I222" t="s">
        <v>5828</v>
      </c>
      <c r="J222" t="s">
        <v>5168</v>
      </c>
      <c r="K222" t="s">
        <v>5883</v>
      </c>
      <c r="L222" t="s">
        <v>5269</v>
      </c>
      <c r="M222" t="s">
        <v>5149</v>
      </c>
      <c r="N222" t="s">
        <v>4870</v>
      </c>
      <c r="O222" t="s">
        <v>4782</v>
      </c>
      <c r="P222" t="s">
        <v>4782</v>
      </c>
      <c r="Q222" t="s">
        <v>4782</v>
      </c>
      <c r="R222" t="s">
        <v>4782</v>
      </c>
      <c r="S222">
        <f t="array" ref="S222">SUM(IFERROR(IF(MATCH(I222:R222,$F$4:$Q$4,0)&gt;0,1,0),0))</f>
        <v>0</v>
      </c>
      <c r="T222">
        <f t="shared" ca="1" si="85"/>
        <v>37</v>
      </c>
      <c r="U222">
        <f ca="1">T222+COUNTIF(T$5:$T221,T222)</f>
        <v>230</v>
      </c>
      <c r="Y222" s="12" t="s">
        <v>38</v>
      </c>
      <c r="AA222">
        <f ca="1">IF(VALUE(RIGHT(AA14,3)),VALUE(RIGHT(AA14,3))*SUM(OFFSET('2.3家乡建筑'!$K51,,,VALUE(LEFT(AA14,2)))),)</f>
        <v>0</v>
      </c>
      <c r="AB222">
        <f ca="1">IF(VALUE(RIGHT(AB14,3)),VALUE(RIGHT(AB14,3))*SUM(OFFSET('2.3家乡建筑'!$K51,,,VALUE(LEFT(AB14,2)))),)</f>
        <v>0</v>
      </c>
      <c r="AC222">
        <f ca="1">IF(VALUE(RIGHT(AC14,3)),VALUE(RIGHT(AC14,3))*SUM(OFFSET('2.3家乡建筑'!$K51,,,VALUE(LEFT(AC14,2)))),)</f>
        <v>0</v>
      </c>
      <c r="AD222">
        <f ca="1">IF(VALUE(RIGHT(AD14,3)),VALUE(RIGHT(AD14,3))*SUM(OFFSET('2.3家乡建筑'!$K51,,,VALUE(LEFT(AD14,2)))),)</f>
        <v>0</v>
      </c>
      <c r="AE222">
        <f ca="1">IF(VALUE(RIGHT(AE14,3)),VALUE(RIGHT(AE14,3))*SUM(OFFSET('2.3家乡建筑'!$K51,,,VALUE(LEFT(AE14,2)))),)</f>
        <v>0</v>
      </c>
      <c r="AF222">
        <f ca="1">IF(VALUE(RIGHT(AF14,3)),VALUE(RIGHT(AF14,3))*SUM(OFFSET('2.3家乡建筑'!$K51,,,VALUE(LEFT(AF14,2)))),)</f>
        <v>1100000</v>
      </c>
      <c r="AG222">
        <f ca="1">IF(VALUE(RIGHT(AG14,3)),VALUE(RIGHT(AG14,3))*SUM(OFFSET('2.3家乡建筑'!$K51,,,VALUE(LEFT(AG14,2)))),)</f>
        <v>2200000</v>
      </c>
      <c r="AH222">
        <f ca="1">IF(VALUE(RIGHT(AH14,3)),VALUE(RIGHT(AH14,3))*SUM(OFFSET('2.3家乡建筑'!$K51,,,VALUE(LEFT(AH14,2)))),)</f>
        <v>3700000</v>
      </c>
      <c r="AI222">
        <f ca="1">IF(VALUE(RIGHT(AI14,3)),VALUE(RIGHT(AI14,3))*SUM(OFFSET('2.3家乡建筑'!$K51,,,VALUE(LEFT(AI14,2)))),)</f>
        <v>11400000</v>
      </c>
      <c r="AJ222">
        <f ca="1">IF(VALUE(RIGHT(AJ14,3)),VALUE(RIGHT(AJ14,3))*SUM(OFFSET('2.3家乡建筑'!$K51,,,VALUE(LEFT(AJ14,2)))),)</f>
        <v>16400000</v>
      </c>
      <c r="AK222">
        <f ca="1">IF(VALUE(RIGHT(AK14,3)),VALUE(RIGHT(AK14,3))*SUM(OFFSET('2.3家乡建筑'!$K51,,,VALUE(LEFT(AK14,2)))),)</f>
        <v>24800000</v>
      </c>
      <c r="AL222">
        <f ca="1">IF(VALUE(RIGHT(AL14,3)),VALUE(RIGHT(AL14,3))*SUM(OFFSET('2.3家乡建筑'!$K51,,,VALUE(LEFT(AL14,2)))),)</f>
        <v>24800000</v>
      </c>
      <c r="AM222">
        <f ca="1">IF(VALUE(RIGHT(AM14,3)),VALUE(RIGHT(AM14,3))*SUM(OFFSET('2.3家乡建筑'!$K51,,,VALUE(LEFT(AM14,2)))),)</f>
        <v>24800000</v>
      </c>
      <c r="AN222">
        <f ca="1">IF(VALUE(RIGHT(AN14,3)),VALUE(RIGHT(AN14,3))*SUM(OFFSET('2.3家乡建筑'!$K51,,,VALUE(LEFT(AN14,2)))),)</f>
        <v>24800000</v>
      </c>
      <c r="AO222">
        <f ca="1">IF(VALUE(RIGHT(AO14,3)),VALUE(RIGHT(AO14,3))*SUM(OFFSET('2.3家乡建筑'!$K51,,,VALUE(LEFT(AO14,2)))),)</f>
        <v>24800000</v>
      </c>
      <c r="AX222" s="28">
        <v>7500</v>
      </c>
      <c r="AY222" s="28" t="s">
        <v>4688</v>
      </c>
      <c r="AZ222" s="28" t="s">
        <v>4963</v>
      </c>
      <c r="BA222" s="28" t="s">
        <v>4713</v>
      </c>
      <c r="BB222" s="28">
        <v>40</v>
      </c>
      <c r="CD222" s="38">
        <v>218</v>
      </c>
      <c r="CE222" s="38">
        <f t="shared" si="87"/>
        <v>3.6740029827786369</v>
      </c>
      <c r="CF222" s="38">
        <f t="shared" si="91"/>
        <v>218.18342999999999</v>
      </c>
      <c r="CG222" s="38">
        <f t="shared" si="86"/>
        <v>219</v>
      </c>
      <c r="CP222" s="40">
        <v>570</v>
      </c>
      <c r="CQ222" s="41" t="s">
        <v>3814</v>
      </c>
      <c r="CR222" s="41" t="s">
        <v>3829</v>
      </c>
      <c r="CS222" s="41">
        <v>150</v>
      </c>
      <c r="CT222" s="41">
        <v>3</v>
      </c>
      <c r="CU222" s="41">
        <v>50</v>
      </c>
      <c r="CV222" s="41">
        <v>5</v>
      </c>
      <c r="CW222" s="40"/>
      <c r="CX222" s="41" t="s">
        <v>4716</v>
      </c>
      <c r="CY222" s="40" t="s">
        <v>3096</v>
      </c>
      <c r="DC222" s="7">
        <f t="shared" ca="1" si="90"/>
        <v>0</v>
      </c>
    </row>
    <row r="223" spans="4:112" ht="14.6">
      <c r="D223" s="6" t="str">
        <f t="shared" si="84"/>
        <v>都城建筑-&gt;撼地巨石</v>
      </c>
      <c r="E223" s="6" t="str">
        <f t="shared" si="89"/>
        <v>#'4.2都城建筑'!P37:W44</v>
      </c>
      <c r="F223" t="s">
        <v>1889</v>
      </c>
      <c r="G223" t="s">
        <v>5884</v>
      </c>
      <c r="H223" s="6" t="s">
        <v>5872</v>
      </c>
      <c r="I223" t="s">
        <v>5828</v>
      </c>
      <c r="J223" t="s">
        <v>5168</v>
      </c>
      <c r="K223" t="s">
        <v>5602</v>
      </c>
      <c r="L223" t="s">
        <v>5102</v>
      </c>
      <c r="M223" t="s">
        <v>4927</v>
      </c>
      <c r="N223" t="s">
        <v>4981</v>
      </c>
      <c r="O223" t="s">
        <v>4782</v>
      </c>
      <c r="P223" t="s">
        <v>4782</v>
      </c>
      <c r="Q223" t="s">
        <v>4782</v>
      </c>
      <c r="R223" t="s">
        <v>4782</v>
      </c>
      <c r="S223">
        <f t="array" ref="S223">SUM(IFERROR(IF(MATCH(I223:R223,$F$4:$Q$4,0)&gt;0,1,0),0))</f>
        <v>1</v>
      </c>
      <c r="T223">
        <f t="shared" ca="1" si="85"/>
        <v>20</v>
      </c>
      <c r="U223">
        <f ca="1">T223+COUNTIF(T$5:$T222,T223)</f>
        <v>32</v>
      </c>
      <c r="Y223" s="12" t="s">
        <v>43</v>
      </c>
      <c r="AA223">
        <f ca="1">IF(VALUE(RIGHT(AA15,3)),VALUE(RIGHT(AA15,3))*SUM(OFFSET('2.3家乡建筑'!$V47,,,VALUE(LEFT(AA15,2)))),)</f>
        <v>0</v>
      </c>
      <c r="AB223">
        <f ca="1">IF(VALUE(RIGHT(AB15,3)),VALUE(RIGHT(AB15,3))*SUM(OFFSET('2.3家乡建筑'!$V47,,,VALUE(LEFT(AB15,2)))),)</f>
        <v>0</v>
      </c>
      <c r="AC223">
        <f ca="1">IF(VALUE(RIGHT(AC15,3)),VALUE(RIGHT(AC15,3))*SUM(OFFSET('2.3家乡建筑'!$V47,,,VALUE(LEFT(AC15,2)))),)</f>
        <v>0</v>
      </c>
      <c r="AD223">
        <f ca="1">IF(VALUE(RIGHT(AD15,3)),VALUE(RIGHT(AD15,3))*SUM(OFFSET('2.3家乡建筑'!$V47,,,VALUE(LEFT(AD15,2)))),)</f>
        <v>0</v>
      </c>
      <c r="AE223">
        <f ca="1">IF(VALUE(RIGHT(AE15,3)),VALUE(RIGHT(AE15,3))*SUM(OFFSET('2.3家乡建筑'!$V47,,,VALUE(LEFT(AE15,2)))),)</f>
        <v>0</v>
      </c>
      <c r="AF223">
        <f ca="1">IF(VALUE(RIGHT(AF15,3)),VALUE(RIGHT(AF15,3))*SUM(OFFSET('2.3家乡建筑'!$V47,,,VALUE(LEFT(AF15,2)))),)</f>
        <v>0</v>
      </c>
      <c r="AG223">
        <f ca="1">IF(VALUE(RIGHT(AG15,3)),VALUE(RIGHT(AG15,3))*SUM(OFFSET('2.3家乡建筑'!$V47,,,VALUE(LEFT(AG15,2)))),)</f>
        <v>2800000</v>
      </c>
      <c r="AH223">
        <f ca="1">IF(VALUE(RIGHT(AH15,3)),VALUE(RIGHT(AH15,3))*SUM(OFFSET('2.3家乡建筑'!$V47,,,VALUE(LEFT(AH15,2)))),)</f>
        <v>13950000</v>
      </c>
      <c r="AI223">
        <f ca="1">IF(VALUE(RIGHT(AI15,3)),VALUE(RIGHT(AI15,3))*SUM(OFFSET('2.3家乡建筑'!$V47,,,VALUE(LEFT(AI15,2)))),)</f>
        <v>25800000</v>
      </c>
      <c r="AJ223">
        <f ca="1">IF(VALUE(RIGHT(AJ15,3)),VALUE(RIGHT(AJ15,3))*SUM(OFFSET('2.3家乡建筑'!$V47,,,VALUE(LEFT(AJ15,2)))),)</f>
        <v>34200000</v>
      </c>
      <c r="AK223">
        <f ca="1">IF(VALUE(RIGHT(AK15,3)),VALUE(RIGHT(AK15,3))*SUM(OFFSET('2.3家乡建筑'!$V47,,,VALUE(LEFT(AK15,2)))),)</f>
        <v>46600000</v>
      </c>
      <c r="AL223">
        <f ca="1">IF(VALUE(RIGHT(AL15,3)),VALUE(RIGHT(AL15,3))*SUM(OFFSET('2.3家乡建筑'!$V47,,,VALUE(LEFT(AL15,2)))),)</f>
        <v>86250000</v>
      </c>
      <c r="AM223">
        <f ca="1">IF(VALUE(RIGHT(AM15,3)),VALUE(RIGHT(AM15,3))*SUM(OFFSET('2.3家乡建筑'!$V47,,,VALUE(LEFT(AM15,2)))),)</f>
        <v>190750000</v>
      </c>
      <c r="AN223">
        <f ca="1">IF(VALUE(RIGHT(AN15,3)),VALUE(RIGHT(AN15,3))*SUM(OFFSET('2.3家乡建筑'!$V47,,,VALUE(LEFT(AN15,2)))),)</f>
        <v>276250000</v>
      </c>
      <c r="AO223">
        <f ca="1">IF(VALUE(RIGHT(AO15,3)),VALUE(RIGHT(AO15,3))*SUM(OFFSET('2.3家乡建筑'!$V47,,,VALUE(LEFT(AO15,2)))),)</f>
        <v>276250000</v>
      </c>
      <c r="AX223" s="28">
        <v>12000</v>
      </c>
      <c r="AY223" s="28" t="s">
        <v>4934</v>
      </c>
      <c r="AZ223" s="28" t="s">
        <v>5885</v>
      </c>
      <c r="BA223" s="28" t="s">
        <v>5468</v>
      </c>
      <c r="BB223" s="28">
        <v>60</v>
      </c>
      <c r="CD223" s="38">
        <v>219</v>
      </c>
      <c r="CE223" s="38">
        <f t="shared" si="87"/>
        <v>3.6762913122980878</v>
      </c>
      <c r="CF223" s="38">
        <f t="shared" si="91"/>
        <v>219.18276</v>
      </c>
      <c r="CG223" s="38">
        <f t="shared" si="86"/>
        <v>220</v>
      </c>
      <c r="CP223" s="40">
        <v>571</v>
      </c>
      <c r="CQ223" s="41" t="s">
        <v>3833</v>
      </c>
      <c r="CR223" s="41" t="s">
        <v>3834</v>
      </c>
      <c r="CS223" s="41">
        <v>150</v>
      </c>
      <c r="CT223" s="41">
        <v>3</v>
      </c>
      <c r="CU223" s="41">
        <v>40</v>
      </c>
      <c r="CV223" s="41">
        <v>5</v>
      </c>
      <c r="CW223" s="40"/>
      <c r="CX223" s="41" t="s">
        <v>4716</v>
      </c>
      <c r="CY223" s="40" t="s">
        <v>3096</v>
      </c>
      <c r="DC223" s="7">
        <f t="shared" ca="1" si="90"/>
        <v>0</v>
      </c>
    </row>
    <row r="224" spans="4:112" ht="14.6">
      <c r="D224" s="6" t="str">
        <f t="shared" si="84"/>
        <v>都城建筑-&gt;超级特斯拉电塔</v>
      </c>
      <c r="E224" s="6" t="str">
        <f t="shared" si="89"/>
        <v>#'4.2都城建筑'!Z37:AH45</v>
      </c>
      <c r="F224" t="s">
        <v>1891</v>
      </c>
      <c r="G224" t="s">
        <v>5886</v>
      </c>
      <c r="H224" s="6" t="s">
        <v>5872</v>
      </c>
      <c r="I224" t="s">
        <v>5828</v>
      </c>
      <c r="J224" t="s">
        <v>5168</v>
      </c>
      <c r="K224" t="s">
        <v>5085</v>
      </c>
      <c r="L224" t="s">
        <v>5155</v>
      </c>
      <c r="M224" t="s">
        <v>5459</v>
      </c>
      <c r="N224" t="s">
        <v>5460</v>
      </c>
      <c r="O224" t="s">
        <v>5461</v>
      </c>
      <c r="P224" t="s">
        <v>5121</v>
      </c>
      <c r="Q224" t="s">
        <v>5313</v>
      </c>
      <c r="R224" t="s">
        <v>4782</v>
      </c>
      <c r="S224">
        <f t="array" ref="S224">SUM(IFERROR(IF(MATCH(I224:R224,$F$4:$Q$4,0)&gt;0,1,0),0))</f>
        <v>0</v>
      </c>
      <c r="T224">
        <f t="shared" ca="1" si="85"/>
        <v>37</v>
      </c>
      <c r="U224">
        <f ca="1">T224+COUNTIF(T$5:$T223,T224)</f>
        <v>231</v>
      </c>
      <c r="Y224" s="12" t="s">
        <v>49</v>
      </c>
      <c r="AA224">
        <f ca="1">IF(VALUE(RIGHT(AA16,3)),VALUE(RIGHT(AA16,3))*SUM(OFFSET('2.3家乡建筑'!$AH47,,,VALUE(LEFT(AA16,2)))),)</f>
        <v>0</v>
      </c>
      <c r="AB224">
        <f ca="1">IF(VALUE(RIGHT(AB16,3)),VALUE(RIGHT(AB16,3))*SUM(OFFSET('2.3家乡建筑'!$AH47,,,VALUE(LEFT(AB16,2)))),)</f>
        <v>0</v>
      </c>
      <c r="AC224">
        <f ca="1">IF(VALUE(RIGHT(AC16,3)),VALUE(RIGHT(AC16,3))*SUM(OFFSET('2.3家乡建筑'!$AH47,,,VALUE(LEFT(AC16,2)))),)</f>
        <v>0</v>
      </c>
      <c r="AD224">
        <f ca="1">IF(VALUE(RIGHT(AD16,3)),VALUE(RIGHT(AD16,3))*SUM(OFFSET('2.3家乡建筑'!$AH47,,,VALUE(LEFT(AD16,2)))),)</f>
        <v>0</v>
      </c>
      <c r="AE224">
        <f ca="1">IF(VALUE(RIGHT(AE16,3)),VALUE(RIGHT(AE16,3))*SUM(OFFSET('2.3家乡建筑'!$AH47,,,VALUE(LEFT(AE16,2)))),)</f>
        <v>0</v>
      </c>
      <c r="AF224">
        <f ca="1">IF(VALUE(RIGHT(AF16,3)),VALUE(RIGHT(AF16,3))*SUM(OFFSET('2.3家乡建筑'!$AH47,,,VALUE(LEFT(AF16,2)))),)</f>
        <v>0</v>
      </c>
      <c r="AG224">
        <f ca="1">IF(VALUE(RIGHT(AG16,3)),VALUE(RIGHT(AG16,3))*SUM(OFFSET('2.3家乡建筑'!$AH47,,,VALUE(LEFT(AG16,2)))),)</f>
        <v>0</v>
      </c>
      <c r="AH224">
        <f ca="1">IF(VALUE(RIGHT(AH16,3)),VALUE(RIGHT(AH16,3))*SUM(OFFSET('2.3家乡建筑'!$AH47,,,VALUE(LEFT(AH16,2)))),)</f>
        <v>2000000</v>
      </c>
      <c r="AI224">
        <f ca="1">IF(VALUE(RIGHT(AI16,3)),VALUE(RIGHT(AI16,3))*SUM(OFFSET('2.3家乡建筑'!$AH47,,,VALUE(LEFT(AI16,2)))),)</f>
        <v>3800000</v>
      </c>
      <c r="AJ224">
        <f ca="1">IF(VALUE(RIGHT(AJ16,3)),VALUE(RIGHT(AJ16,3))*SUM(OFFSET('2.3家乡建筑'!$AH47,,,VALUE(LEFT(AJ16,2)))),)</f>
        <v>12800000</v>
      </c>
      <c r="AK224">
        <f ca="1">IF(VALUE(RIGHT(AK16,3)),VALUE(RIGHT(AK16,3))*SUM(OFFSET('2.3家乡建筑'!$AH47,,,VALUE(LEFT(AK16,2)))),)</f>
        <v>29800000</v>
      </c>
      <c r="AL224">
        <f ca="1">IF(VALUE(RIGHT(AL16,3)),VALUE(RIGHT(AL16,3))*SUM(OFFSET('2.3家乡建筑'!$AH47,,,VALUE(LEFT(AL16,2)))),)</f>
        <v>43800000</v>
      </c>
      <c r="AM224">
        <f ca="1">IF(VALUE(RIGHT(AM16,3)),VALUE(RIGHT(AM16,3))*SUM(OFFSET('2.3家乡建筑'!$AH47,,,VALUE(LEFT(AM16,2)))),)</f>
        <v>65800000</v>
      </c>
      <c r="AN224">
        <f ca="1">IF(VALUE(RIGHT(AN16,3)),VALUE(RIGHT(AN16,3))*SUM(OFFSET('2.3家乡建筑'!$AH47,,,VALUE(LEFT(AN16,2)))),)</f>
        <v>100800000</v>
      </c>
      <c r="AO224">
        <f ca="1">IF(VALUE(RIGHT(AO16,3)),VALUE(RIGHT(AO16,3))*SUM(OFFSET('2.3家乡建筑'!$AH47,,,VALUE(LEFT(AO16,2)))),)</f>
        <v>140800000</v>
      </c>
      <c r="AX224" s="28">
        <v>18000</v>
      </c>
      <c r="AY224" s="28" t="s">
        <v>4845</v>
      </c>
      <c r="AZ224" s="28" t="s">
        <v>5564</v>
      </c>
      <c r="BA224" s="28" t="s">
        <v>4771</v>
      </c>
      <c r="BB224" s="28">
        <v>80</v>
      </c>
      <c r="CD224" s="38">
        <v>220</v>
      </c>
      <c r="CE224" s="38">
        <f t="shared" si="87"/>
        <v>3.6785692166261059</v>
      </c>
      <c r="CF224" s="38">
        <f t="shared" si="91"/>
        <v>220.18209999999999</v>
      </c>
      <c r="CG224" s="38">
        <f t="shared" si="86"/>
        <v>221</v>
      </c>
      <c r="CP224" s="40">
        <v>572</v>
      </c>
      <c r="CQ224" s="41" t="s">
        <v>3838</v>
      </c>
      <c r="CR224" s="41" t="s">
        <v>3839</v>
      </c>
      <c r="CS224" s="41">
        <v>150</v>
      </c>
      <c r="CT224" s="41">
        <v>3</v>
      </c>
      <c r="CU224" s="41">
        <v>20</v>
      </c>
      <c r="CV224" s="41">
        <v>5</v>
      </c>
      <c r="CW224" s="40"/>
      <c r="CX224" s="41" t="s">
        <v>4716</v>
      </c>
      <c r="CY224" s="40" t="s">
        <v>3096</v>
      </c>
      <c r="DC224" s="7">
        <f t="shared" ca="1" si="90"/>
        <v>0</v>
      </c>
    </row>
    <row r="225" spans="4:112" ht="14.6">
      <c r="D225" s="6" t="str">
        <f t="shared" si="84"/>
        <v>都城建筑-&gt;巨型加农炮</v>
      </c>
      <c r="E225" s="6" t="str">
        <f t="shared" si="89"/>
        <v>#'4.2都城建筑'!F50:M58</v>
      </c>
      <c r="F225" t="s">
        <v>1896</v>
      </c>
      <c r="G225" t="s">
        <v>5887</v>
      </c>
      <c r="H225" s="6" t="s">
        <v>5872</v>
      </c>
      <c r="I225" t="s">
        <v>5828</v>
      </c>
      <c r="J225" t="s">
        <v>5168</v>
      </c>
      <c r="K225" t="s">
        <v>4927</v>
      </c>
      <c r="L225" t="s">
        <v>5233</v>
      </c>
      <c r="M225" t="s">
        <v>5447</v>
      </c>
      <c r="N225" t="s">
        <v>5448</v>
      </c>
      <c r="O225" t="s">
        <v>5327</v>
      </c>
      <c r="P225" t="s">
        <v>4782</v>
      </c>
      <c r="Q225" t="s">
        <v>4782</v>
      </c>
      <c r="R225" t="s">
        <v>4782</v>
      </c>
      <c r="S225">
        <f t="array" ref="S225">SUM(IFERROR(IF(MATCH(I225:R225,$F$4:$Q$4,0)&gt;0,1,0),0))</f>
        <v>0</v>
      </c>
      <c r="T225">
        <f t="shared" ca="1" si="85"/>
        <v>37</v>
      </c>
      <c r="U225">
        <f ca="1">T225+COUNTIF(T$5:$T224,T225)</f>
        <v>232</v>
      </c>
      <c r="Y225" s="12" t="s">
        <v>54</v>
      </c>
      <c r="AA225">
        <f ca="1">IF(VALUE(RIGHT(AA17,3)),VALUE(RIGHT(AA17,3))*SUM(OFFSET('2.3家乡建筑'!$L64,,,VALUE(LEFT(AA17,2)))),)</f>
        <v>0</v>
      </c>
      <c r="AB225">
        <f ca="1">IF(VALUE(RIGHT(AB17,3)),VALUE(RIGHT(AB17,3))*SUM(OFFSET('2.3家乡建筑'!$L64,,,VALUE(LEFT(AB17,2)))),)</f>
        <v>0</v>
      </c>
      <c r="AC225">
        <f ca="1">IF(VALUE(RIGHT(AC17,3)),VALUE(RIGHT(AC17,3))*SUM(OFFSET('2.3家乡建筑'!$L64,,,VALUE(LEFT(AC17,2)))),)</f>
        <v>0</v>
      </c>
      <c r="AD225">
        <f ca="1">IF(VALUE(RIGHT(AD17,3)),VALUE(RIGHT(AD17,3))*SUM(OFFSET('2.3家乡建筑'!$L64,,,VALUE(LEFT(AD17,2)))),)</f>
        <v>0</v>
      </c>
      <c r="AE225">
        <f ca="1">IF(VALUE(RIGHT(AE17,3)),VALUE(RIGHT(AE17,3))*SUM(OFFSET('2.3家乡建筑'!$L64,,,VALUE(LEFT(AE17,2)))),)</f>
        <v>0</v>
      </c>
      <c r="AF225">
        <f ca="1">IF(VALUE(RIGHT(AF17,3)),VALUE(RIGHT(AF17,3))*SUM(OFFSET('2.3家乡建筑'!$L64,,,VALUE(LEFT(AF17,2)))),)</f>
        <v>0</v>
      </c>
      <c r="AG225">
        <f ca="1">IF(VALUE(RIGHT(AG17,3)),VALUE(RIGHT(AG17,3))*SUM(OFFSET('2.3家乡建筑'!$L64,,,VALUE(LEFT(AG17,2)))),)</f>
        <v>0</v>
      </c>
      <c r="AH225">
        <f ca="1">IF(VALUE(RIGHT(AH17,3)),VALUE(RIGHT(AH17,3))*SUM(OFFSET('2.3家乡建筑'!$L64,,,VALUE(LEFT(AH17,2)))),)</f>
        <v>0</v>
      </c>
      <c r="AI225">
        <f ca="1">IF(VALUE(RIGHT(AI17,3)),VALUE(RIGHT(AI17,3))*SUM(OFFSET('2.3家乡建筑'!$L64,,,VALUE(LEFT(AI17,2)))),)</f>
        <v>10000000</v>
      </c>
      <c r="AJ225">
        <f ca="1">IF(VALUE(RIGHT(AJ17,3)),VALUE(RIGHT(AJ17,3))*SUM(OFFSET('2.3家乡建筑'!$L64,,,VALUE(LEFT(AJ17,2)))),)</f>
        <v>25200000</v>
      </c>
      <c r="AK225">
        <f ca="1">IF(VALUE(RIGHT(AK17,3)),VALUE(RIGHT(AK17,3))*SUM(OFFSET('2.3家乡建筑'!$L64,,,VALUE(LEFT(AK17,2)))),)</f>
        <v>53200000</v>
      </c>
      <c r="AL225">
        <f ca="1">IF(VALUE(RIGHT(AL17,3)),VALUE(RIGHT(AL17,3))*SUM(OFFSET('2.3家乡建筑'!$L64,,,VALUE(LEFT(AL17,2)))),)</f>
        <v>82800000</v>
      </c>
      <c r="AM225">
        <f ca="1">IF(VALUE(RIGHT(AM17,3)),VALUE(RIGHT(AM17,3))*SUM(OFFSET('2.3家乡建筑'!$L64,,,VALUE(LEFT(AM17,2)))),)</f>
        <v>176000000</v>
      </c>
      <c r="AN225">
        <f ca="1">IF(VALUE(RIGHT(AN17,3)),VALUE(RIGHT(AN17,3))*SUM(OFFSET('2.3家乡建筑'!$L64,,,VALUE(LEFT(AN17,2)))),)</f>
        <v>245600000</v>
      </c>
      <c r="AO225">
        <f ca="1">IF(VALUE(RIGHT(AO17,3)),VALUE(RIGHT(AO17,3))*SUM(OFFSET('2.3家乡建筑'!$L64,,,VALUE(LEFT(AO17,2)))),)</f>
        <v>325600000</v>
      </c>
      <c r="AX225" s="28">
        <v>30000</v>
      </c>
      <c r="AY225" s="28" t="s">
        <v>5164</v>
      </c>
      <c r="AZ225" s="28" t="s">
        <v>4689</v>
      </c>
      <c r="BA225" s="28" t="s">
        <v>5643</v>
      </c>
      <c r="BB225" s="28">
        <v>100</v>
      </c>
      <c r="CD225" s="38">
        <v>221</v>
      </c>
      <c r="CE225" s="38">
        <f t="shared" si="87"/>
        <v>3.680836790322251</v>
      </c>
      <c r="CF225" s="38">
        <f t="shared" si="91"/>
        <v>221.18145000000001</v>
      </c>
      <c r="CG225" s="38">
        <f t="shared" si="86"/>
        <v>222</v>
      </c>
      <c r="CP225" s="40">
        <v>573</v>
      </c>
      <c r="CQ225" s="41" t="s">
        <v>3837</v>
      </c>
      <c r="CR225" s="41" t="s">
        <v>3843</v>
      </c>
      <c r="CS225" s="41">
        <v>150</v>
      </c>
      <c r="CT225" s="41">
        <v>3</v>
      </c>
      <c r="CU225" s="41">
        <v>50</v>
      </c>
      <c r="CV225" s="41">
        <v>5</v>
      </c>
      <c r="CW225" s="40"/>
      <c r="CX225" s="41" t="s">
        <v>4716</v>
      </c>
      <c r="CY225" s="40" t="s">
        <v>3096</v>
      </c>
      <c r="DC225" s="7">
        <f t="shared" ca="1" si="90"/>
        <v>0</v>
      </c>
    </row>
    <row r="226" spans="4:112" ht="14.6">
      <c r="D226" s="6" t="str">
        <f t="shared" si="84"/>
        <v>都城建筑-&gt;火箭炮</v>
      </c>
      <c r="E226" s="6" t="str">
        <f t="shared" si="89"/>
        <v>#'4.2都城建筑'!P50:W58</v>
      </c>
      <c r="F226" t="s">
        <v>1898</v>
      </c>
      <c r="G226" t="s">
        <v>5888</v>
      </c>
      <c r="H226" s="6" t="s">
        <v>5872</v>
      </c>
      <c r="I226" t="s">
        <v>5828</v>
      </c>
      <c r="J226" t="s">
        <v>5168</v>
      </c>
      <c r="K226" t="s">
        <v>5149</v>
      </c>
      <c r="L226" t="s">
        <v>4870</v>
      </c>
      <c r="M226" t="s">
        <v>5327</v>
      </c>
      <c r="N226" t="s">
        <v>4927</v>
      </c>
      <c r="O226" t="s">
        <v>4859</v>
      </c>
      <c r="P226" t="s">
        <v>4782</v>
      </c>
      <c r="Q226" t="s">
        <v>4782</v>
      </c>
      <c r="R226" t="s">
        <v>4782</v>
      </c>
      <c r="S226">
        <f t="array" ref="S226">SUM(IFERROR(IF(MATCH(I226:R226,$F$4:$Q$4,0)&gt;0,1,0),0))</f>
        <v>0</v>
      </c>
      <c r="T226">
        <f t="shared" ca="1" si="85"/>
        <v>37</v>
      </c>
      <c r="U226">
        <f ca="1">T226+COUNTIF(T$5:$T225,T226)</f>
        <v>233</v>
      </c>
      <c r="Y226" s="12" t="s">
        <v>59</v>
      </c>
      <c r="AA226">
        <f ca="1">IF(VALUE(RIGHT(AA18,3)),VALUE(RIGHT(AA18,3))*SUM(OFFSET('2.3家乡建筑'!$X64,,,VALUE(LEFT(AA18,2)))),)</f>
        <v>0</v>
      </c>
      <c r="AB226">
        <f ca="1">IF(VALUE(RIGHT(AB18,3)),VALUE(RIGHT(AB18,3))*SUM(OFFSET('2.3家乡建筑'!$X64,,,VALUE(LEFT(AB18,2)))),)</f>
        <v>0</v>
      </c>
      <c r="AC226">
        <f ca="1">IF(VALUE(RIGHT(AC18,3)),VALUE(RIGHT(AC18,3))*SUM(OFFSET('2.3家乡建筑'!$X64,,,VALUE(LEFT(AC18,2)))),)</f>
        <v>0</v>
      </c>
      <c r="AD226">
        <f ca="1">IF(VALUE(RIGHT(AD18,3)),VALUE(RIGHT(AD18,3))*SUM(OFFSET('2.3家乡建筑'!$X64,,,VALUE(LEFT(AD18,2)))),)</f>
        <v>0</v>
      </c>
      <c r="AE226">
        <f ca="1">IF(VALUE(RIGHT(AE18,3)),VALUE(RIGHT(AE18,3))*SUM(OFFSET('2.3家乡建筑'!$X64,,,VALUE(LEFT(AE18,2)))),)</f>
        <v>0</v>
      </c>
      <c r="AF226">
        <f ca="1">IF(VALUE(RIGHT(AF18,3)),VALUE(RIGHT(AF18,3))*SUM(OFFSET('2.3家乡建筑'!$X64,,,VALUE(LEFT(AF18,2)))),)</f>
        <v>0</v>
      </c>
      <c r="AG226">
        <f ca="1">IF(VALUE(RIGHT(AG18,3)),VALUE(RIGHT(AG18,3))*SUM(OFFSET('2.3家乡建筑'!$X64,,,VALUE(LEFT(AG18,2)))),)</f>
        <v>0</v>
      </c>
      <c r="AH226">
        <f ca="1">IF(VALUE(RIGHT(AH18,3)),VALUE(RIGHT(AH18,3))*SUM(OFFSET('2.3家乡建筑'!$X64,,,VALUE(LEFT(AH18,2)))),)</f>
        <v>0</v>
      </c>
      <c r="AI226">
        <f ca="1">IF(VALUE(RIGHT(AI18,3)),VALUE(RIGHT(AI18,3))*SUM(OFFSET('2.3家乡建筑'!$X64,,,VALUE(LEFT(AI18,2)))),)</f>
        <v>0</v>
      </c>
      <c r="AJ226">
        <f ca="1">IF(VALUE(RIGHT(AJ18,3)),VALUE(RIGHT(AJ18,3))*SUM(OFFSET('2.3家乡建筑'!$X64,,,VALUE(LEFT(AJ18,2)))),)</f>
        <v>16000000</v>
      </c>
      <c r="AK226">
        <f ca="1">IF(VALUE(RIGHT(AK18,3)),VALUE(RIGHT(AK18,3))*SUM(OFFSET('2.3家乡建筑'!$X64,,,VALUE(LEFT(AK18,2)))),)</f>
        <v>34800000</v>
      </c>
      <c r="AL226">
        <f ca="1">IF(VALUE(RIGHT(AL18,3)),VALUE(RIGHT(AL18,3))*SUM(OFFSET('2.3家乡建筑'!$X64,,,VALUE(LEFT(AL18,2)))),)</f>
        <v>74100000</v>
      </c>
      <c r="AM226">
        <f ca="1">IF(VALUE(RIGHT(AM18,3)),VALUE(RIGHT(AM18,3))*SUM(OFFSET('2.3家乡建筑'!$X64,,,VALUE(LEFT(AM18,2)))),)</f>
        <v>110100000</v>
      </c>
      <c r="AN226">
        <f ca="1">IF(VALUE(RIGHT(AN18,3)),VALUE(RIGHT(AN18,3))*SUM(OFFSET('2.3家乡建筑'!$X64,,,VALUE(LEFT(AN18,2)))),)</f>
        <v>164100000</v>
      </c>
      <c r="AO226">
        <f ca="1">IF(VALUE(RIGHT(AO18,3)),VALUE(RIGHT(AO18,3))*SUM(OFFSET('2.3家乡建筑'!$X64,,,VALUE(LEFT(AO18,2)))),)</f>
        <v>227100000</v>
      </c>
      <c r="AX226" s="28">
        <v>50000</v>
      </c>
      <c r="AY226" s="28" t="s">
        <v>4745</v>
      </c>
      <c r="AZ226" s="28" t="s">
        <v>4866</v>
      </c>
      <c r="BA226" s="28" t="s">
        <v>3432</v>
      </c>
      <c r="BB226" s="28">
        <v>120</v>
      </c>
      <c r="CD226" s="38">
        <v>222</v>
      </c>
      <c r="CE226" s="38">
        <f t="shared" si="87"/>
        <v>3.6830941266653663</v>
      </c>
      <c r="CF226" s="38">
        <f t="shared" si="91"/>
        <v>222.18079</v>
      </c>
      <c r="CG226" s="38">
        <f t="shared" si="86"/>
        <v>223</v>
      </c>
      <c r="CP226" s="40">
        <v>574</v>
      </c>
      <c r="CQ226" s="41" t="s">
        <v>3846</v>
      </c>
      <c r="CR226" s="41" t="s">
        <v>3847</v>
      </c>
      <c r="CS226" s="41">
        <v>150</v>
      </c>
      <c r="CT226" s="41">
        <v>3</v>
      </c>
      <c r="CU226" s="41">
        <v>50</v>
      </c>
      <c r="CV226" s="41">
        <v>5</v>
      </c>
      <c r="CW226" s="40"/>
      <c r="CX226" s="41" t="s">
        <v>4716</v>
      </c>
      <c r="CY226" s="40" t="s">
        <v>3096</v>
      </c>
      <c r="DB226" t="s">
        <v>213</v>
      </c>
      <c r="DC226" s="7" t="str">
        <f t="shared" ca="1" si="90"/>
        <v>05_005</v>
      </c>
      <c r="DD226" t="s">
        <v>5248</v>
      </c>
      <c r="DE226" t="s">
        <v>4896</v>
      </c>
      <c r="DF226" t="s">
        <v>5058</v>
      </c>
      <c r="DG226" t="s">
        <v>4898</v>
      </c>
      <c r="DH226" t="s">
        <v>5051</v>
      </c>
    </row>
    <row r="227" spans="4:112" ht="14.6">
      <c r="D227" s="6" t="str">
        <f t="shared" si="84"/>
        <v>都城建筑-&gt;地狱之塔</v>
      </c>
      <c r="E227" s="6" t="str">
        <f t="shared" si="89"/>
        <v>#'4.2都城建筑'!Z50:AG56</v>
      </c>
      <c r="F227" t="s">
        <v>1901</v>
      </c>
      <c r="G227" t="s">
        <v>5889</v>
      </c>
      <c r="H227" s="6" t="s">
        <v>5872</v>
      </c>
      <c r="I227" t="s">
        <v>5828</v>
      </c>
      <c r="J227" t="s">
        <v>5168</v>
      </c>
      <c r="K227" t="s">
        <v>5102</v>
      </c>
      <c r="L227" t="s">
        <v>5203</v>
      </c>
      <c r="M227" t="s">
        <v>4849</v>
      </c>
      <c r="N227" t="s">
        <v>5313</v>
      </c>
      <c r="O227" t="s">
        <v>4782</v>
      </c>
      <c r="P227" t="s">
        <v>4782</v>
      </c>
      <c r="Q227" t="s">
        <v>4782</v>
      </c>
      <c r="R227" t="s">
        <v>4782</v>
      </c>
      <c r="S227">
        <f t="array" ref="S227">SUM(IFERROR(IF(MATCH(I227:R227,$F$4:$Q$4,0)&gt;0,1,0),0))</f>
        <v>2</v>
      </c>
      <c r="T227">
        <f t="shared" ca="1" si="85"/>
        <v>4</v>
      </c>
      <c r="U227">
        <f ca="1">T227+COUNTIF(T$5:$T226,T227)</f>
        <v>14</v>
      </c>
      <c r="Y227" s="12" t="s">
        <v>63</v>
      </c>
      <c r="AA227">
        <f ca="1">IF(VALUE(RIGHT(AA19,3)),VALUE(RIGHT(AA19,3))*SUM(OFFSET('2.3家乡建筑'!$AG64,,,VALUE(LEFT(AA19,2)))),)</f>
        <v>0</v>
      </c>
      <c r="AB227">
        <f ca="1">IF(VALUE(RIGHT(AB19,3)),VALUE(RIGHT(AB19,3))*SUM(OFFSET('2.3家乡建筑'!$AG64,,,VALUE(LEFT(AB19,2)))),)</f>
        <v>0</v>
      </c>
      <c r="AC227">
        <f ca="1">IF(VALUE(RIGHT(AC19,3)),VALUE(RIGHT(AC19,3))*SUM(OFFSET('2.3家乡建筑'!$AG64,,,VALUE(LEFT(AC19,2)))),)</f>
        <v>0</v>
      </c>
      <c r="AD227">
        <f ca="1">IF(VALUE(RIGHT(AD19,3)),VALUE(RIGHT(AD19,3))*SUM(OFFSET('2.3家乡建筑'!$AG64,,,VALUE(LEFT(AD19,2)))),)</f>
        <v>0</v>
      </c>
      <c r="AE227">
        <f ca="1">IF(VALUE(RIGHT(AE19,3)),VALUE(RIGHT(AE19,3))*SUM(OFFSET('2.3家乡建筑'!$AG64,,,VALUE(LEFT(AE19,2)))),)</f>
        <v>0</v>
      </c>
      <c r="AF227">
        <f ca="1">IF(VALUE(RIGHT(AF19,3)),VALUE(RIGHT(AF19,3))*SUM(OFFSET('2.3家乡建筑'!$AG64,,,VALUE(LEFT(AF19,2)))),)</f>
        <v>0</v>
      </c>
      <c r="AG227">
        <f ca="1">IF(VALUE(RIGHT(AG19,3)),VALUE(RIGHT(AG19,3))*SUM(OFFSET('2.3家乡建筑'!$AG64,,,VALUE(LEFT(AG19,2)))),)</f>
        <v>0</v>
      </c>
      <c r="AH227">
        <f ca="1">IF(VALUE(RIGHT(AH19,3)),VALUE(RIGHT(AH19,3))*SUM(OFFSET('2.3家乡建筑'!$AG64,,,VALUE(LEFT(AH19,2)))),)</f>
        <v>0</v>
      </c>
      <c r="AI227">
        <f ca="1">IF(VALUE(RIGHT(AI19,3)),VALUE(RIGHT(AI19,3))*SUM(OFFSET('2.3家乡建筑'!$AG64,,,VALUE(LEFT(AI19,2)))),)</f>
        <v>0</v>
      </c>
      <c r="AJ227">
        <f ca="1">IF(VALUE(RIGHT(AJ19,3)),VALUE(RIGHT(AJ19,3))*SUM(OFFSET('2.3家乡建筑'!$AG64,,,VALUE(LEFT(AJ19,2)))),)</f>
        <v>0</v>
      </c>
      <c r="AK227">
        <f ca="1">IF(VALUE(RIGHT(AK19,3)),VALUE(RIGHT(AK19,3))*SUM(OFFSET('2.3家乡建筑'!$AG64,,,VALUE(LEFT(AK19,2)))),)</f>
        <v>14000000</v>
      </c>
      <c r="AL227">
        <f ca="1">IF(VALUE(RIGHT(AL19,3)),VALUE(RIGHT(AL19,3))*SUM(OFFSET('2.3家乡建筑'!$AG64,,,VALUE(LEFT(AL19,2)))),)</f>
        <v>25000000</v>
      </c>
      <c r="AM227">
        <f ca="1">IF(VALUE(RIGHT(AM19,3)),VALUE(RIGHT(AM19,3))*SUM(OFFSET('2.3家乡建筑'!$AG64,,,VALUE(LEFT(AM19,2)))),)</f>
        <v>40000000</v>
      </c>
      <c r="AN227">
        <f ca="1">IF(VALUE(RIGHT(AN19,3)),VALUE(RIGHT(AN19,3))*SUM(OFFSET('2.3家乡建筑'!$AG64,,,VALUE(LEFT(AN19,2)))),)</f>
        <v>59000000</v>
      </c>
      <c r="AO227">
        <f ca="1">IF(VALUE(RIGHT(AO19,3)),VALUE(RIGHT(AO19,3))*SUM(OFFSET('2.3家乡建筑'!$AG64,,,VALUE(LEFT(AO19,2)))),)</f>
        <v>59000000</v>
      </c>
      <c r="AX227" s="28">
        <v>3000</v>
      </c>
      <c r="AY227" s="28" t="s">
        <v>5538</v>
      </c>
      <c r="AZ227" s="28" t="s">
        <v>4878</v>
      </c>
      <c r="BA227" s="28" t="s">
        <v>5467</v>
      </c>
      <c r="BB227" s="28">
        <v>20</v>
      </c>
      <c r="CD227" s="38">
        <v>223</v>
      </c>
      <c r="CE227" s="38">
        <f t="shared" si="87"/>
        <v>3.6853413176766021</v>
      </c>
      <c r="CF227" s="38">
        <f t="shared" si="91"/>
        <v>223.18013999999999</v>
      </c>
      <c r="CG227" s="38">
        <f t="shared" si="86"/>
        <v>224</v>
      </c>
      <c r="CP227" s="40">
        <v>575</v>
      </c>
      <c r="CQ227" s="41" t="s">
        <v>3850</v>
      </c>
      <c r="CR227" s="41" t="s">
        <v>3851</v>
      </c>
      <c r="CS227" s="41">
        <v>150</v>
      </c>
      <c r="CT227" s="41">
        <v>3</v>
      </c>
      <c r="CU227" s="41">
        <v>30</v>
      </c>
      <c r="CV227" s="41">
        <v>5</v>
      </c>
      <c r="CW227" s="40"/>
      <c r="CX227" s="41" t="s">
        <v>4716</v>
      </c>
      <c r="CY227" s="40" t="s">
        <v>3096</v>
      </c>
      <c r="DB227" t="s">
        <v>215</v>
      </c>
      <c r="DC227" s="7" t="str">
        <f t="shared" ca="1" si="90"/>
        <v>05_006</v>
      </c>
      <c r="DD227" t="s">
        <v>4895</v>
      </c>
      <c r="DE227" t="s">
        <v>5094</v>
      </c>
      <c r="DF227" t="s">
        <v>4990</v>
      </c>
      <c r="DG227" t="s">
        <v>4899</v>
      </c>
      <c r="DH227" t="s">
        <v>4900</v>
      </c>
    </row>
    <row r="228" spans="4:112" ht="14.6">
      <c r="D228" s="6" t="str">
        <f t="shared" si="84"/>
        <v>都城建筑-&gt;爆炸强弩</v>
      </c>
      <c r="E228" s="6" t="str">
        <f t="shared" si="89"/>
        <v>#'4.2都城建筑'!F62:M69</v>
      </c>
      <c r="F228" t="s">
        <v>1904</v>
      </c>
      <c r="G228" t="s">
        <v>5890</v>
      </c>
      <c r="H228" s="6" t="s">
        <v>5872</v>
      </c>
      <c r="I228" t="s">
        <v>5828</v>
      </c>
      <c r="J228" t="s">
        <v>5168</v>
      </c>
      <c r="K228" t="s">
        <v>5464</v>
      </c>
      <c r="L228" t="s">
        <v>5015</v>
      </c>
      <c r="M228" t="s">
        <v>5891</v>
      </c>
      <c r="N228" t="s">
        <v>5338</v>
      </c>
      <c r="O228" t="s">
        <v>4859</v>
      </c>
      <c r="P228" t="s">
        <v>4927</v>
      </c>
      <c r="Q228" t="s">
        <v>4782</v>
      </c>
      <c r="R228" t="s">
        <v>4782</v>
      </c>
      <c r="S228">
        <f t="array" ref="S228">SUM(IFERROR(IF(MATCH(I228:R228,$F$4:$Q$4,0)&gt;0,1,0),0))</f>
        <v>0</v>
      </c>
      <c r="T228">
        <f t="shared" ca="1" si="85"/>
        <v>37</v>
      </c>
      <c r="U228">
        <f ca="1">T228+COUNTIF(T$5:$T227,T228)</f>
        <v>234</v>
      </c>
      <c r="Y228" s="12" t="s">
        <v>73</v>
      </c>
      <c r="AA228">
        <f ca="1">IF(VALUE(RIGHT(AA20,3)),VALUE(RIGHT(AA20,3))*SUM(OFFSET('2.3家乡建筑'!$AH79,,,VALUE(LEFT(AA20,2)))),)</f>
        <v>0</v>
      </c>
      <c r="AB228">
        <f ca="1">IF(VALUE(RIGHT(AB20,3)),VALUE(RIGHT(AB20,3))*SUM(OFFSET('2.3家乡建筑'!$AH79,,,VALUE(LEFT(AB20,2)))),)</f>
        <v>0</v>
      </c>
      <c r="AC228">
        <f ca="1">IF(VALUE(RIGHT(AC20,3)),VALUE(RIGHT(AC20,3))*SUM(OFFSET('2.3家乡建筑'!$AH79,,,VALUE(LEFT(AC20,2)))),)</f>
        <v>0</v>
      </c>
      <c r="AD228">
        <f ca="1">IF(VALUE(RIGHT(AD20,3)),VALUE(RIGHT(AD20,3))*SUM(OFFSET('2.3家乡建筑'!$AH79,,,VALUE(LEFT(AD20,2)))),)</f>
        <v>0</v>
      </c>
      <c r="AE228">
        <f ca="1">IF(VALUE(RIGHT(AE20,3)),VALUE(RIGHT(AE20,3))*SUM(OFFSET('2.3家乡建筑'!$AH79,,,VALUE(LEFT(AE20,2)))),)</f>
        <v>0</v>
      </c>
      <c r="AF228">
        <f ca="1">IF(VALUE(RIGHT(AF20,3)),VALUE(RIGHT(AF20,3))*SUM(OFFSET('2.3家乡建筑'!$AH79,,,VALUE(LEFT(AF20,2)))),)</f>
        <v>0</v>
      </c>
      <c r="AG228">
        <f ca="1">IF(VALUE(RIGHT(AG20,3)),VALUE(RIGHT(AG20,3))*SUM(OFFSET('2.3家乡建筑'!$AH79,,,VALUE(LEFT(AG20,2)))),)</f>
        <v>0</v>
      </c>
      <c r="AH228">
        <f ca="1">IF(VALUE(RIGHT(AH20,3)),VALUE(RIGHT(AH20,3))*SUM(OFFSET('2.3家乡建筑'!$AH79,,,VALUE(LEFT(AH20,2)))),)</f>
        <v>0</v>
      </c>
      <c r="AI228">
        <f ca="1">IF(VALUE(RIGHT(AI20,3)),VALUE(RIGHT(AI20,3))*SUM(OFFSET('2.3家乡建筑'!$AH79,,,VALUE(LEFT(AI20,2)))),)</f>
        <v>0</v>
      </c>
      <c r="AJ228">
        <f ca="1">IF(VALUE(RIGHT(AJ20,3)),VALUE(RIGHT(AJ20,3))*SUM(OFFSET('2.3家乡建筑'!$AH79,,,VALUE(LEFT(AJ20,2)))),)</f>
        <v>0</v>
      </c>
      <c r="AK228">
        <f ca="1">IF(VALUE(RIGHT(AK20,3)),VALUE(RIGHT(AK20,3))*SUM(OFFSET('2.3家乡建筑'!$AH79,,,VALUE(LEFT(AK20,2)))),)</f>
        <v>0</v>
      </c>
      <c r="AL228">
        <f ca="1">IF(VALUE(RIGHT(AL20,3)),VALUE(RIGHT(AL20,3))*SUM(OFFSET('2.3家乡建筑'!$AH79,,,VALUE(LEFT(AL20,2)))),)</f>
        <v>0</v>
      </c>
      <c r="AM228">
        <f ca="1">IF(VALUE(RIGHT(AM20,3)),VALUE(RIGHT(AM20,3))*SUM(OFFSET('2.3家乡建筑'!$AH79,,,VALUE(LEFT(AM20,2)))),)</f>
        <v>48000000</v>
      </c>
      <c r="AN228">
        <f ca="1">IF(VALUE(RIGHT(AN20,3)),VALUE(RIGHT(AN20,3))*SUM(OFFSET('2.3家乡建筑'!$AH79,,,VALUE(LEFT(AN20,2)))),)</f>
        <v>84000000</v>
      </c>
      <c r="AO228">
        <f ca="1">IF(VALUE(RIGHT(AO20,3)),VALUE(RIGHT(AO20,3))*SUM(OFFSET('2.3家乡建筑'!$AH79,,,VALUE(LEFT(AO20,2)))),)</f>
        <v>84000000</v>
      </c>
      <c r="AX228" s="28">
        <v>7500</v>
      </c>
      <c r="AY228" s="28" t="s">
        <v>4673</v>
      </c>
      <c r="AZ228" s="28" t="s">
        <v>4877</v>
      </c>
      <c r="BA228" s="28" t="s">
        <v>4713</v>
      </c>
      <c r="BB228" s="28">
        <v>40</v>
      </c>
      <c r="CD228" s="38">
        <v>224</v>
      </c>
      <c r="CE228" s="38">
        <f t="shared" si="87"/>
        <v>3.6875784541419265</v>
      </c>
      <c r="CF228" s="38">
        <f t="shared" si="91"/>
        <v>224.17948999999999</v>
      </c>
      <c r="CG228" s="38">
        <f t="shared" si="86"/>
        <v>225</v>
      </c>
      <c r="CP228" s="40">
        <v>576</v>
      </c>
      <c r="CQ228" s="41" t="s">
        <v>3855</v>
      </c>
      <c r="CR228" s="41" t="s">
        <v>3856</v>
      </c>
      <c r="CS228" s="41">
        <v>150</v>
      </c>
      <c r="CT228" s="41">
        <v>3</v>
      </c>
      <c r="CU228" s="41">
        <v>30</v>
      </c>
      <c r="CV228" s="41">
        <v>5</v>
      </c>
      <c r="CW228" s="40"/>
      <c r="CX228" s="41" t="s">
        <v>4716</v>
      </c>
      <c r="CY228" s="40" t="s">
        <v>3096</v>
      </c>
      <c r="DB228" t="s">
        <v>216</v>
      </c>
      <c r="DC228" s="7" t="str">
        <f t="shared" ca="1" si="90"/>
        <v>05_006</v>
      </c>
      <c r="DD228" t="s">
        <v>5248</v>
      </c>
      <c r="DE228" t="s">
        <v>4896</v>
      </c>
      <c r="DF228" t="s">
        <v>5058</v>
      </c>
      <c r="DG228" t="s">
        <v>4899</v>
      </c>
      <c r="DH228" t="s">
        <v>4900</v>
      </c>
    </row>
    <row r="229" spans="4:112" ht="14.6">
      <c r="D229" s="6" t="str">
        <f t="shared" si="84"/>
        <v>都城建筑-&gt;超级巨人岗哨</v>
      </c>
      <c r="E229" s="6" t="str">
        <f t="shared" si="89"/>
        <v>#'4.2都城建筑'!P62:V68</v>
      </c>
      <c r="F229" t="s">
        <v>1907</v>
      </c>
      <c r="G229" t="s">
        <v>5892</v>
      </c>
      <c r="H229" s="6" t="s">
        <v>5872</v>
      </c>
      <c r="I229" t="s">
        <v>5828</v>
      </c>
      <c r="J229" t="s">
        <v>5168</v>
      </c>
      <c r="K229" t="s">
        <v>5085</v>
      </c>
      <c r="L229" t="s">
        <v>5155</v>
      </c>
      <c r="M229" t="s">
        <v>4927</v>
      </c>
      <c r="N229" t="s">
        <v>4831</v>
      </c>
      <c r="O229" t="s">
        <v>5623</v>
      </c>
      <c r="P229" t="s">
        <v>5624</v>
      </c>
      <c r="Q229" t="s">
        <v>4782</v>
      </c>
      <c r="R229" t="s">
        <v>4782</v>
      </c>
      <c r="S229">
        <f t="array" ref="S229">SUM(IFERROR(IF(MATCH(I229:R229,$F$4:$Q$4,0)&gt;0,1,0),0))</f>
        <v>0</v>
      </c>
      <c r="T229">
        <f t="shared" ca="1" si="85"/>
        <v>37</v>
      </c>
      <c r="U229">
        <f ca="1">T229+COUNTIF(T$5:$T228,T229)</f>
        <v>235</v>
      </c>
      <c r="Y229" t="s">
        <v>4959</v>
      </c>
      <c r="AA229">
        <f ca="1">IF(VALUE(RIGHT(AA21,3)),VALUE(RIGHT(AA21,3))*SUM(OFFSET('2.3家乡建筑'!$AI89,,,VALUE(LEFT(AA21,2)))),)</f>
        <v>0</v>
      </c>
      <c r="AB229">
        <f ca="1">IF(VALUE(RIGHT(AB21,3)),VALUE(RIGHT(AB21,3))*SUM(OFFSET('2.3家乡建筑'!$AI89,,,VALUE(LEFT(AB21,2)))),)</f>
        <v>0</v>
      </c>
      <c r="AC229">
        <f ca="1">IF(VALUE(RIGHT(AC21,3)),VALUE(RIGHT(AC21,3))*SUM(OFFSET('2.3家乡建筑'!$AI89,,,VALUE(LEFT(AC21,2)))),)</f>
        <v>0</v>
      </c>
      <c r="AD229">
        <f ca="1">IF(VALUE(RIGHT(AD21,3)),VALUE(RIGHT(AD21,3))*SUM(OFFSET('2.3家乡建筑'!$AI89,,,VALUE(LEFT(AD21,2)))),)</f>
        <v>0</v>
      </c>
      <c r="AE229">
        <f ca="1">IF(VALUE(RIGHT(AE21,3)),VALUE(RIGHT(AE21,3))*SUM(OFFSET('2.3家乡建筑'!$AI89,,,VALUE(LEFT(AE21,2)))),)</f>
        <v>0</v>
      </c>
      <c r="AF229">
        <f ca="1">IF(VALUE(RIGHT(AF21,3)),VALUE(RIGHT(AF21,3))*SUM(OFFSET('2.3家乡建筑'!$AI89,,,VALUE(LEFT(AF21,2)))),)</f>
        <v>0</v>
      </c>
      <c r="AG229">
        <f ca="1">IF(VALUE(RIGHT(AG21,3)),VALUE(RIGHT(AG21,3))*SUM(OFFSET('2.3家乡建筑'!$AI89,,,VALUE(LEFT(AG21,2)))),)</f>
        <v>0</v>
      </c>
      <c r="AH229">
        <f ca="1">IF(VALUE(RIGHT(AH21,3)),VALUE(RIGHT(AH21,3))*SUM(OFFSET('2.3家乡建筑'!$AI89,,,VALUE(LEFT(AH21,2)))),)</f>
        <v>0</v>
      </c>
      <c r="AI229">
        <f ca="1">IF(VALUE(RIGHT(AI21,3)),VALUE(RIGHT(AI21,3))*SUM(OFFSET('2.3家乡建筑'!$AI89,,,VALUE(LEFT(AI21,2)))),)</f>
        <v>0</v>
      </c>
      <c r="AJ229">
        <f ca="1">IF(VALUE(RIGHT(AJ21,3)),VALUE(RIGHT(AJ21,3))*SUM(OFFSET('2.3家乡建筑'!$AI89,,,VALUE(LEFT(AJ21,2)))),)</f>
        <v>0</v>
      </c>
      <c r="AK229">
        <f ca="1">IF(VALUE(RIGHT(AK21,3)),VALUE(RIGHT(AK21,3))*SUM(OFFSET('2.3家乡建筑'!$AI89,,,VALUE(LEFT(AK21,2)))),)</f>
        <v>0</v>
      </c>
      <c r="AL229">
        <f ca="1">IF(VALUE(RIGHT(AL21,3)),VALUE(RIGHT(AL21,3))*SUM(OFFSET('2.3家乡建筑'!$AI89,,,VALUE(LEFT(AL21,2)))),)</f>
        <v>0</v>
      </c>
      <c r="AM229">
        <f ca="1">IF(VALUE(RIGHT(AM21,3)),VALUE(RIGHT(AM21,3))*SUM(OFFSET('2.3家乡建筑'!$AI89,,,VALUE(LEFT(AM21,2)))),)</f>
        <v>0</v>
      </c>
      <c r="AN229">
        <f ca="1">IF(VALUE(RIGHT(AN21,3)),VALUE(RIGHT(AN21,3))*SUM(OFFSET('2.3家乡建筑'!$AI89,,,VALUE(LEFT(AN21,2)))),)</f>
        <v>177500000</v>
      </c>
      <c r="AO229">
        <f ca="1">IF(VALUE(RIGHT(AO21,3)),VALUE(RIGHT(AO21,3))*SUM(OFFSET('2.3家乡建筑'!$AI89,,,VALUE(LEFT(AO21,2)))),)</f>
        <v>177500000</v>
      </c>
      <c r="AX229" s="28">
        <v>12000</v>
      </c>
      <c r="AY229" s="28" t="s">
        <v>4845</v>
      </c>
      <c r="AZ229" s="28" t="s">
        <v>4739</v>
      </c>
      <c r="BA229" s="28" t="s">
        <v>4795</v>
      </c>
      <c r="BB229" s="28">
        <v>60</v>
      </c>
      <c r="CD229" s="38">
        <v>225</v>
      </c>
      <c r="CE229" s="38">
        <f t="shared" si="87"/>
        <v>3.6898056256341314</v>
      </c>
      <c r="CF229" s="38">
        <f t="shared" si="91"/>
        <v>225.17885000000001</v>
      </c>
      <c r="CG229" s="38">
        <f t="shared" si="86"/>
        <v>226</v>
      </c>
      <c r="CP229" s="40">
        <v>577</v>
      </c>
      <c r="CQ229" s="41" t="s">
        <v>3828</v>
      </c>
      <c r="CR229" s="41" t="s">
        <v>3860</v>
      </c>
      <c r="CS229" s="41">
        <v>150</v>
      </c>
      <c r="CT229" s="41">
        <v>3</v>
      </c>
      <c r="CU229" s="41">
        <v>50</v>
      </c>
      <c r="CV229" s="41">
        <v>5</v>
      </c>
      <c r="CW229" s="40"/>
      <c r="CX229" s="41" t="s">
        <v>4716</v>
      </c>
      <c r="CY229" s="40" t="s">
        <v>3096</v>
      </c>
      <c r="DC229" s="7">
        <f t="shared" ca="1" si="90"/>
        <v>0</v>
      </c>
    </row>
    <row r="230" spans="4:112" ht="14.6">
      <c r="D230" s="6" t="str">
        <f t="shared" si="84"/>
        <v>都城建筑-&gt;突袭炮车岗哨</v>
      </c>
      <c r="E230" s="6" t="str">
        <f t="shared" si="89"/>
        <v>#'4.2都城建筑'!Z62:AF68</v>
      </c>
      <c r="F230" t="s">
        <v>1910</v>
      </c>
      <c r="G230" t="s">
        <v>5893</v>
      </c>
      <c r="H230" s="6" t="s">
        <v>5872</v>
      </c>
      <c r="I230" t="s">
        <v>5828</v>
      </c>
      <c r="J230" t="s">
        <v>5168</v>
      </c>
      <c r="K230" t="s">
        <v>5850</v>
      </c>
      <c r="L230" t="s">
        <v>5851</v>
      </c>
      <c r="M230" t="s">
        <v>5327</v>
      </c>
      <c r="N230" t="s">
        <v>5177</v>
      </c>
      <c r="O230" t="s">
        <v>5623</v>
      </c>
      <c r="P230" t="s">
        <v>5624</v>
      </c>
      <c r="Q230" t="s">
        <v>4782</v>
      </c>
      <c r="R230" t="s">
        <v>4782</v>
      </c>
      <c r="S230">
        <f t="array" ref="S230">SUM(IFERROR(IF(MATCH(I230:R230,$F$4:$Q$4,0)&gt;0,1,0),0))</f>
        <v>0</v>
      </c>
      <c r="T230">
        <f t="shared" ca="1" si="85"/>
        <v>37</v>
      </c>
      <c r="U230">
        <f ca="1">T230+COUNTIF(T$5:$T229,T230)</f>
        <v>236</v>
      </c>
      <c r="Y230" t="s">
        <v>81</v>
      </c>
      <c r="AA230">
        <f ca="1">IF(VALUE(RIGHT(AA22,3)),VALUE(RIGHT(AA22,3))*SUM(OFFSET('2.3家乡建筑'!$J98,,,VALUE(LEFT(AA22,2)))),)</f>
        <v>0</v>
      </c>
      <c r="AB230">
        <f ca="1">IF(VALUE(RIGHT(AB22,3)),VALUE(RIGHT(AB22,3))*SUM(OFFSET('2.3家乡建筑'!$J98,,,VALUE(LEFT(AB22,2)))),)</f>
        <v>0</v>
      </c>
      <c r="AC230">
        <f ca="1">IF(VALUE(RIGHT(AC22,3)),VALUE(RIGHT(AC22,3))*SUM(OFFSET('2.3家乡建筑'!$J98,,,VALUE(LEFT(AC22,2)))),)</f>
        <v>0</v>
      </c>
      <c r="AD230">
        <f ca="1">IF(VALUE(RIGHT(AD22,3)),VALUE(RIGHT(AD22,3))*SUM(OFFSET('2.3家乡建筑'!$J98,,,VALUE(LEFT(AD22,2)))),)</f>
        <v>0</v>
      </c>
      <c r="AE230">
        <f ca="1">IF(VALUE(RIGHT(AE22,3)),VALUE(RIGHT(AE22,3))*SUM(OFFSET('2.3家乡建筑'!$J98,,,VALUE(LEFT(AE22,2)))),)</f>
        <v>0</v>
      </c>
      <c r="AF230">
        <f ca="1">IF(VALUE(RIGHT(AF22,3)),VALUE(RIGHT(AF22,3))*SUM(OFFSET('2.3家乡建筑'!$J98,,,VALUE(LEFT(AF22,2)))),)</f>
        <v>0</v>
      </c>
      <c r="AG230">
        <f ca="1">IF(VALUE(RIGHT(AG22,3)),VALUE(RIGHT(AG22,3))*SUM(OFFSET('2.3家乡建筑'!$J98,,,VALUE(LEFT(AG22,2)))),)</f>
        <v>0</v>
      </c>
      <c r="AH230">
        <f ca="1">IF(VALUE(RIGHT(AH22,3)),VALUE(RIGHT(AH22,3))*SUM(OFFSET('2.3家乡建筑'!$J98,,,VALUE(LEFT(AH22,2)))),)</f>
        <v>0</v>
      </c>
      <c r="AI230">
        <f ca="1">IF(VALUE(RIGHT(AI22,3)),VALUE(RIGHT(AI22,3))*SUM(OFFSET('2.3家乡建筑'!$J98,,,VALUE(LEFT(AI22,2)))),)</f>
        <v>0</v>
      </c>
      <c r="AJ230">
        <f ca="1">IF(VALUE(RIGHT(AJ22,3)),VALUE(RIGHT(AJ22,3))*SUM(OFFSET('2.3家乡建筑'!$J98,,,VALUE(LEFT(AJ22,2)))),)</f>
        <v>0</v>
      </c>
      <c r="AK230">
        <f ca="1">IF(VALUE(RIGHT(AK22,3)),VALUE(RIGHT(AK22,3))*SUM(OFFSET('2.3家乡建筑'!$J98,,,VALUE(LEFT(AK22,2)))),)</f>
        <v>0</v>
      </c>
      <c r="AL230">
        <f ca="1">IF(VALUE(RIGHT(AL22,3)),VALUE(RIGHT(AL22,3))*SUM(OFFSET('2.3家乡建筑'!$J98,,,VALUE(LEFT(AL22,2)))),)</f>
        <v>0</v>
      </c>
      <c r="AM230">
        <f ca="1">IF(VALUE(RIGHT(AM22,3)),VALUE(RIGHT(AM22,3))*SUM(OFFSET('2.3家乡建筑'!$J98,,,VALUE(LEFT(AM22,2)))),)</f>
        <v>0</v>
      </c>
      <c r="AN230">
        <f ca="1">IF(VALUE(RIGHT(AN22,3)),VALUE(RIGHT(AN22,3))*SUM(OFFSET('2.3家乡建筑'!$J98,,,VALUE(LEFT(AN22,2)))),)</f>
        <v>0</v>
      </c>
      <c r="AO230">
        <f ca="1">IF(VALUE(RIGHT(AO22,3)),VALUE(RIGHT(AO22,3))*SUM(OFFSET('2.3家乡建筑'!$J98,,,VALUE(LEFT(AO22,2)))),)</f>
        <v>96000000</v>
      </c>
      <c r="AX230" s="28">
        <v>18000</v>
      </c>
      <c r="AY230" s="28" t="s">
        <v>5643</v>
      </c>
      <c r="AZ230" s="28" t="s">
        <v>5693</v>
      </c>
      <c r="BA230" s="28" t="s">
        <v>4689</v>
      </c>
      <c r="BB230" s="28">
        <v>80</v>
      </c>
      <c r="CD230" s="38">
        <v>226</v>
      </c>
      <c r="CE230" s="38">
        <f t="shared" si="87"/>
        <v>3.6920229205343533</v>
      </c>
      <c r="CF230" s="38">
        <f t="shared" si="91"/>
        <v>226.1782</v>
      </c>
      <c r="CG230" s="38">
        <f t="shared" si="86"/>
        <v>227</v>
      </c>
      <c r="CP230" s="40">
        <v>578</v>
      </c>
      <c r="CQ230" s="41" t="s">
        <v>3863</v>
      </c>
      <c r="CR230" s="41" t="s">
        <v>3864</v>
      </c>
      <c r="CS230" s="41">
        <v>150</v>
      </c>
      <c r="CT230" s="41">
        <v>3</v>
      </c>
      <c r="CU230" s="41">
        <v>50</v>
      </c>
      <c r="CV230" s="41">
        <v>5</v>
      </c>
      <c r="CW230" s="40"/>
      <c r="CX230" s="41" t="s">
        <v>4716</v>
      </c>
      <c r="CY230" s="40" t="s">
        <v>3096</v>
      </c>
      <c r="DC230" s="7">
        <f t="shared" ca="1" si="90"/>
        <v>0</v>
      </c>
    </row>
    <row r="231" spans="4:112" ht="14.6">
      <c r="D231" s="6" t="str">
        <f t="shared" si="84"/>
        <v>都城建筑-&gt;超级飞龙岗哨</v>
      </c>
      <c r="E231" s="6" t="str">
        <f t="shared" si="89"/>
        <v>#'4.2都城建筑'!F73:L79</v>
      </c>
      <c r="F231" t="s">
        <v>1913</v>
      </c>
      <c r="G231" t="s">
        <v>5894</v>
      </c>
      <c r="H231" s="6" t="s">
        <v>5872</v>
      </c>
      <c r="I231" t="s">
        <v>5828</v>
      </c>
      <c r="J231" t="s">
        <v>5168</v>
      </c>
      <c r="K231" t="s">
        <v>5085</v>
      </c>
      <c r="L231" t="s">
        <v>5155</v>
      </c>
      <c r="M231" t="s">
        <v>4968</v>
      </c>
      <c r="N231" t="s">
        <v>5072</v>
      </c>
      <c r="O231" t="s">
        <v>5623</v>
      </c>
      <c r="P231" t="s">
        <v>5624</v>
      </c>
      <c r="Q231" t="s">
        <v>4782</v>
      </c>
      <c r="R231" t="s">
        <v>4782</v>
      </c>
      <c r="S231">
        <f t="array" ref="S231">SUM(IFERROR(IF(MATCH(I231:R231,$F$4:$Q$4,0)&gt;0,1,0),0))</f>
        <v>2</v>
      </c>
      <c r="T231">
        <f t="shared" ca="1" si="85"/>
        <v>4</v>
      </c>
      <c r="U231">
        <f ca="1">T231+COUNTIF(T$5:$T230,T231)</f>
        <v>15</v>
      </c>
      <c r="Y231" t="s">
        <v>84</v>
      </c>
      <c r="AA231">
        <f ca="1">IF(VALUE(RIGHT(AA23,3)),VALUE(RIGHT(AA23,3))*SUM(OFFSET('2.3家乡建筑'!$M107,,,VALUE(LEFT(AA23,2)))),)</f>
        <v>0</v>
      </c>
      <c r="AB231">
        <f ca="1">IF(VALUE(RIGHT(AB23,3)),VALUE(RIGHT(AB23,3))*SUM(OFFSET('2.3家乡建筑'!$M107,,,VALUE(LEFT(AB23,2)))),)</f>
        <v>0</v>
      </c>
      <c r="AC231">
        <f ca="1">IF(VALUE(RIGHT(AC23,3)),VALUE(RIGHT(AC23,3))*SUM(OFFSET('2.3家乡建筑'!$M107,,,VALUE(LEFT(AC23,2)))),)</f>
        <v>0</v>
      </c>
      <c r="AD231">
        <f ca="1">IF(VALUE(RIGHT(AD23,3)),VALUE(RIGHT(AD23,3))*SUM(OFFSET('2.3家乡建筑'!$M107,,,VALUE(LEFT(AD23,2)))),)</f>
        <v>0</v>
      </c>
      <c r="AE231">
        <f ca="1">IF(VALUE(RIGHT(AE23,3)),VALUE(RIGHT(AE23,3))*SUM(OFFSET('2.3家乡建筑'!$M107,,,VALUE(LEFT(AE23,2)))),)</f>
        <v>0</v>
      </c>
      <c r="AF231">
        <f ca="1">IF(VALUE(RIGHT(AF23,3)),VALUE(RIGHT(AF23,3))*SUM(OFFSET('2.3家乡建筑'!$M107,,,VALUE(LEFT(AF23,2)))),)</f>
        <v>0</v>
      </c>
      <c r="AG231">
        <f ca="1">IF(VALUE(RIGHT(AG23,3)),VALUE(RIGHT(AG23,3))*SUM(OFFSET('2.3家乡建筑'!$M107,,,VALUE(LEFT(AG23,2)))),)</f>
        <v>0</v>
      </c>
      <c r="AH231">
        <f ca="1">IF(VALUE(RIGHT(AH23,3)),VALUE(RIGHT(AH23,3))*SUM(OFFSET('2.3家乡建筑'!$M107,,,VALUE(LEFT(AH23,2)))),)</f>
        <v>0</v>
      </c>
      <c r="AI231">
        <f ca="1">IF(VALUE(RIGHT(AI23,3)),VALUE(RIGHT(AI23,3))*SUM(OFFSET('2.3家乡建筑'!$M107,,,VALUE(LEFT(AI23,2)))),)</f>
        <v>0</v>
      </c>
      <c r="AJ231">
        <f ca="1">IF(VALUE(RIGHT(AJ23,3)),VALUE(RIGHT(AJ23,3))*SUM(OFFSET('2.3家乡建筑'!$M107,,,VALUE(LEFT(AJ23,2)))),)</f>
        <v>0</v>
      </c>
      <c r="AK231">
        <f ca="1">IF(VALUE(RIGHT(AK23,3)),VALUE(RIGHT(AK23,3))*SUM(OFFSET('2.3家乡建筑'!$M107,,,VALUE(LEFT(AK23,2)))),)</f>
        <v>0</v>
      </c>
      <c r="AL231">
        <f ca="1">IF(VALUE(RIGHT(AL23,3)),VALUE(RIGHT(AL23,3))*SUM(OFFSET('2.3家乡建筑'!$M107,,,VALUE(LEFT(AL23,2)))),)</f>
        <v>0</v>
      </c>
      <c r="AM231">
        <f ca="1">IF(VALUE(RIGHT(AM23,3)),VALUE(RIGHT(AM23,3))*SUM(OFFSET('2.3家乡建筑'!$M107,,,VALUE(LEFT(AM23,2)))),)</f>
        <v>0</v>
      </c>
      <c r="AN231">
        <f ca="1">IF(VALUE(RIGHT(AN23,3)),VALUE(RIGHT(AN23,3))*SUM(OFFSET('2.3家乡建筑'!$M107,,,VALUE(LEFT(AN23,2)))),)</f>
        <v>0</v>
      </c>
      <c r="AO231">
        <f ca="1">IF(VALUE(RIGHT(AO23,3)),VALUE(RIGHT(AO23,3))*SUM(OFFSET('2.3家乡建筑'!$M107,,,VALUE(LEFT(AO23,2)))),)</f>
        <v>660000</v>
      </c>
      <c r="AX231" s="28">
        <v>30000</v>
      </c>
      <c r="AY231" s="28" t="s">
        <v>5164</v>
      </c>
      <c r="AZ231" s="28" t="s">
        <v>4855</v>
      </c>
      <c r="BA231" s="28" t="s">
        <v>4945</v>
      </c>
      <c r="BB231" s="28">
        <v>100</v>
      </c>
      <c r="CD231" s="38">
        <v>227</v>
      </c>
      <c r="CE231" s="38">
        <f t="shared" si="87"/>
        <v>3.6942304260531169</v>
      </c>
      <c r="CF231" s="38">
        <f t="shared" si="91"/>
        <v>227.17756</v>
      </c>
      <c r="CG231" s="38">
        <f t="shared" si="86"/>
        <v>228</v>
      </c>
      <c r="CP231" s="40">
        <v>579</v>
      </c>
      <c r="CQ231" s="41" t="s">
        <v>3842</v>
      </c>
      <c r="CR231" s="41" t="s">
        <v>3869</v>
      </c>
      <c r="CS231" s="41">
        <v>150</v>
      </c>
      <c r="CT231" s="41">
        <v>3</v>
      </c>
      <c r="CU231" s="41">
        <v>50</v>
      </c>
      <c r="CV231" s="41">
        <v>5</v>
      </c>
      <c r="CW231" s="40"/>
      <c r="CX231" s="41" t="s">
        <v>4716</v>
      </c>
      <c r="CY231" s="40" t="s">
        <v>3096</v>
      </c>
      <c r="DB231" t="s">
        <v>219</v>
      </c>
      <c r="DC231" s="7">
        <f t="shared" ca="1" si="90"/>
        <v>4</v>
      </c>
      <c r="DD231">
        <v>0</v>
      </c>
      <c r="DE231">
        <v>0</v>
      </c>
      <c r="DF231">
        <v>0</v>
      </c>
      <c r="DG231">
        <v>2</v>
      </c>
      <c r="DH231">
        <v>4</v>
      </c>
    </row>
    <row r="232" spans="4:112" ht="14.6">
      <c r="D232" s="6" t="str">
        <f t="shared" si="84"/>
        <v>都城建筑-&gt;都城大本营</v>
      </c>
      <c r="E232" s="6" t="str">
        <f t="shared" si="89"/>
        <v>#'4.2都城建筑'!AM6:BB17</v>
      </c>
      <c r="F232" s="6" t="s">
        <v>1855</v>
      </c>
      <c r="G232" s="6" t="s">
        <v>5895</v>
      </c>
      <c r="H232" s="6" t="s">
        <v>5872</v>
      </c>
      <c r="I232" t="s">
        <v>5828</v>
      </c>
      <c r="J232" t="s">
        <v>5168</v>
      </c>
      <c r="K232" t="s">
        <v>4859</v>
      </c>
      <c r="L232" t="s">
        <v>5357</v>
      </c>
      <c r="M232" t="s">
        <v>5217</v>
      </c>
      <c r="N232" t="s">
        <v>4782</v>
      </c>
      <c r="O232" t="s">
        <v>4782</v>
      </c>
      <c r="P232" t="s">
        <v>4782</v>
      </c>
      <c r="Q232" t="s">
        <v>4782</v>
      </c>
      <c r="R232" t="s">
        <v>4782</v>
      </c>
      <c r="S232">
        <f t="array" ref="S232">SUM(IFERROR(IF(MATCH(I232:R232,$F$4:$Q$4,0)&gt;0,1,0),0))</f>
        <v>0</v>
      </c>
      <c r="T232">
        <f t="shared" ca="1" si="85"/>
        <v>37</v>
      </c>
      <c r="U232">
        <f ca="1">T232+COUNTIF(T$5:$T231,T232)</f>
        <v>237</v>
      </c>
      <c r="Y232" s="12" t="s">
        <v>5000</v>
      </c>
      <c r="AA232">
        <f ca="1">IF(VALUE(RIGHT(AA24,3)),VALUE(RIGHT(AA24,3))*SUM(OFFSET('2.3家乡建筑'!$M79,,,VALUE(LEFT(AA24,2)))),)</f>
        <v>0</v>
      </c>
      <c r="AB232">
        <f ca="1">IF(VALUE(RIGHT(AB24,3)),VALUE(RIGHT(AB24,3))*SUM(OFFSET('2.3家乡建筑'!$M79,,,VALUE(LEFT(AB24,2)))),)</f>
        <v>0</v>
      </c>
      <c r="AC232">
        <f ca="1">IF(VALUE(RIGHT(AC24,3)),VALUE(RIGHT(AC24,3))*SUM(OFFSET('2.3家乡建筑'!$M79,,,VALUE(LEFT(AC24,2)))),)</f>
        <v>0</v>
      </c>
      <c r="AD232">
        <f ca="1">IF(VALUE(RIGHT(AD24,3)),VALUE(RIGHT(AD24,3))*SUM(OFFSET('2.3家乡建筑'!$M79,,,VALUE(LEFT(AD24,2)))),)</f>
        <v>0</v>
      </c>
      <c r="AE232">
        <f ca="1">IF(VALUE(RIGHT(AE24,3)),VALUE(RIGHT(AE24,3))*SUM(OFFSET('2.3家乡建筑'!$M79,,,VALUE(LEFT(AE24,2)))),)</f>
        <v>0</v>
      </c>
      <c r="AF232">
        <f ca="1">IF(VALUE(RIGHT(AF24,3)),VALUE(RIGHT(AF24,3))*SUM(OFFSET('2.3家乡建筑'!$M79,,,VALUE(LEFT(AF24,2)))),)</f>
        <v>0</v>
      </c>
      <c r="AG232">
        <f ca="1">IF(VALUE(RIGHT(AG24,3)),VALUE(RIGHT(AG24,3))*SUM(OFFSET('2.3家乡建筑'!$M79,,,VALUE(LEFT(AG24,2)))),)</f>
        <v>0</v>
      </c>
      <c r="AH232">
        <f ca="1">IF(VALUE(RIGHT(AH24,3)),VALUE(RIGHT(AH24,3))*SUM(OFFSET('2.3家乡建筑'!$M79,,,VALUE(LEFT(AH24,2)))),)</f>
        <v>0</v>
      </c>
      <c r="AI232">
        <f ca="1">IF(VALUE(RIGHT(AI24,3)),VALUE(RIGHT(AI24,3))*SUM(OFFSET('2.3家乡建筑'!$M79,,,VALUE(LEFT(AI24,2)))),)</f>
        <v>0</v>
      </c>
      <c r="AJ232">
        <f ca="1">IF(VALUE(RIGHT(AJ24,3)),VALUE(RIGHT(AJ24,3))*SUM(OFFSET('2.3家乡建筑'!$M79,,,VALUE(LEFT(AJ24,2)))),)</f>
        <v>0</v>
      </c>
      <c r="AK232">
        <f ca="1">IF(VALUE(RIGHT(AK24,3)),VALUE(RIGHT(AK24,3))*SUM(OFFSET('2.3家乡建筑'!$M79,,,VALUE(LEFT(AK24,2)))),)</f>
        <v>0</v>
      </c>
      <c r="AL232">
        <f ca="1">IF(VALUE(RIGHT(AL24,3)),VALUE(RIGHT(AL24,3))*SUM(OFFSET('2.3家乡建筑'!$M79,,,VALUE(LEFT(AL24,2)))),)</f>
        <v>19800000</v>
      </c>
      <c r="AM232">
        <f ca="1">IF(VALUE(RIGHT(AM24,3)),VALUE(RIGHT(AM24,3))*SUM(OFFSET('2.3家乡建筑'!$M79,,,VALUE(LEFT(AM24,2)))),)</f>
        <v>19800000</v>
      </c>
      <c r="AN232">
        <f ca="1">IF(VALUE(RIGHT(AN24,3)),VALUE(RIGHT(AN24,3))*SUM(OFFSET('2.3家乡建筑'!$M79,,,VALUE(LEFT(AN24,2)))),)</f>
        <v>19800000</v>
      </c>
      <c r="AO232">
        <f ca="1">IF(VALUE(RIGHT(AO24,3)),VALUE(RIGHT(AO24,3))*SUM(OFFSET('2.3家乡建筑'!$M79,,,VALUE(LEFT(AO24,2)))),)</f>
        <v>19800000</v>
      </c>
      <c r="AX232" s="28">
        <v>50000</v>
      </c>
      <c r="AY232" s="28" t="s">
        <v>4865</v>
      </c>
      <c r="AZ232" s="28" t="s">
        <v>5163</v>
      </c>
      <c r="BA232" s="28" t="s">
        <v>3432</v>
      </c>
      <c r="BB232" s="28">
        <v>120</v>
      </c>
      <c r="CD232" s="38">
        <v>228</v>
      </c>
      <c r="CE232" s="38">
        <f t="shared" si="87"/>
        <v>3.6964282282509191</v>
      </c>
      <c r="CF232" s="38">
        <f t="shared" si="91"/>
        <v>228.17692</v>
      </c>
      <c r="CG232" s="38">
        <f t="shared" si="86"/>
        <v>229</v>
      </c>
      <c r="CP232" s="40">
        <v>580</v>
      </c>
      <c r="CQ232" s="41" t="s">
        <v>3854</v>
      </c>
      <c r="CR232" s="41" t="s">
        <v>3872</v>
      </c>
      <c r="CS232" s="41">
        <v>150</v>
      </c>
      <c r="CT232" s="41">
        <v>3</v>
      </c>
      <c r="CU232" s="41">
        <v>50</v>
      </c>
      <c r="CV232" s="41">
        <v>5</v>
      </c>
      <c r="CW232" s="40"/>
      <c r="CX232" s="41" t="s">
        <v>4716</v>
      </c>
      <c r="CY232" s="40" t="s">
        <v>3096</v>
      </c>
      <c r="DB232" t="s">
        <v>221</v>
      </c>
      <c r="DC232" s="7">
        <f t="shared" ca="1" si="90"/>
        <v>8</v>
      </c>
      <c r="DD232">
        <v>4</v>
      </c>
      <c r="DE232">
        <v>6</v>
      </c>
      <c r="DF232">
        <v>8</v>
      </c>
      <c r="DG232">
        <v>8</v>
      </c>
      <c r="DH232">
        <v>8</v>
      </c>
    </row>
    <row r="233" spans="4:112" ht="14.6">
      <c r="D233" s="6" t="str">
        <f t="shared" si="84"/>
        <v>都城建筑-&gt;子城大本营</v>
      </c>
      <c r="E233" s="6" t="str">
        <f t="shared" si="89"/>
        <v>#'4.2都城建筑'!BD6:BI12</v>
      </c>
      <c r="F233" s="6" t="s">
        <v>1859</v>
      </c>
      <c r="G233" s="6" t="s">
        <v>5896</v>
      </c>
      <c r="H233" s="6" t="s">
        <v>5872</v>
      </c>
      <c r="I233" t="s">
        <v>5828</v>
      </c>
      <c r="J233" t="s">
        <v>5168</v>
      </c>
      <c r="K233" t="s">
        <v>4929</v>
      </c>
      <c r="L233" t="s">
        <v>5168</v>
      </c>
      <c r="M233" t="s">
        <v>4859</v>
      </c>
      <c r="N233" t="s">
        <v>5357</v>
      </c>
      <c r="O233" t="s">
        <v>5217</v>
      </c>
      <c r="P233" t="s">
        <v>4782</v>
      </c>
      <c r="Q233" t="s">
        <v>4782</v>
      </c>
      <c r="R233" t="s">
        <v>4782</v>
      </c>
      <c r="S233">
        <f t="array" ref="S233">SUM(IFERROR(IF(MATCH(I233:R233,$F$4:$Q$4,0)&gt;0,1,0),0))</f>
        <v>0</v>
      </c>
      <c r="T233">
        <f t="shared" ca="1" si="85"/>
        <v>37</v>
      </c>
      <c r="U233">
        <f ca="1">T233+COUNTIF(T$5:$T232,T233)</f>
        <v>238</v>
      </c>
      <c r="Y233" t="s">
        <v>86</v>
      </c>
      <c r="AA233">
        <f ca="1">IF(VALUE(RIGHT(AA25,3)),VALUE(RIGHT(AA25,3))*SUM(OFFSET('2.3家乡建筑'!$W79,,,VALUE(LEFT(AA25,2)))),)</f>
        <v>0</v>
      </c>
      <c r="AB233">
        <f ca="1">IF(VALUE(RIGHT(AB25,3)),VALUE(RIGHT(AB25,3))*SUM(OFFSET('2.3家乡建筑'!$W79,,,VALUE(LEFT(AB25,2)))),)</f>
        <v>0</v>
      </c>
      <c r="AC233">
        <f ca="1">IF(VALUE(RIGHT(AC25,3)),VALUE(RIGHT(AC25,3))*SUM(OFFSET('2.3家乡建筑'!$W79,,,VALUE(LEFT(AC25,2)))),)</f>
        <v>0</v>
      </c>
      <c r="AD233">
        <f ca="1">IF(VALUE(RIGHT(AD25,3)),VALUE(RIGHT(AD25,3))*SUM(OFFSET('2.3家乡建筑'!$W79,,,VALUE(LEFT(AD25,2)))),)</f>
        <v>0</v>
      </c>
      <c r="AE233">
        <f ca="1">IF(VALUE(RIGHT(AE25,3)),VALUE(RIGHT(AE25,3))*SUM(OFFSET('2.3家乡建筑'!$W79,,,VALUE(LEFT(AE25,2)))),)</f>
        <v>0</v>
      </c>
      <c r="AF233">
        <f ca="1">IF(VALUE(RIGHT(AF25,3)),VALUE(RIGHT(AF25,3))*SUM(OFFSET('2.3家乡建筑'!$W79,,,VALUE(LEFT(AF25,2)))),)</f>
        <v>0</v>
      </c>
      <c r="AG233">
        <f ca="1">IF(VALUE(RIGHT(AG25,3)),VALUE(RIGHT(AG25,3))*SUM(OFFSET('2.3家乡建筑'!$W79,,,VALUE(LEFT(AG25,2)))),)</f>
        <v>0</v>
      </c>
      <c r="AH233">
        <f ca="1">IF(VALUE(RIGHT(AH25,3)),VALUE(RIGHT(AH25,3))*SUM(OFFSET('2.3家乡建筑'!$W79,,,VALUE(LEFT(AH25,2)))),)</f>
        <v>0</v>
      </c>
      <c r="AI233">
        <f ca="1">IF(VALUE(RIGHT(AI25,3)),VALUE(RIGHT(AI25,3))*SUM(OFFSET('2.3家乡建筑'!$W79,,,VALUE(LEFT(AI25,2)))),)</f>
        <v>0</v>
      </c>
      <c r="AJ233">
        <f ca="1">IF(VALUE(RIGHT(AJ25,3)),VALUE(RIGHT(AJ25,3))*SUM(OFFSET('2.3家乡建筑'!$W79,,,VALUE(LEFT(AJ25,2)))),)</f>
        <v>0</v>
      </c>
      <c r="AK233">
        <f ca="1">IF(VALUE(RIGHT(AK25,3)),VALUE(RIGHT(AK25,3))*SUM(OFFSET('2.3家乡建筑'!$W79,,,VALUE(LEFT(AK25,2)))),)</f>
        <v>0</v>
      </c>
      <c r="AL233">
        <f ca="1">IF(VALUE(RIGHT(AL25,3)),VALUE(RIGHT(AL25,3))*SUM(OFFSET('2.3家乡建筑'!$W79,,,VALUE(LEFT(AL25,2)))),)</f>
        <v>0</v>
      </c>
      <c r="AM233">
        <f ca="1">IF(VALUE(RIGHT(AM25,3)),VALUE(RIGHT(AM25,3))*SUM(OFFSET('2.3家乡建筑'!$W79,,,VALUE(LEFT(AM25,2)))),)</f>
        <v>41200000</v>
      </c>
      <c r="AN233">
        <f ca="1">IF(VALUE(RIGHT(AN25,3)),VALUE(RIGHT(AN25,3))*SUM(OFFSET('2.3家乡建筑'!$W79,,,VALUE(LEFT(AN25,2)))),)</f>
        <v>41200000</v>
      </c>
      <c r="AO233">
        <f ca="1">IF(VALUE(RIGHT(AO25,3)),VALUE(RIGHT(AO25,3))*SUM(OFFSET('2.3家乡建筑'!$W79,,,VALUE(LEFT(AO25,2)))),)</f>
        <v>41200000</v>
      </c>
      <c r="AX233" s="28">
        <v>3000</v>
      </c>
      <c r="AY233" s="28" t="s">
        <v>4770</v>
      </c>
      <c r="AZ233" s="28" t="s">
        <v>4878</v>
      </c>
      <c r="BA233" s="28" t="s">
        <v>4673</v>
      </c>
      <c r="BB233" s="28">
        <v>20</v>
      </c>
      <c r="CD233" s="38">
        <v>229</v>
      </c>
      <c r="CE233" s="38">
        <f t="shared" si="87"/>
        <v>3.6986164120583589</v>
      </c>
      <c r="CF233" s="38">
        <f t="shared" si="91"/>
        <v>229.17628999999999</v>
      </c>
      <c r="CG233" s="38">
        <f t="shared" si="86"/>
        <v>230</v>
      </c>
      <c r="CP233" s="40">
        <v>581</v>
      </c>
      <c r="CQ233" s="41" t="s">
        <v>3859</v>
      </c>
      <c r="CR233" s="41" t="s">
        <v>3875</v>
      </c>
      <c r="CS233" s="41">
        <v>150</v>
      </c>
      <c r="CT233" s="41">
        <v>3</v>
      </c>
      <c r="CU233" s="41">
        <v>50</v>
      </c>
      <c r="CV233" s="41">
        <v>5</v>
      </c>
      <c r="CW233" s="40"/>
      <c r="CX233" s="41" t="s">
        <v>4716</v>
      </c>
      <c r="CY233" s="40" t="s">
        <v>3096</v>
      </c>
      <c r="DB233" t="s">
        <v>223</v>
      </c>
      <c r="DC233" s="7">
        <f t="shared" ca="1" si="90"/>
        <v>4</v>
      </c>
      <c r="DD233">
        <v>2</v>
      </c>
      <c r="DE233">
        <v>4</v>
      </c>
      <c r="DF233">
        <v>4</v>
      </c>
      <c r="DG233">
        <v>4</v>
      </c>
      <c r="DH233">
        <v>4</v>
      </c>
    </row>
    <row r="234" spans="4:112" ht="14.6">
      <c r="D234" s="6" t="str">
        <f t="shared" si="84"/>
        <v>都城建筑-&gt;兵营</v>
      </c>
      <c r="E234" s="6" t="str">
        <f t="shared" si="89"/>
        <v>#'4.2都城建筑'!AL21:AR27</v>
      </c>
      <c r="F234" s="6" t="s">
        <v>1863</v>
      </c>
      <c r="G234" s="6" t="s">
        <v>5897</v>
      </c>
      <c r="H234" s="6" t="s">
        <v>5872</v>
      </c>
      <c r="I234" t="s">
        <v>5828</v>
      </c>
      <c r="J234" t="s">
        <v>5168</v>
      </c>
      <c r="K234" t="s">
        <v>5024</v>
      </c>
      <c r="L234" t="s">
        <v>5217</v>
      </c>
      <c r="M234" t="s">
        <v>4782</v>
      </c>
      <c r="N234" t="s">
        <v>4782</v>
      </c>
      <c r="O234" t="s">
        <v>4782</v>
      </c>
      <c r="P234" t="s">
        <v>4782</v>
      </c>
      <c r="Q234" t="s">
        <v>4782</v>
      </c>
      <c r="R234" t="s">
        <v>4782</v>
      </c>
      <c r="S234">
        <f t="array" ref="S234">SUM(IFERROR(IF(MATCH(I234:R234,$F$4:$Q$4,0)&gt;0,1,0),0))</f>
        <v>0</v>
      </c>
      <c r="T234">
        <f t="shared" ca="1" si="85"/>
        <v>37</v>
      </c>
      <c r="U234">
        <f ca="1">T234+COUNTIF(T$5:$T233,T234)</f>
        <v>239</v>
      </c>
      <c r="Y234" t="s">
        <v>89</v>
      </c>
      <c r="AA234">
        <f ca="1">IF(VALUE(RIGHT(AA26,3)),VALUE(RIGHT(AA26,3))*SUM(OFFSET('2.3家乡建筑'!$M89,,,VALUE(LEFT(AA26,2)))),)</f>
        <v>0</v>
      </c>
      <c r="AB234">
        <f ca="1">IF(VALUE(RIGHT(AB26,3)),VALUE(RIGHT(AB26,3))*SUM(OFFSET('2.3家乡建筑'!$M89,,,VALUE(LEFT(AB26,2)))),)</f>
        <v>0</v>
      </c>
      <c r="AC234">
        <f ca="1">IF(VALUE(RIGHT(AC26,3)),VALUE(RIGHT(AC26,3))*SUM(OFFSET('2.3家乡建筑'!$M89,,,VALUE(LEFT(AC26,2)))),)</f>
        <v>0</v>
      </c>
      <c r="AD234">
        <f ca="1">IF(VALUE(RIGHT(AD26,3)),VALUE(RIGHT(AD26,3))*SUM(OFFSET('2.3家乡建筑'!$M89,,,VALUE(LEFT(AD26,2)))),)</f>
        <v>0</v>
      </c>
      <c r="AE234">
        <f ca="1">IF(VALUE(RIGHT(AE26,3)),VALUE(RIGHT(AE26,3))*SUM(OFFSET('2.3家乡建筑'!$M89,,,VALUE(LEFT(AE26,2)))),)</f>
        <v>0</v>
      </c>
      <c r="AF234">
        <f ca="1">IF(VALUE(RIGHT(AF26,3)),VALUE(RIGHT(AF26,3))*SUM(OFFSET('2.3家乡建筑'!$M89,,,VALUE(LEFT(AF26,2)))),)</f>
        <v>0</v>
      </c>
      <c r="AG234">
        <f ca="1">IF(VALUE(RIGHT(AG26,3)),VALUE(RIGHT(AG26,3))*SUM(OFFSET('2.3家乡建筑'!$M89,,,VALUE(LEFT(AG26,2)))),)</f>
        <v>0</v>
      </c>
      <c r="AH234">
        <f ca="1">IF(VALUE(RIGHT(AH26,3)),VALUE(RIGHT(AH26,3))*SUM(OFFSET('2.3家乡建筑'!$M89,,,VALUE(LEFT(AH26,2)))),)</f>
        <v>0</v>
      </c>
      <c r="AI234">
        <f ca="1">IF(VALUE(RIGHT(AI26,3)),VALUE(RIGHT(AI26,3))*SUM(OFFSET('2.3家乡建筑'!$M89,,,VALUE(LEFT(AI26,2)))),)</f>
        <v>0</v>
      </c>
      <c r="AJ234">
        <f ca="1">IF(VALUE(RIGHT(AJ26,3)),VALUE(RIGHT(AJ26,3))*SUM(OFFSET('2.3家乡建筑'!$M89,,,VALUE(LEFT(AJ26,2)))),)</f>
        <v>0</v>
      </c>
      <c r="AK234">
        <f ca="1">IF(VALUE(RIGHT(AK26,3)),VALUE(RIGHT(AK26,3))*SUM(OFFSET('2.3家乡建筑'!$M89,,,VALUE(LEFT(AK26,2)))),)</f>
        <v>0</v>
      </c>
      <c r="AL234">
        <f ca="1">IF(VALUE(RIGHT(AL26,3)),VALUE(RIGHT(AL26,3))*SUM(OFFSET('2.3家乡建筑'!$M89,,,VALUE(LEFT(AL26,2)))),)</f>
        <v>0</v>
      </c>
      <c r="AM234">
        <f ca="1">IF(VALUE(RIGHT(AM26,3)),VALUE(RIGHT(AM26,3))*SUM(OFFSET('2.3家乡建筑'!$M89,,,VALUE(LEFT(AM26,2)))),)</f>
        <v>0</v>
      </c>
      <c r="AN234">
        <f ca="1">IF(VALUE(RIGHT(AN26,3)),VALUE(RIGHT(AN26,3))*SUM(OFFSET('2.3家乡建筑'!$M89,,,VALUE(LEFT(AN26,2)))),)</f>
        <v>45500000</v>
      </c>
      <c r="AO234">
        <f ca="1">IF(VALUE(RIGHT(AO26,3)),VALUE(RIGHT(AO26,3))*SUM(OFFSET('2.3家乡建筑'!$M89,,,VALUE(LEFT(AO26,2)))),)</f>
        <v>45500000</v>
      </c>
      <c r="AX234" s="28">
        <v>7500</v>
      </c>
      <c r="AY234" s="28" t="s">
        <v>4739</v>
      </c>
      <c r="AZ234" s="28" t="s">
        <v>4877</v>
      </c>
      <c r="BA234" s="28" t="s">
        <v>5467</v>
      </c>
      <c r="BB234" s="28">
        <v>40</v>
      </c>
      <c r="CD234" s="38">
        <v>230</v>
      </c>
      <c r="CE234" s="38">
        <f t="shared" si="87"/>
        <v>3.7007950612958318</v>
      </c>
      <c r="CF234" s="38">
        <f t="shared" si="91"/>
        <v>230.17565999999999</v>
      </c>
      <c r="CG234" s="38">
        <f t="shared" si="86"/>
        <v>231</v>
      </c>
      <c r="CP234" s="40">
        <v>582</v>
      </c>
      <c r="CQ234" s="41" t="s">
        <v>3824</v>
      </c>
      <c r="CR234" s="41" t="s">
        <v>3880</v>
      </c>
      <c r="CS234" s="41">
        <v>150</v>
      </c>
      <c r="CT234" s="41">
        <v>3</v>
      </c>
      <c r="CU234" s="41">
        <v>50</v>
      </c>
      <c r="CV234" s="41">
        <v>5</v>
      </c>
      <c r="CW234" s="40"/>
      <c r="CX234" s="41" t="s">
        <v>4716</v>
      </c>
      <c r="CY234" s="40" t="s">
        <v>3096</v>
      </c>
    </row>
    <row r="235" spans="4:112" ht="14.6">
      <c r="D235" s="6" t="str">
        <f t="shared" si="84"/>
        <v>都城建筑-&gt;法术仓库</v>
      </c>
      <c r="E235" s="6" t="str">
        <f t="shared" si="89"/>
        <v>#'4.2都城建筑'!AT21:AZ27</v>
      </c>
      <c r="F235" s="6" t="s">
        <v>1868</v>
      </c>
      <c r="G235" s="6" t="s">
        <v>5898</v>
      </c>
      <c r="H235" s="6" t="s">
        <v>5872</v>
      </c>
      <c r="I235" t="s">
        <v>5828</v>
      </c>
      <c r="J235" t="s">
        <v>5168</v>
      </c>
      <c r="K235" t="s">
        <v>5037</v>
      </c>
      <c r="L235" t="s">
        <v>5244</v>
      </c>
      <c r="M235" t="s">
        <v>5899</v>
      </c>
      <c r="N235" t="s">
        <v>5549</v>
      </c>
      <c r="O235" t="s">
        <v>4782</v>
      </c>
      <c r="P235" t="s">
        <v>4782</v>
      </c>
      <c r="Q235" t="s">
        <v>4782</v>
      </c>
      <c r="R235" t="s">
        <v>4782</v>
      </c>
      <c r="S235">
        <f t="array" ref="S235">SUM(IFERROR(IF(MATCH(I235:R235,$F$4:$Q$4,0)&gt;0,1,0),0))</f>
        <v>0</v>
      </c>
      <c r="T235">
        <f t="shared" ca="1" si="85"/>
        <v>37</v>
      </c>
      <c r="U235">
        <f ca="1">T235+COUNTIF(T$5:$T234,T235)</f>
        <v>240</v>
      </c>
      <c r="Y235" t="s">
        <v>5025</v>
      </c>
      <c r="AA235">
        <f ca="1">IF(VALUE(RIGHT(AA27,3)),VALUE(RIGHT(AA27,3))*SUM(OFFSET('2.3家乡建筑'!$W89,,,VALUE(LEFT(AA27,2)))),)</f>
        <v>0</v>
      </c>
      <c r="AB235">
        <f ca="1">IF(VALUE(RIGHT(AB27,3)),VALUE(RIGHT(AB27,3))*SUM(OFFSET('2.3家乡建筑'!$W89,,,VALUE(LEFT(AB27,2)))),)</f>
        <v>0</v>
      </c>
      <c r="AC235">
        <f ca="1">IF(VALUE(RIGHT(AC27,3)),VALUE(RIGHT(AC27,3))*SUM(OFFSET('2.3家乡建筑'!$W89,,,VALUE(LEFT(AC27,2)))),)</f>
        <v>0</v>
      </c>
      <c r="AD235">
        <f ca="1">IF(VALUE(RIGHT(AD27,3)),VALUE(RIGHT(AD27,3))*SUM(OFFSET('2.3家乡建筑'!$W89,,,VALUE(LEFT(AD27,2)))),)</f>
        <v>0</v>
      </c>
      <c r="AE235">
        <f ca="1">IF(VALUE(RIGHT(AE27,3)),VALUE(RIGHT(AE27,3))*SUM(OFFSET('2.3家乡建筑'!$W89,,,VALUE(LEFT(AE27,2)))),)</f>
        <v>0</v>
      </c>
      <c r="AF235">
        <f ca="1">IF(VALUE(RIGHT(AF27,3)),VALUE(RIGHT(AF27,3))*SUM(OFFSET('2.3家乡建筑'!$W89,,,VALUE(LEFT(AF27,2)))),)</f>
        <v>0</v>
      </c>
      <c r="AG235">
        <f ca="1">IF(VALUE(RIGHT(AG27,3)),VALUE(RIGHT(AG27,3))*SUM(OFFSET('2.3家乡建筑'!$W89,,,VALUE(LEFT(AG27,2)))),)</f>
        <v>0</v>
      </c>
      <c r="AH235">
        <f ca="1">IF(VALUE(RIGHT(AH27,3)),VALUE(RIGHT(AH27,3))*SUM(OFFSET('2.3家乡建筑'!$W89,,,VALUE(LEFT(AH27,2)))),)</f>
        <v>0</v>
      </c>
      <c r="AI235">
        <f ca="1">IF(VALUE(RIGHT(AI27,3)),VALUE(RIGHT(AI27,3))*SUM(OFFSET('2.3家乡建筑'!$W89,,,VALUE(LEFT(AI27,2)))),)</f>
        <v>0</v>
      </c>
      <c r="AJ235">
        <f ca="1">IF(VALUE(RIGHT(AJ27,3)),VALUE(RIGHT(AJ27,3))*SUM(OFFSET('2.3家乡建筑'!$W89,,,VALUE(LEFT(AJ27,2)))),)</f>
        <v>0</v>
      </c>
      <c r="AK235">
        <f ca="1">IF(VALUE(RIGHT(AK27,3)),VALUE(RIGHT(AK27,3))*SUM(OFFSET('2.3家乡建筑'!$W89,,,VALUE(LEFT(AK27,2)))),)</f>
        <v>0</v>
      </c>
      <c r="AL235">
        <f ca="1">IF(VALUE(RIGHT(AL27,3)),VALUE(RIGHT(AL27,3))*SUM(OFFSET('2.3家乡建筑'!$W89,,,VALUE(LEFT(AL27,2)))),)</f>
        <v>0</v>
      </c>
      <c r="AM235">
        <f ca="1">IF(VALUE(RIGHT(AM27,3)),VALUE(RIGHT(AM27,3))*SUM(OFFSET('2.3家乡建筑'!$W89,,,VALUE(LEFT(AM27,2)))),)</f>
        <v>0</v>
      </c>
      <c r="AN235">
        <f ca="1">IF(VALUE(RIGHT(AN27,3)),VALUE(RIGHT(AN27,3))*SUM(OFFSET('2.3家乡建筑'!$W89,,,VALUE(LEFT(AN27,2)))),)</f>
        <v>0</v>
      </c>
      <c r="AO235">
        <f ca="1">IF(VALUE(RIGHT(AO27,3)),VALUE(RIGHT(AO27,3))*SUM(OFFSET('2.3家乡建筑'!$W89,,,VALUE(LEFT(AO27,2)))),)</f>
        <v>45500000</v>
      </c>
      <c r="AX235" s="28">
        <v>12000</v>
      </c>
      <c r="AY235" s="28" t="s">
        <v>4689</v>
      </c>
      <c r="AZ235" s="28" t="s">
        <v>4713</v>
      </c>
      <c r="BA235" s="28" t="s">
        <v>5468</v>
      </c>
      <c r="BB235" s="28">
        <v>60</v>
      </c>
      <c r="CD235" s="38">
        <v>231</v>
      </c>
      <c r="CE235" s="38">
        <f t="shared" si="87"/>
        <v>3.7029642586927949</v>
      </c>
      <c r="CF235" s="38">
        <f t="shared" si="91"/>
        <v>231.17502999999999</v>
      </c>
      <c r="CG235" s="38">
        <f t="shared" si="86"/>
        <v>232</v>
      </c>
      <c r="CP235" s="40">
        <v>583</v>
      </c>
      <c r="CQ235" s="41" t="s">
        <v>3868</v>
      </c>
      <c r="CR235" s="41" t="s">
        <v>3885</v>
      </c>
      <c r="CS235" s="41">
        <v>150</v>
      </c>
      <c r="CT235" s="41">
        <v>3</v>
      </c>
      <c r="CU235" s="41">
        <v>40</v>
      </c>
      <c r="CV235" s="41">
        <v>5</v>
      </c>
      <c r="CW235" s="40"/>
      <c r="CX235" s="41" t="s">
        <v>4716</v>
      </c>
      <c r="CY235" s="40" t="s">
        <v>3096</v>
      </c>
    </row>
    <row r="236" spans="4:112" ht="14.6">
      <c r="D236" s="6" t="str">
        <f t="shared" si="84"/>
        <v>都城建筑-&gt;超级野蛮人训练营</v>
      </c>
      <c r="E236" s="6" t="str">
        <f t="shared" si="89"/>
        <v>#'4.2都城建筑'!BB21:BG27</v>
      </c>
      <c r="F236" s="6" t="s">
        <v>1873</v>
      </c>
      <c r="G236" s="6" t="s">
        <v>5900</v>
      </c>
      <c r="H236" s="6" t="s">
        <v>5872</v>
      </c>
      <c r="I236" t="s">
        <v>5828</v>
      </c>
      <c r="J236" t="s">
        <v>5168</v>
      </c>
      <c r="K236" t="s">
        <v>5085</v>
      </c>
      <c r="L236" t="s">
        <v>5155</v>
      </c>
      <c r="M236" t="s">
        <v>4829</v>
      </c>
      <c r="N236" t="s">
        <v>4830</v>
      </c>
      <c r="O236" t="s">
        <v>4831</v>
      </c>
      <c r="P236" t="s">
        <v>5215</v>
      </c>
      <c r="Q236" t="s">
        <v>5216</v>
      </c>
      <c r="R236" t="s">
        <v>5217</v>
      </c>
      <c r="S236">
        <f t="array" ref="S236">SUM(IFERROR(IF(MATCH(I236:R236,$F$4:$Q$4,0)&gt;0,1,0),0))</f>
        <v>0</v>
      </c>
      <c r="T236">
        <f t="shared" ca="1" si="85"/>
        <v>37</v>
      </c>
      <c r="U236">
        <f ca="1">T236+COUNTIF(T$5:$T235,T236)</f>
        <v>241</v>
      </c>
      <c r="AX236" s="28">
        <v>18000</v>
      </c>
      <c r="AY236" s="28" t="s">
        <v>4945</v>
      </c>
      <c r="AZ236" s="28" t="s">
        <v>5693</v>
      </c>
      <c r="BA236" s="28" t="s">
        <v>4674</v>
      </c>
      <c r="BB236" s="28">
        <v>80</v>
      </c>
      <c r="CD236" s="38">
        <v>232</v>
      </c>
      <c r="CE236" s="38">
        <f t="shared" si="87"/>
        <v>3.7051240859066179</v>
      </c>
      <c r="CF236" s="38">
        <f t="shared" si="91"/>
        <v>232.17439999999999</v>
      </c>
      <c r="CG236" s="38">
        <f t="shared" si="86"/>
        <v>233</v>
      </c>
      <c r="CP236" s="40">
        <v>584</v>
      </c>
      <c r="CQ236" s="41" t="s">
        <v>3832</v>
      </c>
      <c r="CR236" s="41" t="s">
        <v>3889</v>
      </c>
      <c r="CS236" s="41">
        <v>150</v>
      </c>
      <c r="CT236" s="41">
        <v>3</v>
      </c>
      <c r="CU236" s="41">
        <v>50</v>
      </c>
      <c r="CV236" s="41">
        <v>5</v>
      </c>
      <c r="CW236" s="40"/>
      <c r="CX236" s="41" t="s">
        <v>4716</v>
      </c>
      <c r="CY236" s="40" t="s">
        <v>3096</v>
      </c>
      <c r="DB236" t="s">
        <v>176</v>
      </c>
      <c r="DC236" s="7">
        <f ca="1">DC12</f>
        <v>4</v>
      </c>
    </row>
    <row r="237" spans="4:112" ht="14.6">
      <c r="D237" s="6" t="str">
        <f t="shared" si="84"/>
        <v>都城建筑-&gt;隐秘弓箭手训练营</v>
      </c>
      <c r="E237" s="6" t="str">
        <f t="shared" si="89"/>
        <v>#'4.2都城建筑'!AL30:AQ36</v>
      </c>
      <c r="F237" s="6" t="s">
        <v>1876</v>
      </c>
      <c r="G237" s="6" t="s">
        <v>5901</v>
      </c>
      <c r="H237" s="6" t="s">
        <v>5872</v>
      </c>
      <c r="I237" t="s">
        <v>5828</v>
      </c>
      <c r="J237" t="s">
        <v>5168</v>
      </c>
      <c r="K237" t="s">
        <v>5226</v>
      </c>
      <c r="L237" t="s">
        <v>5227</v>
      </c>
      <c r="M237" t="s">
        <v>4869</v>
      </c>
      <c r="N237" t="s">
        <v>4870</v>
      </c>
      <c r="O237" t="s">
        <v>4890</v>
      </c>
      <c r="P237" t="s">
        <v>5215</v>
      </c>
      <c r="Q237" t="s">
        <v>5216</v>
      </c>
      <c r="R237" t="s">
        <v>5217</v>
      </c>
      <c r="S237">
        <f t="array" ref="S237">SUM(IFERROR(IF(MATCH(I237:R237,$F$4:$Q$4,0)&gt;0,1,0),0))</f>
        <v>0</v>
      </c>
      <c r="T237">
        <f t="shared" ca="1" si="85"/>
        <v>37</v>
      </c>
      <c r="U237">
        <f ca="1">T237+COUNTIF(T$5:$T236,T237)</f>
        <v>242</v>
      </c>
      <c r="Y237" s="12" t="s">
        <v>103</v>
      </c>
      <c r="AA237">
        <f ca="1">IF(VALUE(RIGHT(AA29,3)),VALUE(RIGHT(AA29,3))*SUM(OFFSET('2.3家乡建筑'!$AQ107,,,VALUE(LEFT(AA29,2)))),)</f>
        <v>0</v>
      </c>
      <c r="AB237">
        <f ca="1">IF(VALUE(RIGHT(AB29,3)),VALUE(RIGHT(AB29,3))*SUM(OFFSET('2.3家乡建筑'!$AQ107,,,VALUE(LEFT(AB29,2)))),)</f>
        <v>0</v>
      </c>
      <c r="AC237">
        <f ca="1">IF(VALUE(RIGHT(AC29,3)),VALUE(RIGHT(AC29,3))*SUM(OFFSET('2.3家乡建筑'!$AQ107,,,VALUE(LEFT(AC29,2)))),)</f>
        <v>2800</v>
      </c>
      <c r="AD237">
        <f ca="1">IF(VALUE(RIGHT(AD29,3)),VALUE(RIGHT(AD29,3))*SUM(OFFSET('2.3家乡建筑'!$AQ107,,,VALUE(LEFT(AD29,2)))),)</f>
        <v>2800</v>
      </c>
      <c r="AE237">
        <f ca="1">IF(VALUE(RIGHT(AE29,3)),VALUE(RIGHT(AE29,3))*SUM(OFFSET('2.3家乡建筑'!$AQ107,,,VALUE(LEFT(AE29,2)))),)</f>
        <v>45600</v>
      </c>
      <c r="AF237">
        <f ca="1">IF(VALUE(RIGHT(AF29,3)),VALUE(RIGHT(AF29,3))*SUM(OFFSET('2.3家乡建筑'!$AQ107,,,VALUE(LEFT(AF29,2)))),)</f>
        <v>45600</v>
      </c>
      <c r="AG237">
        <f ca="1">IF(VALUE(RIGHT(AG29,3)),VALUE(RIGHT(AG29,3))*SUM(OFFSET('2.3家乡建筑'!$AQ107,,,VALUE(LEFT(AG29,2)))),)</f>
        <v>668400</v>
      </c>
      <c r="AH237">
        <f ca="1">IF(VALUE(RIGHT(AH29,3)),VALUE(RIGHT(AH29,3))*SUM(OFFSET('2.3家乡建筑'!$AQ107,,,VALUE(LEFT(AH29,2)))),)</f>
        <v>2468400</v>
      </c>
      <c r="AI237">
        <f ca="1">IF(VALUE(RIGHT(AI29,3)),VALUE(RIGHT(AI29,3))*SUM(OFFSET('2.3家乡建筑'!$AQ107,,,VALUE(LEFT(AI29,2)))),)</f>
        <v>5468400</v>
      </c>
      <c r="AJ237">
        <f ca="1">IF(VALUE(RIGHT(AJ29,3)),VALUE(RIGHT(AJ29,3))*SUM(OFFSET('2.3家乡建筑'!$AQ107,,,VALUE(LEFT(AJ29,2)))),)</f>
        <v>10568400</v>
      </c>
      <c r="AK237">
        <f ca="1">IF(VALUE(RIGHT(AK29,3)),VALUE(RIGHT(AK29,3))*SUM(OFFSET('2.3家乡建筑'!$AQ107,,,VALUE(LEFT(AK29,2)))),)</f>
        <v>18968400</v>
      </c>
      <c r="AL237">
        <f ca="1">IF(VALUE(RIGHT(AL29,3)),VALUE(RIGHT(AL29,3))*SUM(OFFSET('2.3家乡建筑'!$AQ107,,,VALUE(LEFT(AL29,2)))),)</f>
        <v>18968400</v>
      </c>
      <c r="AM237">
        <f ca="1">IF(VALUE(RIGHT(AM29,3)),VALUE(RIGHT(AM29,3))*SUM(OFFSET('2.3家乡建筑'!$AQ107,,,VALUE(LEFT(AM29,2)))),)</f>
        <v>43129800</v>
      </c>
      <c r="AN237">
        <f ca="1">IF(VALUE(RIGHT(AN29,3)),VALUE(RIGHT(AN29,3))*SUM(OFFSET('2.3家乡建筑'!$AQ107,,,VALUE(LEFT(AN29,2)))),)</f>
        <v>93291200</v>
      </c>
      <c r="AO237">
        <f ca="1">IF(VALUE(RIGHT(AO29,3)),VALUE(RIGHT(AO29,3))*SUM(OFFSET('2.3家乡建筑'!$AQ107,,,VALUE(LEFT(AO29,2)))),)</f>
        <v>157291200</v>
      </c>
      <c r="AX237" s="28">
        <v>30000</v>
      </c>
      <c r="AY237" s="28" t="s">
        <v>5163</v>
      </c>
      <c r="AZ237" s="28" t="s">
        <v>4845</v>
      </c>
      <c r="BA237" s="28" t="s">
        <v>5643</v>
      </c>
      <c r="BB237" s="28">
        <v>100</v>
      </c>
      <c r="CD237" s="38">
        <v>233</v>
      </c>
      <c r="CE237" s="38">
        <f t="shared" si="87"/>
        <v>3.7072746235410263</v>
      </c>
      <c r="CF237" s="38">
        <f t="shared" si="91"/>
        <v>233.17377999999999</v>
      </c>
      <c r="CG237" s="38">
        <f t="shared" si="86"/>
        <v>234</v>
      </c>
      <c r="CP237" s="40">
        <v>585</v>
      </c>
      <c r="CQ237" s="41" t="s">
        <v>3893</v>
      </c>
      <c r="CR237" s="41" t="s">
        <v>3894</v>
      </c>
      <c r="CS237" s="41">
        <v>150</v>
      </c>
      <c r="CT237" s="41">
        <v>3</v>
      </c>
      <c r="CU237" s="41">
        <v>30</v>
      </c>
      <c r="CV237" s="41">
        <v>5</v>
      </c>
      <c r="CW237" s="40"/>
      <c r="CX237" s="41" t="s">
        <v>4716</v>
      </c>
      <c r="CY237" s="40" t="s">
        <v>3096</v>
      </c>
      <c r="DC237" s="7"/>
    </row>
    <row r="238" spans="4:112" ht="14.6">
      <c r="D238" s="6" t="str">
        <f t="shared" si="84"/>
        <v>都城建筑-&gt;超级巨人训练营</v>
      </c>
      <c r="E238" s="6" t="str">
        <f t="shared" si="89"/>
        <v>#'4.2都城建筑'!AT30:AY36</v>
      </c>
      <c r="F238" s="6" t="s">
        <v>1879</v>
      </c>
      <c r="G238" s="6" t="s">
        <v>5902</v>
      </c>
      <c r="H238" s="6" t="s">
        <v>5872</v>
      </c>
      <c r="I238" t="s">
        <v>5828</v>
      </c>
      <c r="J238" t="s">
        <v>5168</v>
      </c>
      <c r="K238" t="s">
        <v>5085</v>
      </c>
      <c r="L238" t="s">
        <v>5155</v>
      </c>
      <c r="M238" t="s">
        <v>4927</v>
      </c>
      <c r="N238" t="s">
        <v>4831</v>
      </c>
      <c r="O238" t="s">
        <v>5215</v>
      </c>
      <c r="P238" t="s">
        <v>5216</v>
      </c>
      <c r="Q238" t="s">
        <v>5217</v>
      </c>
      <c r="R238" t="s">
        <v>4782</v>
      </c>
      <c r="S238">
        <f t="array" ref="S238">SUM(IFERROR(IF(MATCH(I238:R238,$F$4:$Q$4,0)&gt;0,1,0),0))</f>
        <v>0</v>
      </c>
      <c r="T238">
        <f t="shared" ca="1" si="85"/>
        <v>37</v>
      </c>
      <c r="U238">
        <f ca="1">T238+COUNTIF(T$5:$T237,T238)</f>
        <v>243</v>
      </c>
      <c r="Y238" s="12" t="s">
        <v>107</v>
      </c>
      <c r="AA238">
        <f ca="1">IF(VALUE(RIGHT(AA30,3)),VALUE(RIGHT(AA30,3))*SUM(OFFSET('2.3家乡建筑'!$AQ126,,,VALUE(LEFT(AA30,2)))),)</f>
        <v>0</v>
      </c>
      <c r="AB238">
        <f ca="1">IF(VALUE(RIGHT(AB30,3)),VALUE(RIGHT(AB30,3))*SUM(OFFSET('2.3家乡建筑'!$AQ126,,,VALUE(LEFT(AB30,2)))),)</f>
        <v>0</v>
      </c>
      <c r="AC238">
        <f ca="1">IF(VALUE(RIGHT(AC30,3)),VALUE(RIGHT(AC30,3))*SUM(OFFSET('2.3家乡建筑'!$AQ126,,,VALUE(LEFT(AC30,2)))),)</f>
        <v>0</v>
      </c>
      <c r="AD238">
        <f ca="1">IF(VALUE(RIGHT(AD30,3)),VALUE(RIGHT(AD30,3))*SUM(OFFSET('2.3家乡建筑'!$AQ126,,,VALUE(LEFT(AD30,2)))),)</f>
        <v>0</v>
      </c>
      <c r="AE238">
        <f ca="1">IF(VALUE(RIGHT(AE30,3)),VALUE(RIGHT(AE30,3))*SUM(OFFSET('2.3家乡建筑'!$AQ126,,,VALUE(LEFT(AE30,2)))),)</f>
        <v>4000000</v>
      </c>
      <c r="AF238">
        <f ca="1">IF(VALUE(RIGHT(AF30,3)),VALUE(RIGHT(AF30,3))*SUM(OFFSET('2.3家乡建筑'!$AQ126,,,VALUE(LEFT(AF30,2)))),)</f>
        <v>4000000</v>
      </c>
      <c r="AG238">
        <f ca="1">IF(VALUE(RIGHT(AG30,3)),VALUE(RIGHT(AG30,3))*SUM(OFFSET('2.3家乡建筑'!$AQ126,,,VALUE(LEFT(AG30,2)))),)</f>
        <v>8200000</v>
      </c>
      <c r="AH238">
        <f ca="1">IF(VALUE(RIGHT(AH30,3)),VALUE(RIGHT(AH30,3))*SUM(OFFSET('2.3家乡建筑'!$AQ126,,,VALUE(LEFT(AH30,2)))),)</f>
        <v>16400000</v>
      </c>
      <c r="AI238">
        <f ca="1">IF(VALUE(RIGHT(AI30,3)),VALUE(RIGHT(AI30,3))*SUM(OFFSET('2.3家乡建筑'!$AQ126,,,VALUE(LEFT(AI30,2)))),)</f>
        <v>28400000</v>
      </c>
      <c r="AJ238">
        <f ca="1">IF(VALUE(RIGHT(AJ30,3)),VALUE(RIGHT(AJ30,3))*SUM(OFFSET('2.3家乡建筑'!$AQ126,,,VALUE(LEFT(AJ30,2)))),)</f>
        <v>35500000</v>
      </c>
      <c r="AK238">
        <f ca="1">IF(VALUE(RIGHT(AK30,3)),VALUE(RIGHT(AK30,3))*SUM(OFFSET('2.3家乡建筑'!$AQ126,,,VALUE(LEFT(AK30,2)))),)</f>
        <v>54500000</v>
      </c>
      <c r="AL238">
        <f ca="1">IF(VALUE(RIGHT(AL30,3)),VALUE(RIGHT(AL30,3))*SUM(OFFSET('2.3家乡建筑'!$AQ126,,,VALUE(LEFT(AL30,2)))),)</f>
        <v>104400000</v>
      </c>
      <c r="AM238">
        <f ca="1">IF(VALUE(RIGHT(AM30,3)),VALUE(RIGHT(AM30,3))*SUM(OFFSET('2.3家乡建筑'!$AQ126,,,VALUE(LEFT(AM30,2)))),)</f>
        <v>158400000</v>
      </c>
      <c r="AN238">
        <f ca="1">IF(VALUE(RIGHT(AN30,3)),VALUE(RIGHT(AN30,3))*SUM(OFFSET('2.3家乡建筑'!$AQ126,,,VALUE(LEFT(AN30,2)))),)</f>
        <v>184800000</v>
      </c>
      <c r="AO238">
        <f ca="1">IF(VALUE(RIGHT(AO30,3)),VALUE(RIGHT(AO30,3))*SUM(OFFSET('2.3家乡建筑'!$AQ126,,,VALUE(LEFT(AO30,2)))),)</f>
        <v>184800000</v>
      </c>
      <c r="AX238" s="28">
        <v>50000</v>
      </c>
      <c r="AY238" s="28" t="s">
        <v>4751</v>
      </c>
      <c r="AZ238" s="28" t="s">
        <v>4750</v>
      </c>
      <c r="BA238" s="28" t="s">
        <v>3432</v>
      </c>
      <c r="BB238" s="28">
        <v>120</v>
      </c>
      <c r="CD238" s="38">
        <v>234</v>
      </c>
      <c r="CE238" s="38">
        <f t="shared" si="87"/>
        <v>3.7094159511641527</v>
      </c>
      <c r="CF238" s="38">
        <f t="shared" si="91"/>
        <v>234.17316</v>
      </c>
      <c r="CG238" s="38">
        <f t="shared" si="86"/>
        <v>235</v>
      </c>
      <c r="CP238" s="40">
        <v>586</v>
      </c>
      <c r="CQ238" s="41" t="s">
        <v>3898</v>
      </c>
      <c r="CR238" s="41" t="s">
        <v>3899</v>
      </c>
      <c r="CS238" s="41">
        <v>100</v>
      </c>
      <c r="CT238" s="41">
        <v>3</v>
      </c>
      <c r="CU238" s="41">
        <v>60</v>
      </c>
      <c r="CV238" s="41">
        <v>5</v>
      </c>
      <c r="CW238" s="40"/>
      <c r="CX238" s="41" t="s">
        <v>4716</v>
      </c>
      <c r="CY238" s="40" t="s">
        <v>3096</v>
      </c>
      <c r="DB238" s="45" t="s">
        <v>5321</v>
      </c>
      <c r="DC238" s="7" t="str">
        <f ca="1">IF($DC$12&gt;0,OFFSET(DD238,0,$DC$12-1),)</f>
        <v>04_100</v>
      </c>
      <c r="DD238" t="s">
        <v>4880</v>
      </c>
      <c r="DE238" t="s">
        <v>5498</v>
      </c>
      <c r="DF238" t="s">
        <v>5903</v>
      </c>
      <c r="DG238" t="s">
        <v>5904</v>
      </c>
    </row>
    <row r="239" spans="4:112" ht="14.6">
      <c r="D239" s="6" t="str">
        <f t="shared" si="84"/>
        <v>都城建筑-&gt;野蛮人攻城槌训练营</v>
      </c>
      <c r="E239" s="6" t="str">
        <f t="shared" si="89"/>
        <v>#'4.2都城建筑'!BB30:BG36</v>
      </c>
      <c r="F239" s="6" t="s">
        <v>1882</v>
      </c>
      <c r="G239" s="6" t="s">
        <v>5905</v>
      </c>
      <c r="H239" s="6" t="s">
        <v>5872</v>
      </c>
      <c r="I239" t="s">
        <v>5828</v>
      </c>
      <c r="J239" t="s">
        <v>4829</v>
      </c>
      <c r="K239" t="s">
        <v>4830</v>
      </c>
      <c r="L239" t="s">
        <v>4831</v>
      </c>
      <c r="M239" t="s">
        <v>5167</v>
      </c>
      <c r="N239" t="s">
        <v>5168</v>
      </c>
      <c r="O239" t="s">
        <v>5835</v>
      </c>
      <c r="P239" t="s">
        <v>5215</v>
      </c>
      <c r="Q239" t="s">
        <v>5216</v>
      </c>
      <c r="R239" t="s">
        <v>5217</v>
      </c>
      <c r="S239">
        <f t="array" ref="S239">SUM(IFERROR(IF(MATCH(I239:R239,$F$4:$Q$4,0)&gt;0,1,0),0))</f>
        <v>0</v>
      </c>
      <c r="T239">
        <f t="shared" ca="1" si="85"/>
        <v>37</v>
      </c>
      <c r="U239">
        <f ca="1">T239+COUNTIF(T$5:$T238,T239)</f>
        <v>244</v>
      </c>
      <c r="Y239" s="12" t="s">
        <v>112</v>
      </c>
      <c r="AA239">
        <f ca="1">IF(VALUE(RIGHT(AA31,3)),VALUE(RIGHT(AA31,3))*SUM(OFFSET('2.3家乡建筑'!$AX117,,,VALUE(LEFT(AA31,2)))),)</f>
        <v>0</v>
      </c>
      <c r="AB239">
        <f ca="1">IF(VALUE(RIGHT(AB31,3)),VALUE(RIGHT(AB31,3))*SUM(OFFSET('2.3家乡建筑'!$AX117,,,VALUE(LEFT(AB31,2)))),)</f>
        <v>0</v>
      </c>
      <c r="AC239">
        <f ca="1">IF(VALUE(RIGHT(AC31,3)),VALUE(RIGHT(AC31,3))*SUM(OFFSET('2.3家乡建筑'!$AX117,,,VALUE(LEFT(AC31,2)))),)</f>
        <v>0</v>
      </c>
      <c r="AD239">
        <f ca="1">IF(VALUE(RIGHT(AD31,3)),VALUE(RIGHT(AD31,3))*SUM(OFFSET('2.3家乡建筑'!$AX117,,,VALUE(LEFT(AD31,2)))),)</f>
        <v>0</v>
      </c>
      <c r="AE239">
        <f ca="1">IF(VALUE(RIGHT(AE31,3)),VALUE(RIGHT(AE31,3))*SUM(OFFSET('2.3家乡建筑'!$AX117,,,VALUE(LEFT(AE31,2)))),)</f>
        <v>0</v>
      </c>
      <c r="AF239">
        <f ca="1">IF(VALUE(RIGHT(AF31,3)),VALUE(RIGHT(AF31,3))*SUM(OFFSET('2.3家乡建筑'!$AX117,,,VALUE(LEFT(AF31,2)))),)</f>
        <v>0</v>
      </c>
      <c r="AG239">
        <f ca="1">IF(VALUE(RIGHT(AG31,3)),VALUE(RIGHT(AG31,3))*SUM(OFFSET('2.3家乡建筑'!$AX117,,,VALUE(LEFT(AG31,2)))),)</f>
        <v>15000</v>
      </c>
      <c r="AH239">
        <f ca="1">IF(VALUE(RIGHT(AH31,3)),VALUE(RIGHT(AH31,3))*SUM(OFFSET('2.3家乡建筑'!$AX117,,,VALUE(LEFT(AH31,2)))),)</f>
        <v>30000</v>
      </c>
      <c r="AI239">
        <f ca="1">IF(VALUE(RIGHT(AI31,3)),VALUE(RIGHT(AI31,3))*SUM(OFFSET('2.3家乡建筑'!$AX117,,,VALUE(LEFT(AI31,2)))),)</f>
        <v>4060000</v>
      </c>
      <c r="AJ239">
        <f ca="1">IF(VALUE(RIGHT(AJ31,3)),VALUE(RIGHT(AJ31,3))*SUM(OFFSET('2.3家乡建筑'!$AX117,,,VALUE(LEFT(AJ31,2)))),)</f>
        <v>15575000</v>
      </c>
      <c r="AK239">
        <f ca="1">IF(VALUE(RIGHT(AK31,3)),VALUE(RIGHT(AK31,3))*SUM(OFFSET('2.3家乡建筑'!$AX117,,,VALUE(LEFT(AK31,2)))),)</f>
        <v>15575000</v>
      </c>
      <c r="AL239">
        <f ca="1">IF(VALUE(RIGHT(AL31,3)),VALUE(RIGHT(AL31,3))*SUM(OFFSET('2.3家乡建筑'!$AX117,,,VALUE(LEFT(AL31,2)))),)</f>
        <v>18690000</v>
      </c>
      <c r="AM239">
        <f ca="1">IF(VALUE(RIGHT(AM31,3)),VALUE(RIGHT(AM31,3))*SUM(OFFSET('2.3家乡建筑'!$AX117,,,VALUE(LEFT(AM31,2)))),)</f>
        <v>53305000</v>
      </c>
      <c r="AN239">
        <f ca="1">IF(VALUE(RIGHT(AN31,3)),VALUE(RIGHT(AN31,3))*SUM(OFFSET('2.3家乡建筑'!$AX117,,,VALUE(LEFT(AN31,2)))),)</f>
        <v>60920000</v>
      </c>
      <c r="AO239">
        <f ca="1">IF(VALUE(RIGHT(AO31,3)),VALUE(RIGHT(AO31,3))*SUM(OFFSET('2.3家乡建筑'!$AX117,,,VALUE(LEFT(AO31,2)))),)</f>
        <v>60920000</v>
      </c>
      <c r="AX239" s="28">
        <v>3000</v>
      </c>
      <c r="AY239" t="s">
        <v>4739</v>
      </c>
      <c r="AZ239" t="s">
        <v>4713</v>
      </c>
      <c r="BA239" t="s">
        <v>5467</v>
      </c>
      <c r="BB239" s="28">
        <v>20</v>
      </c>
      <c r="CD239" s="38">
        <v>235</v>
      </c>
      <c r="CE239" s="38">
        <f t="shared" si="87"/>
        <v>3.7115481473261998</v>
      </c>
      <c r="CF239" s="38">
        <f t="shared" si="91"/>
        <v>235.17254</v>
      </c>
      <c r="CG239" s="38">
        <f t="shared" si="86"/>
        <v>236</v>
      </c>
      <c r="CP239" s="40">
        <v>587</v>
      </c>
      <c r="CQ239" s="41" t="s">
        <v>3897</v>
      </c>
      <c r="CR239" s="41" t="s">
        <v>3903</v>
      </c>
      <c r="CS239" s="41">
        <v>100</v>
      </c>
      <c r="CT239" s="41">
        <v>3</v>
      </c>
      <c r="CU239" s="41">
        <v>60</v>
      </c>
      <c r="CV239" s="41">
        <v>5</v>
      </c>
      <c r="CW239" s="40"/>
      <c r="CX239" s="41" t="s">
        <v>4716</v>
      </c>
      <c r="CY239" s="40" t="s">
        <v>3096</v>
      </c>
      <c r="DB239" s="45" t="s">
        <v>2</v>
      </c>
      <c r="DC239" s="7" t="str">
        <f t="shared" ref="DC239:DC249" ca="1" si="92">IF($DC$12&gt;0,OFFSET(DD239,0,$DC$12-1),)</f>
        <v>04_006</v>
      </c>
      <c r="DD239" t="s">
        <v>4960</v>
      </c>
      <c r="DE239" t="s">
        <v>5094</v>
      </c>
      <c r="DF239" t="s">
        <v>5058</v>
      </c>
      <c r="DG239" t="s">
        <v>4899</v>
      </c>
    </row>
    <row r="240" spans="4:112" ht="14.6">
      <c r="D240" s="6" t="str">
        <f t="shared" si="84"/>
        <v>都城建筑-&gt;亡灵训练营</v>
      </c>
      <c r="E240" s="6" t="str">
        <f t="shared" si="89"/>
        <v>#'4.2都城建筑'!AL40:AQ46</v>
      </c>
      <c r="F240" s="6" t="s">
        <v>1884</v>
      </c>
      <c r="G240" s="6" t="s">
        <v>5906</v>
      </c>
      <c r="H240" s="6" t="s">
        <v>5872</v>
      </c>
      <c r="I240" s="6" t="s">
        <v>5828</v>
      </c>
      <c r="J240" s="6" t="s">
        <v>5168</v>
      </c>
      <c r="K240" t="s">
        <v>4802</v>
      </c>
      <c r="L240" t="s">
        <v>4803</v>
      </c>
      <c r="M240" t="s">
        <v>5215</v>
      </c>
      <c r="N240" t="s">
        <v>5216</v>
      </c>
      <c r="O240" t="s">
        <v>5217</v>
      </c>
      <c r="P240" t="s">
        <v>4782</v>
      </c>
      <c r="Q240" t="s">
        <v>4782</v>
      </c>
      <c r="R240" t="s">
        <v>4782</v>
      </c>
      <c r="S240">
        <f t="array" ref="S240">SUM(IFERROR(IF(MATCH(I240:R240,$F$4:$Q$4,0)&gt;0,1,0),0))</f>
        <v>0</v>
      </c>
      <c r="T240">
        <f t="shared" ca="1" si="85"/>
        <v>37</v>
      </c>
      <c r="U240">
        <f ca="1">T240+COUNTIF(T$5:$T239,T240)</f>
        <v>245</v>
      </c>
      <c r="Y240" s="12" t="s">
        <v>116</v>
      </c>
      <c r="AA240">
        <f ca="1">IF(VALUE(RIGHT(AA32,3)),VALUE(RIGHT(AA32,3))*SUM(OFFSET('2.3家乡建筑'!$AX107,,,VALUE(LEFT(AA32,2)))),)</f>
        <v>0</v>
      </c>
      <c r="AB240">
        <f ca="1">IF(VALUE(RIGHT(AB32,3)),VALUE(RIGHT(AB32,3))*SUM(OFFSET('2.3家乡建筑'!$AX107,,,VALUE(LEFT(AB32,2)))),)</f>
        <v>0</v>
      </c>
      <c r="AC240">
        <f ca="1">IF(VALUE(RIGHT(AC32,3)),VALUE(RIGHT(AC32,3))*SUM(OFFSET('2.3家乡建筑'!$AX107,,,VALUE(LEFT(AC32,2)))),)</f>
        <v>0</v>
      </c>
      <c r="AD240">
        <f ca="1">IF(VALUE(RIGHT(AD32,3)),VALUE(RIGHT(AD32,3))*SUM(OFFSET('2.3家乡建筑'!$AX107,,,VALUE(LEFT(AD32,2)))),)</f>
        <v>4000</v>
      </c>
      <c r="AE240">
        <f ca="1">IF(VALUE(RIGHT(AE32,3)),VALUE(RIGHT(AE32,3))*SUM(OFFSET('2.3家乡建筑'!$AX107,,,VALUE(LEFT(AE32,2)))),)</f>
        <v>4000</v>
      </c>
      <c r="AF240">
        <f ca="1">IF(VALUE(RIGHT(AF32,3)),VALUE(RIGHT(AF32,3))*SUM(OFFSET('2.3家乡建筑'!$AX107,,,VALUE(LEFT(AF32,2)))),)</f>
        <v>8000</v>
      </c>
      <c r="AG240">
        <f ca="1">IF(VALUE(RIGHT(AG32,3)),VALUE(RIGHT(AG32,3))*SUM(OFFSET('2.3家乡建筑'!$AX107,,,VALUE(LEFT(AG32,2)))),)</f>
        <v>1208000</v>
      </c>
      <c r="AH240">
        <f ca="1">IF(VALUE(RIGHT(AH32,3)),VALUE(RIGHT(AH32,3))*SUM(OFFSET('2.3家乡建筑'!$AX107,,,VALUE(LEFT(AH32,2)))),)</f>
        <v>4812000</v>
      </c>
      <c r="AI240">
        <f ca="1">IF(VALUE(RIGHT(AI32,3)),VALUE(RIGHT(AI32,3))*SUM(OFFSET('2.3家乡建筑'!$AX107,,,VALUE(LEFT(AI32,2)))),)</f>
        <v>9612000</v>
      </c>
      <c r="AJ240">
        <f ca="1">IF(VALUE(RIGHT(AJ32,3)),VALUE(RIGHT(AJ32,3))*SUM(OFFSET('2.3家乡建筑'!$AX107,,,VALUE(LEFT(AJ32,2)))),)</f>
        <v>15612000</v>
      </c>
      <c r="AK240">
        <f ca="1">IF(VALUE(RIGHT(AK32,3)),VALUE(RIGHT(AK32,3))*SUM(OFFSET('2.3家乡建筑'!$AX107,,,VALUE(LEFT(AK32,2)))),)</f>
        <v>15612000</v>
      </c>
      <c r="AL240">
        <f ca="1">IF(VALUE(RIGHT(AL32,3)),VALUE(RIGHT(AL32,3))*SUM(OFFSET('2.3家乡建筑'!$AX107,,,VALUE(LEFT(AL32,2)))),)</f>
        <v>20816000</v>
      </c>
      <c r="AM240">
        <f ca="1">IF(VALUE(RIGHT(AM32,3)),VALUE(RIGHT(AM32,3))*SUM(OFFSET('2.3家乡建筑'!$AX107,,,VALUE(LEFT(AM32,2)))),)</f>
        <v>23418000</v>
      </c>
      <c r="AN240">
        <f ca="1">IF(VALUE(RIGHT(AN32,3)),VALUE(RIGHT(AN32,3))*SUM(OFFSET('2.3家乡建筑'!$AX107,,,VALUE(LEFT(AN32,2)))),)</f>
        <v>23418000</v>
      </c>
      <c r="AO240">
        <f ca="1">IF(VALUE(RIGHT(AO32,3)),VALUE(RIGHT(AO32,3))*SUM(OFFSET('2.3家乡建筑'!$AX107,,,VALUE(LEFT(AO32,2)))),)</f>
        <v>23418000</v>
      </c>
      <c r="AX240" s="28">
        <v>7500</v>
      </c>
      <c r="AY240" t="s">
        <v>4845</v>
      </c>
      <c r="AZ240" t="s">
        <v>5455</v>
      </c>
      <c r="BA240" t="s">
        <v>5907</v>
      </c>
      <c r="BB240" s="28">
        <v>40</v>
      </c>
      <c r="CD240" s="38">
        <v>236</v>
      </c>
      <c r="CE240" s="38">
        <f t="shared" si="87"/>
        <v>3.7136712895767308</v>
      </c>
      <c r="CF240" s="38">
        <f t="shared" si="91"/>
        <v>236.17192</v>
      </c>
      <c r="CG240" s="38">
        <f t="shared" si="86"/>
        <v>237</v>
      </c>
      <c r="CP240" s="40">
        <v>588</v>
      </c>
      <c r="CQ240" s="41" t="s">
        <v>3907</v>
      </c>
      <c r="CR240" s="41" t="s">
        <v>3908</v>
      </c>
      <c r="CS240" s="41">
        <v>100</v>
      </c>
      <c r="CT240" s="41">
        <v>3</v>
      </c>
      <c r="CU240" s="41">
        <v>60</v>
      </c>
      <c r="CV240" s="41">
        <v>5</v>
      </c>
      <c r="CW240" s="40"/>
      <c r="CX240" s="41" t="s">
        <v>4716</v>
      </c>
      <c r="CY240" s="40" t="s">
        <v>3096</v>
      </c>
      <c r="DB240" s="45" t="s">
        <v>177</v>
      </c>
      <c r="DC240" s="7" t="str">
        <f t="shared" ca="1" si="92"/>
        <v>04_008</v>
      </c>
      <c r="DD240" t="s">
        <v>4895</v>
      </c>
      <c r="DE240" t="s">
        <v>5094</v>
      </c>
      <c r="DF240" t="s">
        <v>5095</v>
      </c>
      <c r="DG240" t="s">
        <v>4992</v>
      </c>
    </row>
    <row r="241" spans="4:111" ht="14.6">
      <c r="D241" s="6" t="str">
        <f t="shared" si="84"/>
        <v>都城建筑-&gt;超级法师训练营</v>
      </c>
      <c r="E241" s="6" t="str">
        <f t="shared" si="89"/>
        <v>#'4.2都城建筑'!AT40:AY46</v>
      </c>
      <c r="F241" s="6" t="s">
        <v>1887</v>
      </c>
      <c r="G241" s="6" t="s">
        <v>5908</v>
      </c>
      <c r="H241" s="6" t="s">
        <v>5872</v>
      </c>
      <c r="I241" s="6" t="s">
        <v>5828</v>
      </c>
      <c r="J241" s="6" t="s">
        <v>5168</v>
      </c>
      <c r="K241" t="s">
        <v>5085</v>
      </c>
      <c r="L241" t="s">
        <v>5155</v>
      </c>
      <c r="M241" t="s">
        <v>5037</v>
      </c>
      <c r="N241" t="s">
        <v>5038</v>
      </c>
      <c r="O241" t="s">
        <v>5215</v>
      </c>
      <c r="P241" t="s">
        <v>5216</v>
      </c>
      <c r="Q241" t="s">
        <v>5217</v>
      </c>
      <c r="R241" t="s">
        <v>4782</v>
      </c>
      <c r="S241">
        <f t="array" ref="S241">SUM(IFERROR(IF(MATCH(I241:R241,$F$4:$Q$4,0)&gt;0,1,0),0))</f>
        <v>0</v>
      </c>
      <c r="T241">
        <f t="shared" ca="1" si="85"/>
        <v>37</v>
      </c>
      <c r="U241">
        <f ca="1">T241+COUNTIF(T$5:$T240,T241)</f>
        <v>246</v>
      </c>
      <c r="Y241" s="12" t="s">
        <v>121</v>
      </c>
      <c r="AA241">
        <f ca="1">IF(VALUE(RIGHT(AA33,3)),VALUE(RIGHT(AA33,3))*SUM(OFFSET('2.3家乡建筑'!$BF108,,,VALUE(LEFT(AA33,2)))),)</f>
        <v>0</v>
      </c>
      <c r="AB241">
        <f ca="1">IF(VALUE(RIGHT(AB33,3)),VALUE(RIGHT(AB33,3))*SUM(OFFSET('2.3家乡建筑'!$BF108,,,VALUE(LEFT(AB33,2)))),)</f>
        <v>0</v>
      </c>
      <c r="AC241">
        <f ca="1">IF(VALUE(RIGHT(AC33,3)),VALUE(RIGHT(AC33,3))*SUM(OFFSET('2.3家乡建筑'!$BF108,,,VALUE(LEFT(AC33,2)))),)</f>
        <v>0</v>
      </c>
      <c r="AD241">
        <f ca="1">IF(VALUE(RIGHT(AD33,3)),VALUE(RIGHT(AD33,3))*SUM(OFFSET('2.3家乡建筑'!$BF108,,,VALUE(LEFT(AD33,2)))),)</f>
        <v>0</v>
      </c>
      <c r="AE241">
        <f ca="1">IF(VALUE(RIGHT(AE33,3)),VALUE(RIGHT(AE33,3))*SUM(OFFSET('2.3家乡建筑'!$BF108,,,VALUE(LEFT(AE33,2)))),)</f>
        <v>0</v>
      </c>
      <c r="AF241">
        <f ca="1">IF(VALUE(RIGHT(AF33,3)),VALUE(RIGHT(AF33,3))*SUM(OFFSET('2.3家乡建筑'!$BF108,,,VALUE(LEFT(AF33,2)))),)</f>
        <v>87500</v>
      </c>
      <c r="AG241">
        <f ca="1">IF(VALUE(RIGHT(AG33,3)),VALUE(RIGHT(AG33,3))*SUM(OFFSET('2.3家乡建筑'!$BF108,,,VALUE(LEFT(AG33,2)))),)</f>
        <v>175000</v>
      </c>
      <c r="AH241">
        <f ca="1">IF(VALUE(RIGHT(AH33,3)),VALUE(RIGHT(AH33,3))*SUM(OFFSET('2.3家乡建筑'!$BF108,,,VALUE(LEFT(AH33,2)))),)</f>
        <v>2062500</v>
      </c>
      <c r="AI241">
        <f ca="1">IF(VALUE(RIGHT(AI33,3)),VALUE(RIGHT(AI33,3))*SUM(OFFSET('2.3家乡建筑'!$BF108,,,VALUE(LEFT(AI33,2)))),)</f>
        <v>2750000</v>
      </c>
      <c r="AJ241">
        <f ca="1">IF(VALUE(RIGHT(AJ33,3)),VALUE(RIGHT(AJ33,3))*SUM(OFFSET('2.3家乡建筑'!$BF108,,,VALUE(LEFT(AJ33,2)))),)</f>
        <v>13437500</v>
      </c>
      <c r="AK241">
        <f ca="1">IF(VALUE(RIGHT(AK33,3)),VALUE(RIGHT(AK33,3))*SUM(OFFSET('2.3家乡建筑'!$BF108,,,VALUE(LEFT(AK33,2)))),)</f>
        <v>25937500</v>
      </c>
      <c r="AL241">
        <f ca="1">IF(VALUE(RIGHT(AL33,3)),VALUE(RIGHT(AL33,3))*SUM(OFFSET('2.3家乡建筑'!$BF108,,,VALUE(LEFT(AL33,2)))),)</f>
        <v>31125000</v>
      </c>
      <c r="AM241">
        <f ca="1">IF(VALUE(RIGHT(AM33,3)),VALUE(RIGHT(AM33,3))*SUM(OFFSET('2.3家乡建筑'!$BF108,,,VALUE(LEFT(AM33,2)))),)</f>
        <v>85125000</v>
      </c>
      <c r="AN241">
        <f ca="1">IF(VALUE(RIGHT(AN33,3)),VALUE(RIGHT(AN33,3))*SUM(OFFSET('2.3家乡建筑'!$BF108,,,VALUE(LEFT(AN33,2)))),)</f>
        <v>158812500</v>
      </c>
      <c r="AO241">
        <f ca="1">IF(VALUE(RIGHT(AO33,3)),VALUE(RIGHT(AO33,3))*SUM(OFFSET('2.3家乡建筑'!$BF108,,,VALUE(LEFT(AO33,2)))),)</f>
        <v>158812500</v>
      </c>
      <c r="AX241" s="28">
        <v>12000</v>
      </c>
      <c r="AY241" t="s">
        <v>4910</v>
      </c>
      <c r="AZ241" t="s">
        <v>4909</v>
      </c>
      <c r="BA241" t="s">
        <v>4795</v>
      </c>
      <c r="BB241" s="28">
        <v>60</v>
      </c>
      <c r="CD241" s="38">
        <v>237</v>
      </c>
      <c r="CE241" s="38">
        <f t="shared" si="87"/>
        <v>3.7157854544815931</v>
      </c>
      <c r="CF241" s="38">
        <f t="shared" si="91"/>
        <v>237.17131000000001</v>
      </c>
      <c r="CG241" s="38">
        <f t="shared" si="86"/>
        <v>238</v>
      </c>
      <c r="CP241" s="40">
        <v>589</v>
      </c>
      <c r="CQ241" s="41" t="s">
        <v>3902</v>
      </c>
      <c r="CR241" s="41" t="s">
        <v>3912</v>
      </c>
      <c r="CS241" s="41">
        <v>100</v>
      </c>
      <c r="CT241" s="41">
        <v>3</v>
      </c>
      <c r="CU241" s="41">
        <v>100</v>
      </c>
      <c r="CV241" s="41">
        <v>5</v>
      </c>
      <c r="CW241" s="40"/>
      <c r="CX241" s="41" t="s">
        <v>4716</v>
      </c>
      <c r="CY241" s="40" t="s">
        <v>3096</v>
      </c>
      <c r="DB241" s="45" t="s">
        <v>26</v>
      </c>
      <c r="DC241" s="7" t="str">
        <f t="shared" ca="1" si="92"/>
        <v>04_005</v>
      </c>
      <c r="DD241" t="s">
        <v>5248</v>
      </c>
      <c r="DE241" t="s">
        <v>5206</v>
      </c>
      <c r="DF241" t="s">
        <v>4897</v>
      </c>
      <c r="DG241" t="s">
        <v>4898</v>
      </c>
    </row>
    <row r="242" spans="4:111" ht="14.6">
      <c r="D242" s="6" t="str">
        <f t="shared" si="84"/>
        <v>都城建筑-&gt;火箭气球兵训练营</v>
      </c>
      <c r="E242" s="6" t="str">
        <f t="shared" si="89"/>
        <v>#'4.2都城建筑'!BB40:BG46</v>
      </c>
      <c r="F242" s="6" t="s">
        <v>1890</v>
      </c>
      <c r="G242" s="6" t="s">
        <v>5909</v>
      </c>
      <c r="H242" s="6" t="s">
        <v>5872</v>
      </c>
      <c r="I242" s="6" t="s">
        <v>5828</v>
      </c>
      <c r="J242" s="6" t="s">
        <v>5168</v>
      </c>
      <c r="K242" t="s">
        <v>5149</v>
      </c>
      <c r="L242" t="s">
        <v>4870</v>
      </c>
      <c r="M242" t="s">
        <v>5022</v>
      </c>
      <c r="N242" t="s">
        <v>5023</v>
      </c>
      <c r="O242" t="s">
        <v>5024</v>
      </c>
      <c r="P242" t="s">
        <v>5215</v>
      </c>
      <c r="Q242" t="s">
        <v>5216</v>
      </c>
      <c r="R242" t="s">
        <v>5217</v>
      </c>
      <c r="S242">
        <f t="array" ref="S242">SUM(IFERROR(IF(MATCH(I242:R242,$F$4:$Q$4,0)&gt;0,1,0),0))</f>
        <v>0</v>
      </c>
      <c r="T242">
        <f t="shared" ca="1" si="85"/>
        <v>37</v>
      </c>
      <c r="U242">
        <f ca="1">T242+COUNTIF(T$5:$T241,T242)</f>
        <v>247</v>
      </c>
      <c r="Y242" s="12" t="s">
        <v>124</v>
      </c>
      <c r="AA242">
        <f ca="1">IF(VALUE(RIGHT(AA34,3)),VALUE(RIGHT(AA34,3))*SUM(OFFSET('2.3家乡建筑'!$BE121,,,VALUE(LEFT(AA34,2)))),)</f>
        <v>0</v>
      </c>
      <c r="AB242">
        <f ca="1">IF(VALUE(RIGHT(AB34,3)),VALUE(RIGHT(AB34,3))*SUM(OFFSET('2.3家乡建筑'!$BE121,,,VALUE(LEFT(AB34,2)))),)</f>
        <v>0</v>
      </c>
      <c r="AC242">
        <f ca="1">IF(VALUE(RIGHT(AC34,3)),VALUE(RIGHT(AC34,3))*SUM(OFFSET('2.3家乡建筑'!$BE121,,,VALUE(LEFT(AC34,2)))),)</f>
        <v>0</v>
      </c>
      <c r="AD242">
        <f ca="1">IF(VALUE(RIGHT(AD34,3)),VALUE(RIGHT(AD34,3))*SUM(OFFSET('2.3家乡建筑'!$BE121,,,VALUE(LEFT(AD34,2)))),)</f>
        <v>0</v>
      </c>
      <c r="AE242">
        <f ca="1">IF(VALUE(RIGHT(AE34,3)),VALUE(RIGHT(AE34,3))*SUM(OFFSET('2.3家乡建筑'!$BE121,,,VALUE(LEFT(AE34,2)))),)</f>
        <v>0</v>
      </c>
      <c r="AF242">
        <f ca="1">IF(VALUE(RIGHT(AF34,3)),VALUE(RIGHT(AF34,3))*SUM(OFFSET('2.3家乡建筑'!$BE121,,,VALUE(LEFT(AF34,2)))),)</f>
        <v>0</v>
      </c>
      <c r="AG242">
        <f ca="1">IF(VALUE(RIGHT(AG34,3)),VALUE(RIGHT(AG34,3))*SUM(OFFSET('2.3家乡建筑'!$BE121,,,VALUE(LEFT(AG34,2)))),)</f>
        <v>0</v>
      </c>
      <c r="AH242">
        <f ca="1">IF(VALUE(RIGHT(AH34,3)),VALUE(RIGHT(AH34,3))*SUM(OFFSET('2.3家乡建筑'!$BE121,,,VALUE(LEFT(AH34,2)))),)</f>
        <v>912000</v>
      </c>
      <c r="AI242">
        <f ca="1">IF(VALUE(RIGHT(AI34,3)),VALUE(RIGHT(AI34,3))*SUM(OFFSET('2.3家乡建筑'!$BE121,,,VALUE(LEFT(AI34,2)))),)</f>
        <v>2712000</v>
      </c>
      <c r="AJ242">
        <f ca="1">IF(VALUE(RIGHT(AJ34,3)),VALUE(RIGHT(AJ34,3))*SUM(OFFSET('2.3家乡建筑'!$BE121,,,VALUE(LEFT(AJ34,2)))),)</f>
        <v>8568000</v>
      </c>
      <c r="AK242">
        <f ca="1">IF(VALUE(RIGHT(AK34,3)),VALUE(RIGHT(AK34,3))*SUM(OFFSET('2.3家乡建筑'!$BE121,,,VALUE(LEFT(AK34,2)))),)</f>
        <v>8568000</v>
      </c>
      <c r="AL242">
        <f ca="1">IF(VALUE(RIGHT(AL34,3)),VALUE(RIGHT(AL34,3))*SUM(OFFSET('2.3家乡建筑'!$BE121,,,VALUE(LEFT(AL34,2)))),)</f>
        <v>8568000</v>
      </c>
      <c r="AM242">
        <f ca="1">IF(VALUE(RIGHT(AM34,3)),VALUE(RIGHT(AM34,3))*SUM(OFFSET('2.3家乡建筑'!$BE121,,,VALUE(LEFT(AM34,2)))),)</f>
        <v>8568000</v>
      </c>
      <c r="AN242">
        <f ca="1">IF(VALUE(RIGHT(AN34,3)),VALUE(RIGHT(AN34,3))*SUM(OFFSET('2.3家乡建筑'!$BE121,,,VALUE(LEFT(AN34,2)))),)</f>
        <v>11424000</v>
      </c>
      <c r="AO242">
        <f ca="1">IF(VALUE(RIGHT(AO34,3)),VALUE(RIGHT(AO34,3))*SUM(OFFSET('2.3家乡建筑'!$BE121,,,VALUE(LEFT(AO34,2)))),)</f>
        <v>11424000</v>
      </c>
      <c r="AX242" s="28">
        <v>18000</v>
      </c>
      <c r="AY242" t="s">
        <v>4823</v>
      </c>
      <c r="AZ242" t="s">
        <v>4747</v>
      </c>
      <c r="BA242" t="s">
        <v>4855</v>
      </c>
      <c r="BB242" s="28">
        <v>80</v>
      </c>
      <c r="CD242" s="38">
        <v>238</v>
      </c>
      <c r="CE242" s="38">
        <f t="shared" si="87"/>
        <v>3.717890717639488</v>
      </c>
      <c r="CF242" s="38">
        <f t="shared" si="91"/>
        <v>238.17070000000001</v>
      </c>
      <c r="CG242" s="38">
        <f t="shared" si="86"/>
        <v>239</v>
      </c>
      <c r="CP242" s="40">
        <v>590</v>
      </c>
      <c r="CQ242" s="41" t="s">
        <v>3911</v>
      </c>
      <c r="CR242" s="41" t="s">
        <v>3917</v>
      </c>
      <c r="CS242" s="41">
        <v>100</v>
      </c>
      <c r="CT242" s="41">
        <v>3</v>
      </c>
      <c r="CU242" s="41">
        <v>60</v>
      </c>
      <c r="CV242" s="41">
        <v>5</v>
      </c>
      <c r="CW242" s="40"/>
      <c r="CX242" s="41" t="s">
        <v>4716</v>
      </c>
      <c r="CY242" s="40" t="s">
        <v>3096</v>
      </c>
      <c r="DB242" s="45" t="s">
        <v>178</v>
      </c>
      <c r="DC242" s="7" t="str">
        <f t="shared" ca="1" si="92"/>
        <v>04_004</v>
      </c>
      <c r="DD242" t="s">
        <v>4989</v>
      </c>
      <c r="DE242" t="s">
        <v>5206</v>
      </c>
      <c r="DF242" t="s">
        <v>5073</v>
      </c>
      <c r="DG242" t="s">
        <v>5050</v>
      </c>
    </row>
    <row r="243" spans="4:111" ht="14.6">
      <c r="D243" s="6" t="str">
        <f t="shared" si="84"/>
        <v>都城建筑-&gt;骷髅飞桶训练营</v>
      </c>
      <c r="E243" s="6" t="str">
        <f t="shared" si="89"/>
        <v>#'4.2都城建筑'!AL50:AQ56</v>
      </c>
      <c r="F243" s="6" t="s">
        <v>1895</v>
      </c>
      <c r="G243" s="6" t="s">
        <v>5910</v>
      </c>
      <c r="H243" s="6" t="s">
        <v>5872</v>
      </c>
      <c r="I243" s="6" t="s">
        <v>5828</v>
      </c>
      <c r="J243" s="6" t="s">
        <v>5168</v>
      </c>
      <c r="K243" t="s">
        <v>5010</v>
      </c>
      <c r="L243" t="s">
        <v>5234</v>
      </c>
      <c r="M243" t="s">
        <v>4968</v>
      </c>
      <c r="N243" t="s">
        <v>5845</v>
      </c>
      <c r="O243" t="s">
        <v>5215</v>
      </c>
      <c r="P243" t="s">
        <v>5216</v>
      </c>
      <c r="Q243" t="s">
        <v>5217</v>
      </c>
      <c r="R243" t="s">
        <v>4782</v>
      </c>
      <c r="S243">
        <f t="array" ref="S243">SUM(IFERROR(IF(MATCH(I243:R243,$F$4:$Q$4,0)&gt;0,1,0),0))</f>
        <v>1</v>
      </c>
      <c r="T243">
        <f t="shared" ca="1" si="85"/>
        <v>20</v>
      </c>
      <c r="U243">
        <f ca="1">T243+COUNTIF(T$5:$T242,T243)</f>
        <v>33</v>
      </c>
      <c r="Y243" s="12" t="s">
        <v>127</v>
      </c>
      <c r="AA243">
        <f ca="1">IF(VALUE(RIGHT(AA35,3)),VALUE(RIGHT(AA35,3))*SUM(OFFSET('2.3家乡建筑'!$AY130,,,VALUE(LEFT(AA35,2)))),)</f>
        <v>0</v>
      </c>
      <c r="AB243">
        <f ca="1">IF(VALUE(RIGHT(AB35,3)),VALUE(RIGHT(AB35,3))*SUM(OFFSET('2.3家乡建筑'!$AY130,,,VALUE(LEFT(AB35,2)))),)</f>
        <v>0</v>
      </c>
      <c r="AC243">
        <f ca="1">IF(VALUE(RIGHT(AC35,3)),VALUE(RIGHT(AC35,3))*SUM(OFFSET('2.3家乡建筑'!$AY130,,,VALUE(LEFT(AC35,2)))),)</f>
        <v>0</v>
      </c>
      <c r="AD243">
        <f ca="1">IF(VALUE(RIGHT(AD35,3)),VALUE(RIGHT(AD35,3))*SUM(OFFSET('2.3家乡建筑'!$AY130,,,VALUE(LEFT(AD35,2)))),)</f>
        <v>0</v>
      </c>
      <c r="AE243">
        <f ca="1">IF(VALUE(RIGHT(AE35,3)),VALUE(RIGHT(AE35,3))*SUM(OFFSET('2.3家乡建筑'!$AY130,,,VALUE(LEFT(AE35,2)))),)</f>
        <v>0</v>
      </c>
      <c r="AF243">
        <f ca="1">IF(VALUE(RIGHT(AF35,3)),VALUE(RIGHT(AF35,3))*SUM(OFFSET('2.3家乡建筑'!$AY130,,,VALUE(LEFT(AF35,2)))),)</f>
        <v>0</v>
      </c>
      <c r="AG243">
        <f ca="1">IF(VALUE(RIGHT(AG35,3)),VALUE(RIGHT(AG35,3))*SUM(OFFSET('2.3家乡建筑'!$AY130,,,VALUE(LEFT(AG35,2)))),)</f>
        <v>0</v>
      </c>
      <c r="AH243">
        <f ca="1">IF(VALUE(RIGHT(AH35,3)),VALUE(RIGHT(AH35,3))*SUM(OFFSET('2.3家乡建筑'!$AY130,,,VALUE(LEFT(AH35,2)))),)</f>
        <v>0</v>
      </c>
      <c r="AI243">
        <f ca="1">IF(VALUE(RIGHT(AI35,3)),VALUE(RIGHT(AI35,3))*SUM(OFFSET('2.3家乡建筑'!$AY130,,,VALUE(LEFT(AI35,2)))),)</f>
        <v>0</v>
      </c>
      <c r="AJ243">
        <f ca="1">IF(VALUE(RIGHT(AJ35,3)),VALUE(RIGHT(AJ35,3))*SUM(OFFSET('2.3家乡建筑'!$AY130,,,VALUE(LEFT(AJ35,2)))),)</f>
        <v>0</v>
      </c>
      <c r="AK243">
        <f ca="1">IF(VALUE(RIGHT(AK35,3)),VALUE(RIGHT(AK35,3))*SUM(OFFSET('2.3家乡建筑'!$AY130,,,VALUE(LEFT(AK35,2)))),)</f>
        <v>4600000</v>
      </c>
      <c r="AL243">
        <f ca="1">IF(VALUE(RIGHT(AL35,3)),VALUE(RIGHT(AL35,3))*SUM(OFFSET('2.3家乡建筑'!$AY130,,,VALUE(LEFT(AL35,2)))),)</f>
        <v>8100000</v>
      </c>
      <c r="AM243">
        <f ca="1">IF(VALUE(RIGHT(AM35,3)),VALUE(RIGHT(AM35,3))*SUM(OFFSET('2.3家乡建筑'!$AY130,,,VALUE(LEFT(AM35,2)))),)</f>
        <v>8100000</v>
      </c>
      <c r="AN243">
        <f ca="1">IF(VALUE(RIGHT(AN35,3)),VALUE(RIGHT(AN35,3))*SUM(OFFSET('2.3家乡建筑'!$AY130,,,VALUE(LEFT(AN35,2)))),)</f>
        <v>8100000</v>
      </c>
      <c r="AO243">
        <f ca="1">IF(VALUE(RIGHT(AO35,3)),VALUE(RIGHT(AO35,3))*SUM(OFFSET('2.3家乡建筑'!$AY130,,,VALUE(LEFT(AO35,2)))),)</f>
        <v>8100000</v>
      </c>
      <c r="AX243" s="28">
        <v>30000</v>
      </c>
      <c r="AY243" t="s">
        <v>4751</v>
      </c>
      <c r="AZ243" t="s">
        <v>4745</v>
      </c>
      <c r="BA243" t="s">
        <v>5002</v>
      </c>
      <c r="BB243" s="28">
        <v>100</v>
      </c>
      <c r="CD243" s="38">
        <v>239</v>
      </c>
      <c r="CE243" s="38">
        <f t="shared" si="87"/>
        <v>3.7199871536981881</v>
      </c>
      <c r="CF243" s="38">
        <f t="shared" si="91"/>
        <v>239.17008999999999</v>
      </c>
      <c r="CG243" s="38">
        <f t="shared" si="86"/>
        <v>240</v>
      </c>
      <c r="CP243" s="40">
        <v>591</v>
      </c>
      <c r="CQ243" s="41" t="s">
        <v>3916</v>
      </c>
      <c r="CR243" s="41" t="s">
        <v>3921</v>
      </c>
      <c r="CS243" s="41">
        <v>100</v>
      </c>
      <c r="CT243" s="41">
        <v>3</v>
      </c>
      <c r="CU243" s="41">
        <v>50</v>
      </c>
      <c r="CV243" s="41">
        <v>5</v>
      </c>
      <c r="CW243" s="40"/>
      <c r="CX243" s="41" t="s">
        <v>4716</v>
      </c>
      <c r="CY243" s="40" t="s">
        <v>3096</v>
      </c>
      <c r="DB243" s="45" t="s">
        <v>49</v>
      </c>
      <c r="DC243" s="7" t="str">
        <f t="shared" ca="1" si="92"/>
        <v>04_004</v>
      </c>
      <c r="DD243" t="s">
        <v>5248</v>
      </c>
      <c r="DE243" t="s">
        <v>4896</v>
      </c>
      <c r="DF243" t="s">
        <v>4897</v>
      </c>
      <c r="DG243" t="s">
        <v>5050</v>
      </c>
    </row>
    <row r="244" spans="4:111" ht="14.6">
      <c r="D244" s="6" t="str">
        <f t="shared" si="84"/>
        <v>都城建筑-&gt;空中堡垒工坊</v>
      </c>
      <c r="E244" s="6" t="str">
        <f t="shared" si="89"/>
        <v>#'4.2都城建筑'!AT50:AY56</v>
      </c>
      <c r="F244" s="6" t="s">
        <v>1897</v>
      </c>
      <c r="G244" s="6" t="s">
        <v>5911</v>
      </c>
      <c r="H244" s="6" t="s">
        <v>5872</v>
      </c>
      <c r="I244" s="6" t="s">
        <v>5828</v>
      </c>
      <c r="J244" s="6" t="s">
        <v>5168</v>
      </c>
      <c r="K244" t="s">
        <v>5429</v>
      </c>
      <c r="L244" t="s">
        <v>5430</v>
      </c>
      <c r="M244" t="s">
        <v>5389</v>
      </c>
      <c r="N244" t="s">
        <v>5848</v>
      </c>
      <c r="O244" t="s">
        <v>5104</v>
      </c>
      <c r="P244" t="s">
        <v>5408</v>
      </c>
      <c r="Q244" t="s">
        <v>4782</v>
      </c>
      <c r="R244" t="s">
        <v>4782</v>
      </c>
      <c r="S244">
        <f t="array" ref="S244">SUM(IFERROR(IF(MATCH(I244:R244,$F$4:$Q$4,0)&gt;0,1,0),0))</f>
        <v>0</v>
      </c>
      <c r="T244">
        <f t="shared" ca="1" si="85"/>
        <v>37</v>
      </c>
      <c r="U244">
        <f ca="1">T244+COUNTIF(T$5:$T243,T244)</f>
        <v>248</v>
      </c>
      <c r="AX244" s="28">
        <v>50000</v>
      </c>
      <c r="AY244" t="s">
        <v>4746</v>
      </c>
      <c r="AZ244" t="s">
        <v>5117</v>
      </c>
      <c r="BA244" t="s">
        <v>5003</v>
      </c>
      <c r="BB244" s="28">
        <v>120</v>
      </c>
      <c r="CD244" s="38">
        <v>240</v>
      </c>
      <c r="CE244" s="38">
        <f t="shared" si="87"/>
        <v>3.7220748363704219</v>
      </c>
      <c r="CF244" s="38">
        <f t="shared" ref="CF244:CF276" si="93">MAX(CEILING($CC$4*(1-CE244*$CC$6)/$CC$8,1),0)+CD244+ROUND(MOD($CC$4*(1-CE244*$CC$6),$CC$8)/$CC$4,5)</f>
        <v>240.16949</v>
      </c>
      <c r="CG244" s="38">
        <f t="shared" si="86"/>
        <v>241</v>
      </c>
      <c r="CP244" s="40">
        <v>592</v>
      </c>
      <c r="CQ244" s="41" t="s">
        <v>3925</v>
      </c>
      <c r="CR244" s="41" t="s">
        <v>3926</v>
      </c>
      <c r="CS244" s="41">
        <v>100</v>
      </c>
      <c r="CT244" s="41">
        <v>3</v>
      </c>
      <c r="CU244" s="41">
        <v>50</v>
      </c>
      <c r="CV244" s="41">
        <v>5</v>
      </c>
      <c r="CW244" s="40"/>
      <c r="CX244" s="41" t="s">
        <v>4716</v>
      </c>
      <c r="CY244" s="40" t="s">
        <v>4717</v>
      </c>
      <c r="DB244" s="45" t="s">
        <v>156</v>
      </c>
      <c r="DC244" s="7" t="str">
        <f t="shared" ca="1" si="92"/>
        <v>04_003</v>
      </c>
      <c r="DD244" t="s">
        <v>4834</v>
      </c>
      <c r="DE244" t="s">
        <v>4754</v>
      </c>
      <c r="DF244" t="s">
        <v>5073</v>
      </c>
      <c r="DG244" t="s">
        <v>4920</v>
      </c>
    </row>
    <row r="245" spans="4:111" ht="14.6">
      <c r="D245" s="6" t="str">
        <f t="shared" si="84"/>
        <v>都城建筑-&gt;突袭炮车训练营</v>
      </c>
      <c r="E245" s="6" t="str">
        <f t="shared" si="89"/>
        <v>#'4.2都城建筑'!BB50:BG56</v>
      </c>
      <c r="F245" s="6" t="s">
        <v>1900</v>
      </c>
      <c r="G245" s="6" t="s">
        <v>5912</v>
      </c>
      <c r="H245" s="6" t="s">
        <v>5872</v>
      </c>
      <c r="I245" s="6" t="s">
        <v>5828</v>
      </c>
      <c r="J245" s="6" t="s">
        <v>5168</v>
      </c>
      <c r="K245" t="s">
        <v>5850</v>
      </c>
      <c r="L245" t="s">
        <v>5851</v>
      </c>
      <c r="M245" t="s">
        <v>5327</v>
      </c>
      <c r="N245" t="s">
        <v>5177</v>
      </c>
      <c r="O245" t="s">
        <v>5215</v>
      </c>
      <c r="P245" t="s">
        <v>5216</v>
      </c>
      <c r="Q245" t="s">
        <v>5217</v>
      </c>
      <c r="R245" t="s">
        <v>4782</v>
      </c>
      <c r="S245">
        <f t="array" ref="S245">SUM(IFERROR(IF(MATCH(I245:R245,$F$4:$Q$4,0)&gt;0,1,0),0))</f>
        <v>0</v>
      </c>
      <c r="T245">
        <f t="shared" ca="1" si="85"/>
        <v>37</v>
      </c>
      <c r="U245">
        <f ca="1">T245+COUNTIF(T$5:$T244,T245)</f>
        <v>249</v>
      </c>
      <c r="Y245" s="12" t="s">
        <v>3</v>
      </c>
      <c r="AA245">
        <f ca="1">IF(VALUE(RIGHT(AA37,3)),VALUE(RIGHT(AA37,3))*SUM(OFFSET('2.3家乡建筑'!$AS6,,,VALUE(LEFT(AA37,2)))),)</f>
        <v>0</v>
      </c>
      <c r="AB245">
        <f ca="1">IF(VALUE(RIGHT(AB37,3)),VALUE(RIGHT(AB37,3))*SUM(OFFSET('2.3家乡建筑'!$AS6,,,VALUE(LEFT(AB37,2)))),)</f>
        <v>1000</v>
      </c>
      <c r="AC245">
        <f ca="1">IF(VALUE(RIGHT(AC37,3)),VALUE(RIGHT(AC37,3))*SUM(OFFSET('2.3家乡建筑'!$AS6,,,VALUE(LEFT(AC37,2)))),)</f>
        <v>5000</v>
      </c>
      <c r="AD245">
        <f ca="1">IF(VALUE(RIGHT(AD37,3)),VALUE(RIGHT(AD37,3))*SUM(OFFSET('2.3家乡建筑'!$AS6,,,VALUE(LEFT(AD37,2)))),)</f>
        <v>30000</v>
      </c>
      <c r="AE245">
        <f ca="1">IF(VALUE(RIGHT(AE37,3)),VALUE(RIGHT(AE37,3))*SUM(OFFSET('2.3家乡建筑'!$AS6,,,VALUE(LEFT(AE37,2)))),)</f>
        <v>180000</v>
      </c>
      <c r="AF245">
        <f ca="1">IF(VALUE(RIGHT(AF37,3)),VALUE(RIGHT(AF37,3))*SUM(OFFSET('2.3家乡建筑'!$AS6,,,VALUE(LEFT(AF37,2)))),)</f>
        <v>930000</v>
      </c>
      <c r="AG245">
        <f ca="1">IF(VALUE(RIGHT(AG37,3)),VALUE(RIGHT(AG37,3))*SUM(OFFSET('2.3家乡建筑'!$AS6,,,VALUE(LEFT(AG37,2)))),)</f>
        <v>1930000</v>
      </c>
      <c r="AH245">
        <f ca="1">IF(VALUE(RIGHT(AH37,3)),VALUE(RIGHT(AH37,3))*SUM(OFFSET('2.3家乡建筑'!$AS6,,,VALUE(LEFT(AH37,2)))),)</f>
        <v>3930000</v>
      </c>
      <c r="AI245">
        <f ca="1">IF(VALUE(RIGHT(AI37,3)),VALUE(RIGHT(AI37,3))*SUM(OFFSET('2.3家乡建筑'!$AS6,,,VALUE(LEFT(AI37,2)))),)</f>
        <v>6930000</v>
      </c>
      <c r="AJ245">
        <f ca="1">IF(VALUE(RIGHT(AJ37,3)),VALUE(RIGHT(AJ37,3))*SUM(OFFSET('2.3家乡建筑'!$AS6,,,VALUE(LEFT(AJ37,2)))),)</f>
        <v>10430000</v>
      </c>
      <c r="AK245">
        <f ca="1">IF(VALUE(RIGHT(AK37,3)),VALUE(RIGHT(AK37,3))*SUM(OFFSET('2.3家乡建筑'!$AS6,,,VALUE(LEFT(AK37,2)))),)</f>
        <v>14430000</v>
      </c>
      <c r="AL245">
        <f ca="1">IF(VALUE(RIGHT(AL37,3)),VALUE(RIGHT(AL37,3))*SUM(OFFSET('2.3家乡建筑'!$AS6,,,VALUE(LEFT(AL37,2)))),)</f>
        <v>20430000</v>
      </c>
      <c r="AM245">
        <f ca="1">IF(VALUE(RIGHT(AM37,3)),VALUE(RIGHT(AM37,3))*SUM(OFFSET('2.3家乡建筑'!$AS6,,,VALUE(LEFT(AM37,2)))),)</f>
        <v>29430000</v>
      </c>
      <c r="AN245">
        <f ca="1">IF(VALUE(RIGHT(AN37,3)),VALUE(RIGHT(AN37,3))*SUM(OFFSET('2.3家乡建筑'!$AS6,,,VALUE(LEFT(AN37,2)))),)</f>
        <v>44430000</v>
      </c>
      <c r="AO245">
        <f ca="1">IF(VALUE(RIGHT(AO37,3)),VALUE(RIGHT(AO37,3))*SUM(OFFSET('2.3家乡建筑'!$AS6,,,VALUE(LEFT(AO37,2)))),)</f>
        <v>62430000</v>
      </c>
      <c r="AX245">
        <v>75000</v>
      </c>
      <c r="AY245" t="s">
        <v>4943</v>
      </c>
      <c r="AZ245" t="s">
        <v>5376</v>
      </c>
      <c r="BA245" t="s">
        <v>5476</v>
      </c>
      <c r="BB245" s="28">
        <v>140</v>
      </c>
      <c r="CD245" s="38">
        <v>241</v>
      </c>
      <c r="CE245" s="38">
        <f t="shared" si="87"/>
        <v>3.7241538384494239</v>
      </c>
      <c r="CF245" s="38">
        <f t="shared" si="93"/>
        <v>241.16888</v>
      </c>
      <c r="CG245" s="38">
        <f t="shared" si="86"/>
        <v>242</v>
      </c>
      <c r="CP245" s="40">
        <v>593</v>
      </c>
      <c r="CQ245" s="41" t="s">
        <v>3924</v>
      </c>
      <c r="CR245" s="41" t="s">
        <v>3931</v>
      </c>
      <c r="CS245" s="41">
        <v>100</v>
      </c>
      <c r="CT245" s="41">
        <v>3</v>
      </c>
      <c r="CU245" s="41">
        <v>50</v>
      </c>
      <c r="CV245" s="41">
        <v>5</v>
      </c>
      <c r="CW245" s="40"/>
      <c r="CX245" s="41" t="s">
        <v>4716</v>
      </c>
      <c r="CY245" s="40" t="s">
        <v>4717</v>
      </c>
      <c r="DB245" s="45" t="s">
        <v>32</v>
      </c>
      <c r="DC245" s="7" t="str">
        <f t="shared" ca="1" si="92"/>
        <v>04_004</v>
      </c>
      <c r="DD245" t="s">
        <v>4895</v>
      </c>
      <c r="DE245" t="s">
        <v>4896</v>
      </c>
      <c r="DF245" t="s">
        <v>4897</v>
      </c>
      <c r="DG245" t="s">
        <v>5050</v>
      </c>
    </row>
    <row r="246" spans="4:111" ht="14.6">
      <c r="D246" s="6" t="str">
        <f t="shared" si="84"/>
        <v>都城建筑-&gt;超级皮卡训练营</v>
      </c>
      <c r="E246" s="6" t="str">
        <f t="shared" si="89"/>
        <v>#'4.2都城建筑'!AL60:AQ66</v>
      </c>
      <c r="F246" s="6" t="s">
        <v>1903</v>
      </c>
      <c r="G246" s="6" t="s">
        <v>5913</v>
      </c>
      <c r="H246" s="6" t="s">
        <v>5872</v>
      </c>
      <c r="I246" s="6" t="s">
        <v>5828</v>
      </c>
      <c r="J246" s="6" t="s">
        <v>5168</v>
      </c>
      <c r="K246" t="s">
        <v>5085</v>
      </c>
      <c r="L246" t="s">
        <v>5155</v>
      </c>
      <c r="M246" t="s">
        <v>4999</v>
      </c>
      <c r="N246" t="s">
        <v>5084</v>
      </c>
      <c r="O246" t="s">
        <v>5215</v>
      </c>
      <c r="P246" t="s">
        <v>5216</v>
      </c>
      <c r="Q246" t="s">
        <v>5217</v>
      </c>
      <c r="R246" t="s">
        <v>4782</v>
      </c>
      <c r="S246">
        <f t="array" ref="S246">SUM(IFERROR(IF(MATCH(I246:R246,$F$4:$Q$4,0)&gt;0,1,0),0))</f>
        <v>0</v>
      </c>
      <c r="T246">
        <f t="shared" ca="1" si="85"/>
        <v>37</v>
      </c>
      <c r="U246">
        <f ca="1">T246+COUNTIF(T$5:$T245,T246)</f>
        <v>250</v>
      </c>
      <c r="Y246" s="12" t="s">
        <v>10</v>
      </c>
      <c r="AA246">
        <f ca="1">IF(VALUE(RIGHT(AA38,3)),VALUE(RIGHT(AA38,3))*SUM(OFFSET('2.3家乡建筑'!$BE7,,,VALUE(LEFT(AA38,2)))),)</f>
        <v>0</v>
      </c>
      <c r="AB246">
        <f ca="1">IF(VALUE(RIGHT(AB38,3)),VALUE(RIGHT(AB38,3))*SUM(OFFSET('2.3家乡建筑'!$BE7,,,VALUE(LEFT(AB38,2)))),)</f>
        <v>0</v>
      </c>
      <c r="AC246">
        <f ca="1">IF(VALUE(RIGHT(AC38,3)),VALUE(RIGHT(AC38,3))*SUM(OFFSET('2.3家乡建筑'!$BE7,,,VALUE(LEFT(AC38,2)))),)</f>
        <v>10000</v>
      </c>
      <c r="AD246">
        <f ca="1">IF(VALUE(RIGHT(AD38,3)),VALUE(RIGHT(AD38,3))*SUM(OFFSET('2.3家乡建筑'!$BE7,,,VALUE(LEFT(AD38,2)))),)</f>
        <v>110000</v>
      </c>
      <c r="AE246">
        <f ca="1">IF(VALUE(RIGHT(AE38,3)),VALUE(RIGHT(AE38,3))*SUM(OFFSET('2.3家乡建筑'!$BE7,,,VALUE(LEFT(AE38,2)))),)</f>
        <v>110000</v>
      </c>
      <c r="AF246">
        <f ca="1">IF(VALUE(RIGHT(AF38,3)),VALUE(RIGHT(AF38,3))*SUM(OFFSET('2.3家乡建筑'!$BE7,,,VALUE(LEFT(AF38,2)))),)</f>
        <v>910000</v>
      </c>
      <c r="AG246">
        <f ca="1">IF(VALUE(RIGHT(AG38,3)),VALUE(RIGHT(AG38,3))*SUM(OFFSET('2.3家乡建筑'!$BE7,,,VALUE(LEFT(AG38,2)))),)</f>
        <v>910000</v>
      </c>
      <c r="AH246">
        <f ca="1">IF(VALUE(RIGHT(AH38,3)),VALUE(RIGHT(AH38,3))*SUM(OFFSET('2.3家乡建筑'!$BE7,,,VALUE(LEFT(AH38,2)))),)</f>
        <v>2110000</v>
      </c>
      <c r="AI246">
        <f ca="1">IF(VALUE(RIGHT(AI38,3)),VALUE(RIGHT(AI38,3))*SUM(OFFSET('2.3家乡建筑'!$BE7,,,VALUE(LEFT(AI38,2)))),)</f>
        <v>4610000</v>
      </c>
      <c r="AJ246">
        <f ca="1">IF(VALUE(RIGHT(AJ38,3)),VALUE(RIGHT(AJ38,3))*SUM(OFFSET('2.3家乡建筑'!$BE7,,,VALUE(LEFT(AJ38,2)))),)</f>
        <v>8810000</v>
      </c>
      <c r="AK246">
        <f ca="1">IF(VALUE(RIGHT(AK38,3)),VALUE(RIGHT(AK38,3))*SUM(OFFSET('2.3家乡建筑'!$BE7,,,VALUE(LEFT(AK38,2)))),)</f>
        <v>14310000</v>
      </c>
      <c r="AL246">
        <f ca="1">IF(VALUE(RIGHT(AL38,3)),VALUE(RIGHT(AL38,3))*SUM(OFFSET('2.3家乡建筑'!$BE7,,,VALUE(LEFT(AL38,2)))),)</f>
        <v>22810000</v>
      </c>
      <c r="AM246">
        <f ca="1">IF(VALUE(RIGHT(AM38,3)),VALUE(RIGHT(AM38,3))*SUM(OFFSET('2.3家乡建筑'!$BE7,,,VALUE(LEFT(AM38,2)))),)</f>
        <v>34810000</v>
      </c>
      <c r="AN246">
        <f ca="1">IF(VALUE(RIGHT(AN38,3)),VALUE(RIGHT(AN38,3))*SUM(OFFSET('2.3家乡建筑'!$BE7,,,VALUE(LEFT(AN38,2)))),)</f>
        <v>52810000</v>
      </c>
      <c r="AO246">
        <f ca="1">IF(VALUE(RIGHT(AO38,3)),VALUE(RIGHT(AO38,3))*SUM(OFFSET('2.3家乡建筑'!$BE7,,,VALUE(LEFT(AO38,2)))),)</f>
        <v>72810000</v>
      </c>
      <c r="AX246">
        <v>1500</v>
      </c>
      <c r="AY246" t="s">
        <v>4739</v>
      </c>
      <c r="AZ246" t="s">
        <v>4713</v>
      </c>
      <c r="BA246" t="s">
        <v>5467</v>
      </c>
      <c r="BB246">
        <v>10</v>
      </c>
      <c r="CD246" s="38">
        <v>242</v>
      </c>
      <c r="CE246" s="38">
        <f t="shared" si="87"/>
        <v>3.726224231824165</v>
      </c>
      <c r="CF246" s="38">
        <f t="shared" si="93"/>
        <v>242.16828000000001</v>
      </c>
      <c r="CG246" s="38">
        <f t="shared" si="86"/>
        <v>243</v>
      </c>
      <c r="CP246" s="40">
        <v>594</v>
      </c>
      <c r="CQ246" s="41" t="s">
        <v>3888</v>
      </c>
      <c r="CR246" s="41" t="s">
        <v>3935</v>
      </c>
      <c r="CS246" s="41">
        <v>100</v>
      </c>
      <c r="CT246" s="41">
        <v>3</v>
      </c>
      <c r="CU246" s="41">
        <v>100</v>
      </c>
      <c r="CV246" s="41">
        <v>5</v>
      </c>
      <c r="CW246" s="40"/>
      <c r="CX246" s="41" t="s">
        <v>4716</v>
      </c>
      <c r="CY246" s="40" t="s">
        <v>4717</v>
      </c>
      <c r="DB246" s="45" t="s">
        <v>153</v>
      </c>
      <c r="DC246" s="7" t="str">
        <f t="shared" ca="1" si="92"/>
        <v>04_003</v>
      </c>
      <c r="DD246" t="s">
        <v>4834</v>
      </c>
      <c r="DE246" t="s">
        <v>4754</v>
      </c>
      <c r="DF246" t="s">
        <v>5073</v>
      </c>
      <c r="DG246" t="s">
        <v>4920</v>
      </c>
    </row>
    <row r="247" spans="4:111" ht="14.6">
      <c r="D247" s="6" t="str">
        <f t="shared" si="84"/>
        <v>都城建筑-&gt;野猪特攻队训练营</v>
      </c>
      <c r="E247" s="6" t="str">
        <f t="shared" si="89"/>
        <v>#'4.2都城建筑'!AT60:AY66</v>
      </c>
      <c r="F247" s="6" t="s">
        <v>1906</v>
      </c>
      <c r="G247" s="6" t="s">
        <v>5914</v>
      </c>
      <c r="H247" s="6" t="s">
        <v>5872</v>
      </c>
      <c r="I247" s="6" t="s">
        <v>5828</v>
      </c>
      <c r="J247" s="6" t="s">
        <v>5168</v>
      </c>
      <c r="K247" t="s">
        <v>4829</v>
      </c>
      <c r="L247" t="s">
        <v>4902</v>
      </c>
      <c r="M247" t="s">
        <v>5459</v>
      </c>
      <c r="N247" t="s">
        <v>5167</v>
      </c>
      <c r="O247" t="s">
        <v>5854</v>
      </c>
      <c r="P247" t="s">
        <v>5215</v>
      </c>
      <c r="Q247" t="s">
        <v>5216</v>
      </c>
      <c r="R247" t="s">
        <v>5217</v>
      </c>
      <c r="S247">
        <f t="array" ref="S247">SUM(IFERROR(IF(MATCH(I247:R247,$F$4:$Q$4,0)&gt;0,1,0),0))</f>
        <v>0</v>
      </c>
      <c r="T247">
        <f t="shared" ca="1" si="85"/>
        <v>37</v>
      </c>
      <c r="U247">
        <f ca="1">T247+COUNTIF(T$5:$T246,T247)</f>
        <v>251</v>
      </c>
      <c r="Y247" s="12" t="s">
        <v>15</v>
      </c>
      <c r="AA247">
        <f ca="1">IF(VALUE(RIGHT(AA39,3)),VALUE(RIGHT(AA39,3))*SUM(OFFSET('2.3家乡建筑'!$BM7,,,VALUE(LEFT(AA39,2)))),)</f>
        <v>0</v>
      </c>
      <c r="AB247">
        <f ca="1">IF(VALUE(RIGHT(AB39,3)),VALUE(RIGHT(AB39,3))*SUM(OFFSET('2.3家乡建筑'!$BM7,,,VALUE(LEFT(AB39,2)))),)</f>
        <v>0</v>
      </c>
      <c r="AC247">
        <f ca="1">IF(VALUE(RIGHT(AC39,3)),VALUE(RIGHT(AC39,3))*SUM(OFFSET('2.3家乡建筑'!$BM7,,,VALUE(LEFT(AC39,2)))),)</f>
        <v>5000</v>
      </c>
      <c r="AD247">
        <f ca="1">IF(VALUE(RIGHT(AD39,3)),VALUE(RIGHT(AD39,3))*SUM(OFFSET('2.3家乡建筑'!$BM7,,,VALUE(LEFT(AD39,2)))),)</f>
        <v>30000</v>
      </c>
      <c r="AE247">
        <f ca="1">IF(VALUE(RIGHT(AE39,3)),VALUE(RIGHT(AE39,3))*SUM(OFFSET('2.3家乡建筑'!$BM7,,,VALUE(LEFT(AE39,2)))),)</f>
        <v>80000</v>
      </c>
      <c r="AF247">
        <f ca="1">IF(VALUE(RIGHT(AF39,3)),VALUE(RIGHT(AF39,3))*SUM(OFFSET('2.3家乡建筑'!$BM7,,,VALUE(LEFT(AF39,2)))),)</f>
        <v>180000</v>
      </c>
      <c r="AG247">
        <f ca="1">IF(VALUE(RIGHT(AG39,3)),VALUE(RIGHT(AG39,3))*SUM(OFFSET('2.3家乡建筑'!$BM7,,,VALUE(LEFT(AG39,2)))),)</f>
        <v>380000</v>
      </c>
      <c r="AH247">
        <f ca="1">IF(VALUE(RIGHT(AH39,3)),VALUE(RIGHT(AH39,3))*SUM(OFFSET('2.3家乡建筑'!$BM7,,,VALUE(LEFT(AH39,2)))),)</f>
        <v>780000</v>
      </c>
      <c r="AI247">
        <f ca="1">IF(VALUE(RIGHT(AI39,3)),VALUE(RIGHT(AI39,3))*SUM(OFFSET('2.3家乡建筑'!$BM7,,,VALUE(LEFT(AI39,2)))),)</f>
        <v>1580000</v>
      </c>
      <c r="AJ247">
        <f ca="1">IF(VALUE(RIGHT(AJ39,3)),VALUE(RIGHT(AJ39,3))*SUM(OFFSET('2.3家乡建筑'!$BM7,,,VALUE(LEFT(AJ39,2)))),)</f>
        <v>2880000</v>
      </c>
      <c r="AK247">
        <f ca="1">IF(VALUE(RIGHT(AK39,3)),VALUE(RIGHT(AK39,3))*SUM(OFFSET('2.3家乡建筑'!$BM7,,,VALUE(LEFT(AK39,2)))),)</f>
        <v>4980000</v>
      </c>
      <c r="AL247">
        <f ca="1">IF(VALUE(RIGHT(AL39,3)),VALUE(RIGHT(AL39,3))*SUM(OFFSET('2.3家乡建筑'!$BM7,,,VALUE(LEFT(AL39,2)))),)</f>
        <v>9180000</v>
      </c>
      <c r="AM247">
        <f ca="1">IF(VALUE(RIGHT(AM39,3)),VALUE(RIGHT(AM39,3))*SUM(OFFSET('2.3家乡建筑'!$BM7,,,VALUE(LEFT(AM39,2)))),)</f>
        <v>15980000</v>
      </c>
      <c r="AN247">
        <f ca="1">IF(VALUE(RIGHT(AN39,3)),VALUE(RIGHT(AN39,3))*SUM(OFFSET('2.3家乡建筑'!$BM7,,,VALUE(LEFT(AN39,2)))),)</f>
        <v>27480000</v>
      </c>
      <c r="AO247">
        <f ca="1">IF(VALUE(RIGHT(AO39,3)),VALUE(RIGHT(AO39,3))*SUM(OFFSET('2.3家乡建筑'!$BM7,,,VALUE(LEFT(AO39,2)))),)</f>
        <v>39980000</v>
      </c>
      <c r="AX247">
        <v>3000</v>
      </c>
      <c r="AY247" t="s">
        <v>4794</v>
      </c>
      <c r="AZ247" t="s">
        <v>4877</v>
      </c>
      <c r="BA247" t="s">
        <v>4878</v>
      </c>
      <c r="BB247">
        <v>20</v>
      </c>
      <c r="CD247" s="38">
        <v>243</v>
      </c>
      <c r="CE247" s="38">
        <f t="shared" si="87"/>
        <v>3.728286087494268</v>
      </c>
      <c r="CF247" s="38">
        <f t="shared" si="93"/>
        <v>243.16768999999999</v>
      </c>
      <c r="CG247" s="38">
        <f t="shared" si="86"/>
        <v>244</v>
      </c>
      <c r="CP247" s="40">
        <v>595</v>
      </c>
      <c r="CQ247" s="41" t="s">
        <v>3892</v>
      </c>
      <c r="CR247" s="41" t="s">
        <v>3939</v>
      </c>
      <c r="CS247" s="41">
        <v>100</v>
      </c>
      <c r="CT247" s="41">
        <v>3</v>
      </c>
      <c r="CU247" s="41">
        <v>100</v>
      </c>
      <c r="CV247" s="41">
        <v>5</v>
      </c>
      <c r="CW247" s="40"/>
      <c r="CX247" s="41" t="s">
        <v>4716</v>
      </c>
      <c r="CY247" s="40" t="s">
        <v>4717</v>
      </c>
      <c r="DB247" s="45" t="s">
        <v>181</v>
      </c>
      <c r="DC247" s="7" t="str">
        <f t="shared" ca="1" si="92"/>
        <v>04_005</v>
      </c>
      <c r="DD247" t="s">
        <v>4989</v>
      </c>
      <c r="DE247" t="s">
        <v>5206</v>
      </c>
      <c r="DF247" t="s">
        <v>4897</v>
      </c>
      <c r="DG247" t="s">
        <v>4898</v>
      </c>
    </row>
    <row r="248" spans="4:111" ht="14.6">
      <c r="D248" s="6" t="str">
        <f t="shared" si="84"/>
        <v>都城建筑-&gt;超级飞龙训练营</v>
      </c>
      <c r="E248" s="6" t="str">
        <f t="shared" si="89"/>
        <v>#'4.2都城建筑'!BB60:BG66</v>
      </c>
      <c r="F248" s="6" t="s">
        <v>1909</v>
      </c>
      <c r="G248" s="6" t="s">
        <v>5915</v>
      </c>
      <c r="H248" s="6" t="s">
        <v>5872</v>
      </c>
      <c r="I248" s="6" t="s">
        <v>5828</v>
      </c>
      <c r="J248" s="6" t="s">
        <v>5168</v>
      </c>
      <c r="K248" t="s">
        <v>5085</v>
      </c>
      <c r="L248" t="s">
        <v>5155</v>
      </c>
      <c r="M248" t="s">
        <v>4968</v>
      </c>
      <c r="N248" t="s">
        <v>5072</v>
      </c>
      <c r="O248" t="s">
        <v>5215</v>
      </c>
      <c r="P248" t="s">
        <v>5216</v>
      </c>
      <c r="Q248" t="s">
        <v>5217</v>
      </c>
      <c r="R248" t="s">
        <v>4782</v>
      </c>
      <c r="S248">
        <f t="array" ref="S248">SUM(IFERROR(IF(MATCH(I248:R248,$F$4:$Q$4,0)&gt;0,1,0),0))</f>
        <v>2</v>
      </c>
      <c r="T248">
        <f t="shared" ca="1" si="85"/>
        <v>4</v>
      </c>
      <c r="U248">
        <f ca="1">T248+COUNTIF(T$5:$T247,T248)</f>
        <v>16</v>
      </c>
      <c r="Y248" s="12" t="s">
        <v>21</v>
      </c>
      <c r="AA248">
        <f ca="1">IF(VALUE(RIGHT(AA40,3)),VALUE(RIGHT(AA40,3))*SUM(OFFSET('2.3家乡建筑'!$AR24,,,VALUE(LEFT(AA40,2)))),)</f>
        <v>3100</v>
      </c>
      <c r="AB248">
        <f ca="1">IF(VALUE(RIGHT(AB40,3)),VALUE(RIGHT(AB40,3))*SUM(OFFSET('2.3家乡建筑'!$AR24,,,VALUE(LEFT(AB40,2)))),)</f>
        <v>8100</v>
      </c>
      <c r="AC248">
        <f ca="1">IF(VALUE(RIGHT(AC40,3)),VALUE(RIGHT(AC40,3))*SUM(OFFSET('2.3家乡建筑'!$AR24,,,VALUE(LEFT(AC40,2)))),)</f>
        <v>28100</v>
      </c>
      <c r="AD248">
        <f ca="1">IF(VALUE(RIGHT(AD40,3)),VALUE(RIGHT(AD40,3))*SUM(OFFSET('2.3家乡建筑'!$AR24,,,VALUE(LEFT(AD40,2)))),)</f>
        <v>148100</v>
      </c>
      <c r="AE248">
        <f ca="1">IF(VALUE(RIGHT(AE40,3)),VALUE(RIGHT(AE40,3))*SUM(OFFSET('2.3家乡建筑'!$AR24,,,VALUE(LEFT(AE40,2)))),)</f>
        <v>418100</v>
      </c>
      <c r="AF248">
        <f ca="1">IF(VALUE(RIGHT(AF40,3)),VALUE(RIGHT(AF40,3))*SUM(OFFSET('2.3家乡建筑'!$AR24,,,VALUE(LEFT(AF40,2)))),)</f>
        <v>1218100</v>
      </c>
      <c r="AG248">
        <f ca="1">IF(VALUE(RIGHT(AG40,3)),VALUE(RIGHT(AG40,3))*SUM(OFFSET('2.3家乡建筑'!$AR24,,,VALUE(LEFT(AG40,2)))),)</f>
        <v>2418100</v>
      </c>
      <c r="AH248">
        <f ca="1">IF(VALUE(RIGHT(AH40,3)),VALUE(RIGHT(AH40,3))*SUM(OFFSET('2.3家乡建筑'!$AR24,,,VALUE(LEFT(AH40,2)))),)</f>
        <v>4118100</v>
      </c>
      <c r="AI248">
        <f ca="1">IF(VALUE(RIGHT(AI40,3)),VALUE(RIGHT(AI40,3))*SUM(OFFSET('2.3家乡建筑'!$AR24,,,VALUE(LEFT(AI40,2)))),)</f>
        <v>6718100</v>
      </c>
      <c r="AJ248">
        <f ca="1">IF(VALUE(RIGHT(AJ40,3)),VALUE(RIGHT(AJ40,3))*SUM(OFFSET('2.3家乡建筑'!$AR24,,,VALUE(LEFT(AJ40,2)))),)</f>
        <v>10418100</v>
      </c>
      <c r="AK248">
        <f ca="1">IF(VALUE(RIGHT(AK40,3)),VALUE(RIGHT(AK40,3))*SUM(OFFSET('2.3家乡建筑'!$AR24,,,VALUE(LEFT(AK40,2)))),)</f>
        <v>16918100</v>
      </c>
      <c r="AL248">
        <f ca="1">IF(VALUE(RIGHT(AL40,3)),VALUE(RIGHT(AL40,3))*SUM(OFFSET('2.3家乡建筑'!$AR24,,,VALUE(LEFT(AL40,2)))),)</f>
        <v>25918100</v>
      </c>
      <c r="AM248">
        <f ca="1">IF(VALUE(RIGHT(AM40,3)),VALUE(RIGHT(AM40,3))*SUM(OFFSET('2.3家乡建筑'!$AR24,,,VALUE(LEFT(AM40,2)))),)</f>
        <v>38418100</v>
      </c>
      <c r="AN248">
        <f ca="1">IF(VALUE(RIGHT(AN40,3)),VALUE(RIGHT(AN40,3))*SUM(OFFSET('2.3家乡建筑'!$AR24,,,VALUE(LEFT(AN40,2)))),)</f>
        <v>53418100</v>
      </c>
      <c r="AO248">
        <f ca="1">IF(VALUE(RIGHT(AO40,3)),VALUE(RIGHT(AO40,3))*SUM(OFFSET('2.3家乡建筑'!$AR24,,,VALUE(LEFT(AO40,2)))),)</f>
        <v>53418100</v>
      </c>
      <c r="AX248">
        <v>7500</v>
      </c>
      <c r="AY248" t="s">
        <v>4845</v>
      </c>
      <c r="AZ248" t="s">
        <v>5455</v>
      </c>
      <c r="BA248" t="s">
        <v>5907</v>
      </c>
      <c r="BB248">
        <v>50</v>
      </c>
      <c r="CD248" s="38">
        <v>244</v>
      </c>
      <c r="CE248" s="38">
        <f t="shared" si="87"/>
        <v>3.7303394755846173</v>
      </c>
      <c r="CF248" s="38">
        <f t="shared" si="93"/>
        <v>244.16709</v>
      </c>
      <c r="CG248" s="38">
        <f t="shared" si="86"/>
        <v>245</v>
      </c>
      <c r="CP248" s="40">
        <v>596</v>
      </c>
      <c r="CQ248" s="41" t="s">
        <v>3942</v>
      </c>
      <c r="CR248" s="41" t="s">
        <v>3943</v>
      </c>
      <c r="CS248" s="41">
        <v>200</v>
      </c>
      <c r="CT248" s="41">
        <v>3</v>
      </c>
      <c r="CU248" s="41">
        <v>50</v>
      </c>
      <c r="CV248" s="41">
        <v>10</v>
      </c>
      <c r="CW248" s="40"/>
      <c r="CX248" s="41" t="s">
        <v>4716</v>
      </c>
      <c r="CY248" s="40" t="s">
        <v>4717</v>
      </c>
      <c r="DB248" s="45" t="s">
        <v>187</v>
      </c>
      <c r="DC248" s="7" t="str">
        <f t="shared" ca="1" si="92"/>
        <v>04_005</v>
      </c>
      <c r="DD248" t="s">
        <v>4895</v>
      </c>
      <c r="DE248" t="s">
        <v>5094</v>
      </c>
      <c r="DF248" t="s">
        <v>5058</v>
      </c>
      <c r="DG248" t="s">
        <v>4898</v>
      </c>
    </row>
    <row r="249" spans="4:111" ht="14.6">
      <c r="D249" s="6" t="str">
        <f t="shared" si="84"/>
        <v>都城建筑-&gt;高山戈仑石场</v>
      </c>
      <c r="E249" s="6" t="str">
        <f t="shared" si="89"/>
        <v>#'4.2都城建筑'!AL70:AQ76</v>
      </c>
      <c r="F249" s="6" t="s">
        <v>1911</v>
      </c>
      <c r="G249" s="6" t="s">
        <v>5916</v>
      </c>
      <c r="H249" s="6" t="s">
        <v>5872</v>
      </c>
      <c r="I249" s="6" t="s">
        <v>5828</v>
      </c>
      <c r="J249" s="6" t="s">
        <v>5168</v>
      </c>
      <c r="K249" t="s">
        <v>5859</v>
      </c>
      <c r="L249" t="s">
        <v>5860</v>
      </c>
      <c r="M249" t="s">
        <v>4979</v>
      </c>
      <c r="N249" t="s">
        <v>4980</v>
      </c>
      <c r="O249" t="s">
        <v>4981</v>
      </c>
      <c r="P249" t="s">
        <v>5368</v>
      </c>
      <c r="Q249" t="s">
        <v>4782</v>
      </c>
      <c r="R249" t="s">
        <v>4782</v>
      </c>
      <c r="S249">
        <f t="array" ref="S249">SUM(IFERROR(IF(MATCH(I249:R249,$F$4:$Q$4,0)&gt;0,1,0),0))</f>
        <v>0</v>
      </c>
      <c r="T249">
        <f t="shared" ca="1" si="85"/>
        <v>37</v>
      </c>
      <c r="U249">
        <f ca="1">T249+COUNTIF(T$5:$T248,T249)</f>
        <v>252</v>
      </c>
      <c r="Y249" s="12" t="s">
        <v>27</v>
      </c>
      <c r="AA249">
        <f ca="1">IF(VALUE(RIGHT(AA41,3)),VALUE(RIGHT(AA41,3))*SUM(OFFSET('2.3家乡建筑'!$BB24,,,VALUE(LEFT(AA41,2)))),)</f>
        <v>0</v>
      </c>
      <c r="AB249">
        <f ca="1">IF(VALUE(RIGHT(AB41,3)),VALUE(RIGHT(AB41,3))*SUM(OFFSET('2.3家乡建筑'!$BB24,,,VALUE(LEFT(AB41,2)))),)</f>
        <v>0</v>
      </c>
      <c r="AC249">
        <f ca="1">IF(VALUE(RIGHT(AC41,3)),VALUE(RIGHT(AC41,3))*SUM(OFFSET('2.3家乡建筑'!$BB24,,,VALUE(LEFT(AC41,2)))),)</f>
        <v>0</v>
      </c>
      <c r="AD249">
        <f ca="1">IF(VALUE(RIGHT(AD41,3)),VALUE(RIGHT(AD41,3))*SUM(OFFSET('2.3家乡建筑'!$BB24,,,VALUE(LEFT(AD41,2)))),)</f>
        <v>0</v>
      </c>
      <c r="AE249">
        <f ca="1">IF(VALUE(RIGHT(AE41,3)),VALUE(RIGHT(AE41,3))*SUM(OFFSET('2.3家乡建筑'!$BB24,,,VALUE(LEFT(AE41,2)))),)</f>
        <v>0</v>
      </c>
      <c r="AF249">
        <f ca="1">IF(VALUE(RIGHT(AF41,3)),VALUE(RIGHT(AF41,3))*SUM(OFFSET('2.3家乡建筑'!$BB24,,,VALUE(LEFT(AF41,2)))),)</f>
        <v>0</v>
      </c>
      <c r="AG249">
        <f ca="1">IF(VALUE(RIGHT(AG41,3)),VALUE(RIGHT(AG41,3))*SUM(OFFSET('2.3家乡建筑'!$BB24,,,VALUE(LEFT(AG41,2)))),)</f>
        <v>800000</v>
      </c>
      <c r="AH249">
        <f ca="1">IF(VALUE(RIGHT(AH41,3)),VALUE(RIGHT(AH41,3))*SUM(OFFSET('2.3家乡建筑'!$BB24,,,VALUE(LEFT(AH41,2)))),)</f>
        <v>3400000</v>
      </c>
      <c r="AI249">
        <f ca="1">IF(VALUE(RIGHT(AI41,3)),VALUE(RIGHT(AI41,3))*SUM(OFFSET('2.3家乡建筑'!$BB24,,,VALUE(LEFT(AI41,2)))),)</f>
        <v>8500000</v>
      </c>
      <c r="AJ249">
        <f ca="1">IF(VALUE(RIGHT(AJ41,3)),VALUE(RIGHT(AJ41,3))*SUM(OFFSET('2.3家乡建筑'!$BB24,,,VALUE(LEFT(AJ41,2)))),)</f>
        <v>12500000</v>
      </c>
      <c r="AK249">
        <f ca="1">IF(VALUE(RIGHT(AK41,3)),VALUE(RIGHT(AK41,3))*SUM(OFFSET('2.3家乡建筑'!$BB24,,,VALUE(LEFT(AK41,2)))),)</f>
        <v>20000000</v>
      </c>
      <c r="AL249">
        <f ca="1">IF(VALUE(RIGHT(AL41,3)),VALUE(RIGHT(AL41,3))*SUM(OFFSET('2.3家乡建筑'!$BB24,,,VALUE(LEFT(AL41,2)))),)</f>
        <v>30000000</v>
      </c>
      <c r="AM249">
        <f ca="1">IF(VALUE(RIGHT(AM41,3)),VALUE(RIGHT(AM41,3))*SUM(OFFSET('2.3家乡建筑'!$BB24,,,VALUE(LEFT(AM41,2)))),)</f>
        <v>30000000</v>
      </c>
      <c r="AN249">
        <f ca="1">IF(VALUE(RIGHT(AN41,3)),VALUE(RIGHT(AN41,3))*SUM(OFFSET('2.3家乡建筑'!$BB24,,,VALUE(LEFT(AN41,2)))),)</f>
        <v>30000000</v>
      </c>
      <c r="AO249">
        <f ca="1">IF(VALUE(RIGHT(AO41,3)),VALUE(RIGHT(AO41,3))*SUM(OFFSET('2.3家乡建筑'!$BB24,,,VALUE(LEFT(AO41,2)))),)</f>
        <v>30000000</v>
      </c>
      <c r="AX249">
        <v>12000</v>
      </c>
      <c r="AY249" t="s">
        <v>4737</v>
      </c>
      <c r="AZ249" t="s">
        <v>4747</v>
      </c>
      <c r="BA249" t="s">
        <v>4795</v>
      </c>
      <c r="BB249">
        <v>60</v>
      </c>
      <c r="CD249" s="38">
        <v>245</v>
      </c>
      <c r="CE249" s="38">
        <f t="shared" si="87"/>
        <v>3.7323844653596683</v>
      </c>
      <c r="CF249" s="38">
        <f t="shared" si="93"/>
        <v>245.16650000000001</v>
      </c>
      <c r="CG249" s="38">
        <f t="shared" si="86"/>
        <v>246</v>
      </c>
      <c r="CP249" s="40">
        <v>597</v>
      </c>
      <c r="CQ249" s="41" t="s">
        <v>3946</v>
      </c>
      <c r="CR249" s="41" t="s">
        <v>3947</v>
      </c>
      <c r="CS249" s="41">
        <v>200</v>
      </c>
      <c r="CT249" s="41">
        <v>3</v>
      </c>
      <c r="CU249" s="41">
        <v>40</v>
      </c>
      <c r="CV249" s="41">
        <v>10</v>
      </c>
      <c r="CW249" s="40"/>
      <c r="CX249" s="41" t="s">
        <v>4716</v>
      </c>
      <c r="CY249" s="40" t="s">
        <v>4717</v>
      </c>
      <c r="DB249" s="45" t="s">
        <v>182</v>
      </c>
      <c r="DC249" s="7" t="str">
        <f t="shared" ca="1" si="92"/>
        <v>04_001</v>
      </c>
      <c r="DD249" t="s">
        <v>4834</v>
      </c>
      <c r="DE249" t="s">
        <v>4784</v>
      </c>
      <c r="DF249" t="s">
        <v>4785</v>
      </c>
      <c r="DG249" t="s">
        <v>4873</v>
      </c>
    </row>
    <row r="250" spans="4:111" ht="14.6">
      <c r="D250" s="6" t="str">
        <f t="shared" si="84"/>
        <v>都城建筑-&gt;疗伤法术工厂</v>
      </c>
      <c r="E250" s="6" t="str">
        <f t="shared" si="89"/>
        <v>#'4.2都城建筑'!AT70:AY76</v>
      </c>
      <c r="F250" s="6" t="s">
        <v>1914</v>
      </c>
      <c r="G250" s="6" t="s">
        <v>5917</v>
      </c>
      <c r="H250" s="6" t="s">
        <v>5872</v>
      </c>
      <c r="I250" s="6" t="s">
        <v>5828</v>
      </c>
      <c r="J250" s="6" t="s">
        <v>5168</v>
      </c>
      <c r="K250" t="s">
        <v>5298</v>
      </c>
      <c r="L250" t="s">
        <v>5262</v>
      </c>
      <c r="M250" t="s">
        <v>5037</v>
      </c>
      <c r="N250" t="s">
        <v>5244</v>
      </c>
      <c r="O250" t="s">
        <v>5104</v>
      </c>
      <c r="P250" t="s">
        <v>5353</v>
      </c>
      <c r="Q250" t="s">
        <v>4782</v>
      </c>
      <c r="R250" t="s">
        <v>4782</v>
      </c>
      <c r="S250">
        <f t="array" ref="S250">SUM(IFERROR(IF(MATCH(I250:R250,$F$4:$Q$4,0)&gt;0,1,0),0))</f>
        <v>0</v>
      </c>
      <c r="T250">
        <f t="shared" ca="1" si="85"/>
        <v>37</v>
      </c>
      <c r="U250">
        <f ca="1">T250+COUNTIF(T$5:$T249,T250)</f>
        <v>253</v>
      </c>
      <c r="Y250" s="12" t="s">
        <v>33</v>
      </c>
      <c r="AA250">
        <f ca="1">IF(VALUE(RIGHT(AA42,3)),VALUE(RIGHT(AA42,3))*SUM(OFFSET('2.3家乡建筑'!$BL24,,,VALUE(LEFT(AA42,2)))),)</f>
        <v>200</v>
      </c>
      <c r="AB250">
        <f ca="1">IF(VALUE(RIGHT(AB42,3)),VALUE(RIGHT(AB42,3))*SUM(OFFSET('2.3家乡建筑'!$BL24,,,VALUE(LEFT(AB42,2)))),)</f>
        <v>2200</v>
      </c>
      <c r="AC250">
        <f ca="1">IF(VALUE(RIGHT(AC42,3)),VALUE(RIGHT(AC42,3))*SUM(OFFSET('2.3家乡建筑'!$BL24,,,VALUE(LEFT(AC42,2)))),)</f>
        <v>24400</v>
      </c>
      <c r="AD250">
        <f ca="1">IF(VALUE(RIGHT(AD42,3)),VALUE(RIGHT(AD42,3))*SUM(OFFSET('2.3家乡建筑'!$BL24,,,VALUE(LEFT(AD42,2)))),)</f>
        <v>224400</v>
      </c>
      <c r="AE250">
        <f ca="1">IF(VALUE(RIGHT(AE42,3)),VALUE(RIGHT(AE42,3))*SUM(OFFSET('2.3家乡建筑'!$BL24,,,VALUE(LEFT(AE42,2)))),)</f>
        <v>1086600</v>
      </c>
      <c r="AF250">
        <f ca="1">IF(VALUE(RIGHT(AF42,3)),VALUE(RIGHT(AF42,3))*SUM(OFFSET('2.3家乡建筑'!$BL24,,,VALUE(LEFT(AF42,2)))),)</f>
        <v>3336600</v>
      </c>
      <c r="AG250">
        <f ca="1">IF(VALUE(RIGHT(AG42,3)),VALUE(RIGHT(AG42,3))*SUM(OFFSET('2.3家乡建筑'!$BL24,,,VALUE(LEFT(AG42,2)))),)</f>
        <v>4448800</v>
      </c>
      <c r="AH250">
        <f ca="1">IF(VALUE(RIGHT(AH42,3)),VALUE(RIGHT(AH42,3))*SUM(OFFSET('2.3家乡建筑'!$BL24,,,VALUE(LEFT(AH42,2)))),)</f>
        <v>4448800</v>
      </c>
      <c r="AI250">
        <f ca="1">IF(VALUE(RIGHT(AI42,3)),VALUE(RIGHT(AI42,3))*SUM(OFFSET('2.3家乡建筑'!$BL24,,,VALUE(LEFT(AI42,2)))),)</f>
        <v>10448800</v>
      </c>
      <c r="AJ250">
        <f ca="1">IF(VALUE(RIGHT(AJ42,3)),VALUE(RIGHT(AJ42,3))*SUM(OFFSET('2.3家乡建筑'!$BL24,,,VALUE(LEFT(AJ42,2)))),)</f>
        <v>20448800</v>
      </c>
      <c r="AK250">
        <f ca="1">IF(VALUE(RIGHT(AK42,3)),VALUE(RIGHT(AK42,3))*SUM(OFFSET('2.3家乡建筑'!$BL24,,,VALUE(LEFT(AK42,2)))),)</f>
        <v>37248800</v>
      </c>
      <c r="AL250">
        <f ca="1">IF(VALUE(RIGHT(AL42,3)),VALUE(RIGHT(AL42,3))*SUM(OFFSET('2.3家乡建筑'!$BL24,,,VALUE(LEFT(AL42,2)))),)</f>
        <v>62448800</v>
      </c>
      <c r="AM250">
        <f ca="1">IF(VALUE(RIGHT(AM42,3)),VALUE(RIGHT(AM42,3))*SUM(OFFSET('2.3家乡建筑'!$BL24,,,VALUE(LEFT(AM42,2)))),)</f>
        <v>110448800</v>
      </c>
      <c r="AN250">
        <f ca="1">IF(VALUE(RIGHT(AN42,3)),VALUE(RIGHT(AN42,3))*SUM(OFFSET('2.3家乡建筑'!$BL24,,,VALUE(LEFT(AN42,2)))),)</f>
        <v>110448800</v>
      </c>
      <c r="AO250">
        <f ca="1">IF(VALUE(RIGHT(AO42,3)),VALUE(RIGHT(AO42,3))*SUM(OFFSET('2.3家乡建筑'!$BL24,,,VALUE(LEFT(AO42,2)))),)</f>
        <v>186448800</v>
      </c>
      <c r="AX250">
        <v>18000</v>
      </c>
      <c r="AY250" t="s">
        <v>4865</v>
      </c>
      <c r="AZ250" t="s">
        <v>4751</v>
      </c>
      <c r="BA250" t="s">
        <v>4745</v>
      </c>
      <c r="BB250">
        <v>80</v>
      </c>
      <c r="CD250" s="38">
        <v>246</v>
      </c>
      <c r="CE250" s="38">
        <f t="shared" si="87"/>
        <v>3.7344211252374686</v>
      </c>
      <c r="CF250" s="38">
        <f t="shared" si="93"/>
        <v>246.16591</v>
      </c>
      <c r="CG250" s="38">
        <f t="shared" si="86"/>
        <v>247</v>
      </c>
      <c r="CP250" s="40">
        <v>598</v>
      </c>
      <c r="CQ250" s="41" t="s">
        <v>3934</v>
      </c>
      <c r="CR250" s="41" t="s">
        <v>3950</v>
      </c>
      <c r="CS250" s="41">
        <v>200</v>
      </c>
      <c r="CT250" s="41">
        <v>3</v>
      </c>
      <c r="CU250" s="41">
        <v>80</v>
      </c>
      <c r="CV250" s="41">
        <v>10</v>
      </c>
      <c r="CW250" s="40"/>
      <c r="CX250" s="41" t="s">
        <v>4716</v>
      </c>
      <c r="CY250" s="40" t="s">
        <v>4717</v>
      </c>
      <c r="DB250" s="45" t="s">
        <v>186</v>
      </c>
      <c r="DC250" s="7" t="str">
        <f t="shared" ref="DC250:DC265" ca="1" si="94">IF($DC$12&gt;0,OFFSET(DD250,0,$DC$12-1),)</f>
        <v>04_002</v>
      </c>
      <c r="DD250" t="s">
        <v>5213</v>
      </c>
      <c r="DE250" t="s">
        <v>5213</v>
      </c>
      <c r="DF250" t="s">
        <v>4785</v>
      </c>
      <c r="DG250" t="s">
        <v>4756</v>
      </c>
    </row>
    <row r="251" spans="4:111" ht="14.6">
      <c r="D251" s="6" t="str">
        <f t="shared" si="84"/>
        <v>都城建筑-&gt;弹跳法术工厂</v>
      </c>
      <c r="E251" s="6" t="str">
        <f t="shared" si="89"/>
        <v>#'4.2都城建筑'!BB70:BG76</v>
      </c>
      <c r="F251" s="6" t="s">
        <v>1917</v>
      </c>
      <c r="G251" s="6" t="s">
        <v>5918</v>
      </c>
      <c r="H251" s="6" t="s">
        <v>5872</v>
      </c>
      <c r="I251" s="6" t="s">
        <v>5828</v>
      </c>
      <c r="J251" s="6" t="s">
        <v>5168</v>
      </c>
      <c r="K251" t="s">
        <v>5016</v>
      </c>
      <c r="L251" t="s">
        <v>5282</v>
      </c>
      <c r="M251" t="s">
        <v>5037</v>
      </c>
      <c r="N251" t="s">
        <v>5244</v>
      </c>
      <c r="O251" t="s">
        <v>5104</v>
      </c>
      <c r="P251" t="s">
        <v>5353</v>
      </c>
      <c r="Q251" t="s">
        <v>4782</v>
      </c>
      <c r="R251" t="s">
        <v>4782</v>
      </c>
      <c r="S251">
        <f t="array" ref="S251">SUM(IFERROR(IF(MATCH(I251:R251,$F$4:$Q$4,0)&gt;0,1,0),0))</f>
        <v>0</v>
      </c>
      <c r="T251">
        <f t="shared" ca="1" si="85"/>
        <v>37</v>
      </c>
      <c r="U251">
        <f ca="1">T251+COUNTIF(T$5:$T250,T251)</f>
        <v>254</v>
      </c>
      <c r="Y251" s="12" t="s">
        <v>39</v>
      </c>
      <c r="AA251">
        <f ca="1">IF(VALUE(RIGHT(AA43,3)),VALUE(RIGHT(AA43,3))*SUM(OFFSET('2.3家乡建筑'!$AS44,,,VALUE(LEFT(AA43,2)))),)</f>
        <v>0</v>
      </c>
      <c r="AB251">
        <f ca="1">IF(VALUE(RIGHT(AB43,3)),VALUE(RIGHT(AB43,3))*SUM(OFFSET('2.3家乡建筑'!$AS44,,,VALUE(LEFT(AB43,2)))),)</f>
        <v>0</v>
      </c>
      <c r="AC251">
        <f ca="1">IF(VALUE(RIGHT(AC43,3)),VALUE(RIGHT(AC43,3))*SUM(OFFSET('2.3家乡建筑'!$AS44,,,VALUE(LEFT(AC43,2)))),)</f>
        <v>0</v>
      </c>
      <c r="AD251">
        <f ca="1">IF(VALUE(RIGHT(AD43,3)),VALUE(RIGHT(AD43,3))*SUM(OFFSET('2.3家乡建筑'!$AS44,,,VALUE(LEFT(AD43,2)))),)</f>
        <v>0</v>
      </c>
      <c r="AE251">
        <f ca="1">IF(VALUE(RIGHT(AE43,3)),VALUE(RIGHT(AE43,3))*SUM(OFFSET('2.3家乡建筑'!$AS44,,,VALUE(LEFT(AE43,2)))),)</f>
        <v>150000</v>
      </c>
      <c r="AF251">
        <f ca="1">IF(VALUE(RIGHT(AF43,3)),VALUE(RIGHT(AF43,3))*SUM(OFFSET('2.3家乡建筑'!$AS44,,,VALUE(LEFT(AF43,2)))),)</f>
        <v>450000</v>
      </c>
      <c r="AG251">
        <f ca="1">IF(VALUE(RIGHT(AG43,3)),VALUE(RIGHT(AG43,3))*SUM(OFFSET('2.3家乡建筑'!$AS44,,,VALUE(LEFT(AG43,2)))),)</f>
        <v>1050000</v>
      </c>
      <c r="AH251">
        <f ca="1">IF(VALUE(RIGHT(AH43,3)),VALUE(RIGHT(AH43,3))*SUM(OFFSET('2.3家乡建筑'!$AS44,,,VALUE(LEFT(AH43,2)))),)</f>
        <v>1050000</v>
      </c>
      <c r="AI251">
        <f ca="1">IF(VALUE(RIGHT(AI43,3)),VALUE(RIGHT(AI43,3))*SUM(OFFSET('2.3家乡建筑'!$AS44,,,VALUE(LEFT(AI43,2)))),)</f>
        <v>2250000</v>
      </c>
      <c r="AJ251">
        <f ca="1">IF(VALUE(RIGHT(AJ43,3)),VALUE(RIGHT(AJ43,3))*SUM(OFFSET('2.3家乡建筑'!$AS44,,,VALUE(LEFT(AJ43,2)))),)</f>
        <v>4250000</v>
      </c>
      <c r="AK251">
        <f ca="1">IF(VALUE(RIGHT(AK43,3)),VALUE(RIGHT(AK43,3))*SUM(OFFSET('2.3家乡建筑'!$AS44,,,VALUE(LEFT(AK43,2)))),)</f>
        <v>7750000</v>
      </c>
      <c r="AL251">
        <f ca="1">IF(VALUE(RIGHT(AL43,3)),VALUE(RIGHT(AL43,3))*SUM(OFFSET('2.3家乡建筑'!$AS44,,,VALUE(LEFT(AL43,2)))),)</f>
        <v>7750000</v>
      </c>
      <c r="AM251">
        <f ca="1">IF(VALUE(RIGHT(AM43,3)),VALUE(RIGHT(AM43,3))*SUM(OFFSET('2.3家乡建筑'!$AS44,,,VALUE(LEFT(AM43,2)))),)</f>
        <v>7750000</v>
      </c>
      <c r="AN251">
        <f ca="1">IF(VALUE(RIGHT(AN43,3)),VALUE(RIGHT(AN43,3))*SUM(OFFSET('2.3家乡建筑'!$AS44,,,VALUE(LEFT(AN43,2)))),)</f>
        <v>7750000</v>
      </c>
      <c r="AO251">
        <f ca="1">IF(VALUE(RIGHT(AO43,3)),VALUE(RIGHT(AO43,3))*SUM(OFFSET('2.3家乡建筑'!$AS44,,,VALUE(LEFT(AO43,2)))),)</f>
        <v>16750000</v>
      </c>
      <c r="AX251">
        <v>30000</v>
      </c>
      <c r="AY251" t="s">
        <v>4866</v>
      </c>
      <c r="AZ251" t="s">
        <v>5163</v>
      </c>
      <c r="BA251" t="s">
        <v>5003</v>
      </c>
      <c r="BB251">
        <v>100</v>
      </c>
      <c r="CD251" s="38">
        <v>247</v>
      </c>
      <c r="CE251" s="38">
        <f t="shared" si="87"/>
        <v>3.7364495228033916</v>
      </c>
      <c r="CF251" s="38">
        <f t="shared" si="93"/>
        <v>247.16532000000001</v>
      </c>
      <c r="CG251" s="38">
        <f t="shared" si="86"/>
        <v>248</v>
      </c>
      <c r="CP251" s="40">
        <v>599</v>
      </c>
      <c r="CQ251" s="41" t="s">
        <v>3954</v>
      </c>
      <c r="CR251" s="41" t="s">
        <v>3955</v>
      </c>
      <c r="CS251" s="41">
        <v>200</v>
      </c>
      <c r="CT251" s="41">
        <v>3</v>
      </c>
      <c r="CU251" s="41">
        <v>60</v>
      </c>
      <c r="CV251" s="41">
        <v>10</v>
      </c>
      <c r="CW251" s="40"/>
      <c r="CX251" s="41" t="s">
        <v>4716</v>
      </c>
      <c r="CY251" s="40" t="s">
        <v>4717</v>
      </c>
      <c r="DB251" s="45" t="s">
        <v>189</v>
      </c>
      <c r="DC251" s="7" t="str">
        <f t="shared" ca="1" si="94"/>
        <v>04_002</v>
      </c>
      <c r="DD251" t="s">
        <v>4834</v>
      </c>
      <c r="DE251" t="s">
        <v>4754</v>
      </c>
      <c r="DF251" t="s">
        <v>4755</v>
      </c>
      <c r="DG251" t="s">
        <v>4756</v>
      </c>
    </row>
    <row r="252" spans="4:111" ht="14.6">
      <c r="D252" s="6" t="str">
        <f t="shared" si="84"/>
        <v>都城建筑-&gt;雷电法术工厂</v>
      </c>
      <c r="E252" s="6" t="str">
        <f t="shared" si="89"/>
        <v>#'4.2都城建筑'!AL80:AQ86</v>
      </c>
      <c r="F252" s="6" t="s">
        <v>1919</v>
      </c>
      <c r="G252" s="6" t="s">
        <v>5919</v>
      </c>
      <c r="H252" s="6" t="s">
        <v>5872</v>
      </c>
      <c r="I252" s="6" t="s">
        <v>5828</v>
      </c>
      <c r="J252" s="6" t="s">
        <v>5168</v>
      </c>
      <c r="K252" t="s">
        <v>5120</v>
      </c>
      <c r="L252" t="s">
        <v>5121</v>
      </c>
      <c r="M252" t="s">
        <v>5037</v>
      </c>
      <c r="N252" t="s">
        <v>5244</v>
      </c>
      <c r="O252" t="s">
        <v>5104</v>
      </c>
      <c r="P252" t="s">
        <v>5353</v>
      </c>
      <c r="Q252" t="s">
        <v>4782</v>
      </c>
      <c r="R252" t="s">
        <v>4782</v>
      </c>
      <c r="S252">
        <f t="array" ref="S252">SUM(IFERROR(IF(MATCH(I252:R252,$F$4:$Q$4,0)&gt;0,1,0),0))</f>
        <v>0</v>
      </c>
      <c r="T252">
        <f t="shared" ca="1" si="85"/>
        <v>37</v>
      </c>
      <c r="U252">
        <f ca="1">T252+COUNTIF(T$5:$T251,T252)</f>
        <v>255</v>
      </c>
      <c r="Y252" s="12" t="s">
        <v>44</v>
      </c>
      <c r="AA252">
        <f ca="1">IF(VALUE(RIGHT(AA44,3)),VALUE(RIGHT(AA44,3))*SUM(OFFSET('2.3家乡建筑'!$BC42,,,VALUE(LEFT(AA44,2)))),)</f>
        <v>0</v>
      </c>
      <c r="AB252">
        <f ca="1">IF(VALUE(RIGHT(AB44,3)),VALUE(RIGHT(AB44,3))*SUM(OFFSET('2.3家乡建筑'!$BC42,,,VALUE(LEFT(AB44,2)))),)</f>
        <v>0</v>
      </c>
      <c r="AC252">
        <f ca="1">IF(VALUE(RIGHT(AC44,3)),VALUE(RIGHT(AC44,3))*SUM(OFFSET('2.3家乡建筑'!$BC42,,,VALUE(LEFT(AC44,2)))),)</f>
        <v>0</v>
      </c>
      <c r="AD252">
        <f ca="1">IF(VALUE(RIGHT(AD44,3)),VALUE(RIGHT(AD44,3))*SUM(OFFSET('2.3家乡建筑'!$BC42,,,VALUE(LEFT(AD44,2)))),)</f>
        <v>0</v>
      </c>
      <c r="AE252">
        <f ca="1">IF(VALUE(RIGHT(AE44,3)),VALUE(RIGHT(AE44,3))*SUM(OFFSET('2.3家乡建筑'!$BC42,,,VALUE(LEFT(AE44,2)))),)</f>
        <v>0</v>
      </c>
      <c r="AF252">
        <f ca="1">IF(VALUE(RIGHT(AF44,3)),VALUE(RIGHT(AF44,3))*SUM(OFFSET('2.3家乡建筑'!$BC42,,,VALUE(LEFT(AF44,2)))),)</f>
        <v>0</v>
      </c>
      <c r="AG252">
        <f ca="1">IF(VALUE(RIGHT(AG44,3)),VALUE(RIGHT(AG44,3))*SUM(OFFSET('2.3家乡建筑'!$BC42,,,VALUE(LEFT(AG44,2)))),)</f>
        <v>0</v>
      </c>
      <c r="AH252">
        <f ca="1">IF(VALUE(RIGHT(AH44,3)),VALUE(RIGHT(AH44,3))*SUM(OFFSET('2.3家乡建筑'!$BC42,,,VALUE(LEFT(AH44,2)))),)</f>
        <v>450000</v>
      </c>
      <c r="AI252">
        <f ca="1">IF(VALUE(RIGHT(AI44,3)),VALUE(RIGHT(AI44,3))*SUM(OFFSET('2.3家乡建筑'!$BC42,,,VALUE(LEFT(AI44,2)))),)</f>
        <v>2250000</v>
      </c>
      <c r="AJ252">
        <f ca="1">IF(VALUE(RIGHT(AJ44,3)),VALUE(RIGHT(AJ44,3))*SUM(OFFSET('2.3家乡建筑'!$BC42,,,VALUE(LEFT(AJ44,2)))),)</f>
        <v>4750000</v>
      </c>
      <c r="AK252">
        <f ca="1">IF(VALUE(RIGHT(AK44,3)),VALUE(RIGHT(AK44,3))*SUM(OFFSET('2.3家乡建筑'!$BC42,,,VALUE(LEFT(AK44,2)))),)</f>
        <v>4750000</v>
      </c>
      <c r="AL252">
        <f ca="1">IF(VALUE(RIGHT(AL44,3)),VALUE(RIGHT(AL44,3))*SUM(OFFSET('2.3家乡建筑'!$BC42,,,VALUE(LEFT(AL44,2)))),)</f>
        <v>4750000</v>
      </c>
      <c r="AM252">
        <f ca="1">IF(VALUE(RIGHT(AM44,3)),VALUE(RIGHT(AM44,3))*SUM(OFFSET('2.3家乡建筑'!$BC42,,,VALUE(LEFT(AM44,2)))),)</f>
        <v>4750000</v>
      </c>
      <c r="AN252">
        <f ca="1">IF(VALUE(RIGHT(AN44,3)),VALUE(RIGHT(AN44,3))*SUM(OFFSET('2.3家乡建筑'!$BC42,,,VALUE(LEFT(AN44,2)))),)</f>
        <v>4750000</v>
      </c>
      <c r="AO252">
        <f ca="1">IF(VALUE(RIGHT(AO44,3)),VALUE(RIGHT(AO44,3))*SUM(OFFSET('2.3家乡建筑'!$BC42,,,VALUE(LEFT(AO44,2)))),)</f>
        <v>4750000</v>
      </c>
      <c r="AX252">
        <v>1500</v>
      </c>
      <c r="AY252" t="s">
        <v>5920</v>
      </c>
      <c r="AZ252" t="s">
        <v>5921</v>
      </c>
      <c r="BA252" t="s">
        <v>5467</v>
      </c>
      <c r="BB252">
        <v>10</v>
      </c>
      <c r="CD252" s="38">
        <v>248</v>
      </c>
      <c r="CE252" s="38">
        <f t="shared" si="87"/>
        <v>3.7384697248235934</v>
      </c>
      <c r="CF252" s="38">
        <f t="shared" si="93"/>
        <v>248.16472999999999</v>
      </c>
      <c r="CG252" s="38">
        <f t="shared" si="86"/>
        <v>249</v>
      </c>
      <c r="CP252" s="40">
        <v>600</v>
      </c>
      <c r="CQ252" s="41" t="s">
        <v>3938</v>
      </c>
      <c r="CR252" s="41" t="s">
        <v>3959</v>
      </c>
      <c r="CS252" s="41">
        <v>200</v>
      </c>
      <c r="CT252" s="41">
        <v>3</v>
      </c>
      <c r="CU252" s="41">
        <v>70</v>
      </c>
      <c r="CV252" s="41">
        <v>10</v>
      </c>
      <c r="CW252" s="40"/>
      <c r="CX252" s="41" t="s">
        <v>4716</v>
      </c>
      <c r="CY252" s="40" t="s">
        <v>4717</v>
      </c>
      <c r="DB252" s="45" t="s">
        <v>193</v>
      </c>
      <c r="DC252" s="7" t="str">
        <f t="shared" ca="1" si="94"/>
        <v>04_006</v>
      </c>
      <c r="DD252" t="s">
        <v>4989</v>
      </c>
      <c r="DE252" t="s">
        <v>5206</v>
      </c>
      <c r="DF252" t="s">
        <v>5058</v>
      </c>
      <c r="DG252" t="s">
        <v>4899</v>
      </c>
    </row>
    <row r="253" spans="4:111" ht="14.6">
      <c r="D253" s="6" t="str">
        <f t="shared" si="84"/>
        <v>都城建筑-&gt;冰霜法术工厂</v>
      </c>
      <c r="E253" s="6" t="str">
        <f t="shared" si="89"/>
        <v>#'4.2都城建筑'!AT80:AY86</v>
      </c>
      <c r="F253" s="6" t="s">
        <v>1921</v>
      </c>
      <c r="G253" s="6" t="s">
        <v>5922</v>
      </c>
      <c r="H253" s="6" t="s">
        <v>5872</v>
      </c>
      <c r="I253" s="6" t="s">
        <v>5828</v>
      </c>
      <c r="J253" s="6" t="s">
        <v>5168</v>
      </c>
      <c r="K253" t="s">
        <v>5056</v>
      </c>
      <c r="L253" t="s">
        <v>5869</v>
      </c>
      <c r="M253" t="s">
        <v>5037</v>
      </c>
      <c r="N253" t="s">
        <v>5244</v>
      </c>
      <c r="O253" t="s">
        <v>5104</v>
      </c>
      <c r="P253" t="s">
        <v>5353</v>
      </c>
      <c r="Q253" t="s">
        <v>4782</v>
      </c>
      <c r="R253" t="s">
        <v>4782</v>
      </c>
      <c r="S253">
        <f t="array" ref="S253">SUM(IFERROR(IF(MATCH(I253:R253,$F$4:$Q$4,0)&gt;0,1,0),0))</f>
        <v>0</v>
      </c>
      <c r="T253">
        <f t="shared" ca="1" si="85"/>
        <v>37</v>
      </c>
      <c r="U253">
        <f ca="1">T253+COUNTIF(T$5:$T252,T253)</f>
        <v>256</v>
      </c>
      <c r="Y253" s="12" t="s">
        <v>50</v>
      </c>
      <c r="AA253">
        <f ca="1">IF(VALUE(RIGHT(AA45,3)),VALUE(RIGHT(AA45,3))*SUM(OFFSET('2.3家乡建筑'!$BM42,,,VALUE(LEFT(AA45,2)))),)</f>
        <v>0</v>
      </c>
      <c r="AB253">
        <f ca="1">IF(VALUE(RIGHT(AB45,3)),VALUE(RIGHT(AB45,3))*SUM(OFFSET('2.3家乡建筑'!$BM42,,,VALUE(LEFT(AB45,2)))),)</f>
        <v>0</v>
      </c>
      <c r="AC253">
        <f ca="1">IF(VALUE(RIGHT(AC45,3)),VALUE(RIGHT(AC45,3))*SUM(OFFSET('2.3家乡建筑'!$BM42,,,VALUE(LEFT(AC45,2)))),)</f>
        <v>0</v>
      </c>
      <c r="AD253">
        <f ca="1">IF(VALUE(RIGHT(AD45,3)),VALUE(RIGHT(AD45,3))*SUM(OFFSET('2.3家乡建筑'!$BM42,,,VALUE(LEFT(AD45,2)))),)</f>
        <v>0</v>
      </c>
      <c r="AE253">
        <f ca="1">IF(VALUE(RIGHT(AE45,3)),VALUE(RIGHT(AE45,3))*SUM(OFFSET('2.3家乡建筑'!$BM42,,,VALUE(LEFT(AE45,2)))),)</f>
        <v>0</v>
      </c>
      <c r="AF253">
        <f ca="1">IF(VALUE(RIGHT(AF45,3)),VALUE(RIGHT(AF45,3))*SUM(OFFSET('2.3家乡建筑'!$BM42,,,VALUE(LEFT(AF45,2)))),)</f>
        <v>0</v>
      </c>
      <c r="AG253">
        <f ca="1">IF(VALUE(RIGHT(AG45,3)),VALUE(RIGHT(AG45,3))*SUM(OFFSET('2.3家乡建筑'!$BM42,,,VALUE(LEFT(AG45,2)))),)</f>
        <v>0</v>
      </c>
      <c r="AH253">
        <f ca="1">IF(VALUE(RIGHT(AH45,3)),VALUE(RIGHT(AH45,3))*SUM(OFFSET('2.3家乡建筑'!$BM42,,,VALUE(LEFT(AH45,2)))),)</f>
        <v>0</v>
      </c>
      <c r="AI253">
        <f ca="1">IF(VALUE(RIGHT(AI45,3)),VALUE(RIGHT(AI45,3))*SUM(OFFSET('2.3家乡建筑'!$BM42,,,VALUE(LEFT(AI45,2)))),)</f>
        <v>0</v>
      </c>
      <c r="AJ253">
        <f ca="1">IF(VALUE(RIGHT(AJ45,3)),VALUE(RIGHT(AJ45,3))*SUM(OFFSET('2.3家乡建筑'!$BM42,,,VALUE(LEFT(AJ45,2)))),)</f>
        <v>0</v>
      </c>
      <c r="AK253">
        <f ca="1">IF(VALUE(RIGHT(AK45,3)),VALUE(RIGHT(AK45,3))*SUM(OFFSET('2.3家乡建筑'!$BM42,,,VALUE(LEFT(AK45,2)))),)</f>
        <v>0</v>
      </c>
      <c r="AL253">
        <f ca="1">IF(VALUE(RIGHT(AL45,3)),VALUE(RIGHT(AL45,3))*SUM(OFFSET('2.3家乡建筑'!$BM42,,,VALUE(LEFT(AL45,2)))),)</f>
        <v>16500000</v>
      </c>
      <c r="AM253">
        <f ca="1">IF(VALUE(RIGHT(AM45,3)),VALUE(RIGHT(AM45,3))*SUM(OFFSET('2.3家乡建筑'!$BM42,,,VALUE(LEFT(AM45,2)))),)</f>
        <v>39500000</v>
      </c>
      <c r="AN253">
        <f ca="1">IF(VALUE(RIGHT(AN45,3)),VALUE(RIGHT(AN45,3))*SUM(OFFSET('2.3家乡建筑'!$BM42,,,VALUE(LEFT(AN45,2)))),)</f>
        <v>56000000</v>
      </c>
      <c r="AO253">
        <f ca="1">IF(VALUE(RIGHT(AO45,3)),VALUE(RIGHT(AO45,3))*SUM(OFFSET('2.3家乡建筑'!$BM42,,,VALUE(LEFT(AO45,2)))),)</f>
        <v>75000000</v>
      </c>
      <c r="AX253">
        <v>3000</v>
      </c>
      <c r="AY253" t="s">
        <v>4794</v>
      </c>
      <c r="AZ253" t="s">
        <v>4877</v>
      </c>
      <c r="BA253" t="s">
        <v>4878</v>
      </c>
      <c r="BB253">
        <v>20</v>
      </c>
      <c r="CD253" s="38">
        <v>249</v>
      </c>
      <c r="CE253" s="38">
        <f t="shared" si="87"/>
        <v>3.7404817972582012</v>
      </c>
      <c r="CF253" s="38">
        <f t="shared" si="93"/>
        <v>249.16415000000001</v>
      </c>
      <c r="CG253" s="38">
        <f t="shared" si="86"/>
        <v>250</v>
      </c>
      <c r="CP253" s="40">
        <v>601</v>
      </c>
      <c r="CQ253" s="41" t="s">
        <v>3962</v>
      </c>
      <c r="CR253" s="41" t="s">
        <v>5923</v>
      </c>
      <c r="CS253" s="41">
        <v>500</v>
      </c>
      <c r="CT253" s="41">
        <v>8</v>
      </c>
      <c r="CU253" s="41">
        <v>50</v>
      </c>
      <c r="CV253" s="41">
        <v>10</v>
      </c>
      <c r="CW253" s="40"/>
      <c r="CX253" s="41" t="s">
        <v>4716</v>
      </c>
      <c r="CY253" s="40" t="s">
        <v>4717</v>
      </c>
      <c r="DB253" s="45"/>
      <c r="DC253" s="7">
        <f t="shared" ca="1" si="94"/>
        <v>0</v>
      </c>
    </row>
    <row r="254" spans="4:111" ht="14.6">
      <c r="D254" s="6" t="str">
        <f t="shared" si="84"/>
        <v>都城建筑-&gt;狂暴法术工厂</v>
      </c>
      <c r="E254" s="6" t="str">
        <f t="shared" si="89"/>
        <v>#'4.2都城建筑'!BB80:BG86</v>
      </c>
      <c r="F254" s="6" t="s">
        <v>1925</v>
      </c>
      <c r="G254" s="6" t="s">
        <v>5924</v>
      </c>
      <c r="H254" s="6" t="s">
        <v>5872</v>
      </c>
      <c r="I254" s="6" t="s">
        <v>5828</v>
      </c>
      <c r="J254" s="6" t="s">
        <v>5168</v>
      </c>
      <c r="K254" t="s">
        <v>5298</v>
      </c>
      <c r="L254" t="s">
        <v>5262</v>
      </c>
      <c r="M254" t="s">
        <v>5242</v>
      </c>
      <c r="N254" t="s">
        <v>5243</v>
      </c>
      <c r="O254" t="s">
        <v>5037</v>
      </c>
      <c r="P254" t="s">
        <v>5244</v>
      </c>
      <c r="Q254" t="s">
        <v>5104</v>
      </c>
      <c r="R254" t="s">
        <v>5353</v>
      </c>
      <c r="S254">
        <f t="array" ref="S254">SUM(IFERROR(IF(MATCH(I254:R254,$F$4:$Q$4,0)&gt;0,1,0),0))</f>
        <v>0</v>
      </c>
      <c r="T254">
        <f t="shared" ca="1" si="85"/>
        <v>37</v>
      </c>
      <c r="U254">
        <f ca="1">T254+COUNTIF(T$5:$T253,T254)</f>
        <v>257</v>
      </c>
      <c r="Y254" s="12" t="s">
        <v>55</v>
      </c>
      <c r="AA254">
        <f ca="1">IF(VALUE(RIGHT(AA46,3)),VALUE(RIGHT(AA46,3))*SUM(OFFSET('2.3家乡建筑'!$BD52,,,VALUE(LEFT(AA46,2)))),)</f>
        <v>450</v>
      </c>
      <c r="AB254">
        <f ca="1">IF(VALUE(RIGHT(AB46,3)),VALUE(RIGHT(AB46,3))*SUM(OFFSET('2.3家乡建筑'!$BD52,,,VALUE(LEFT(AB46,2)))),)</f>
        <v>5100</v>
      </c>
      <c r="AC254">
        <f ca="1">IF(VALUE(RIGHT(AC46,3)),VALUE(RIGHT(AC46,3))*SUM(OFFSET('2.3家乡建筑'!$BD52,,,VALUE(LEFT(AC46,2)))),)</f>
        <v>37650</v>
      </c>
      <c r="AD254">
        <f ca="1">IF(VALUE(RIGHT(AD46,3)),VALUE(RIGHT(AD46,3))*SUM(OFFSET('2.3家乡建筑'!$BD52,,,VALUE(LEFT(AD46,2)))),)</f>
        <v>218200</v>
      </c>
      <c r="AE254">
        <f ca="1">IF(VALUE(RIGHT(AE46,3)),VALUE(RIGHT(AE46,3))*SUM(OFFSET('2.3家乡建筑'!$BD52,,,VALUE(LEFT(AE46,2)))),)</f>
        <v>927750</v>
      </c>
      <c r="AF254">
        <f ca="1">IF(VALUE(RIGHT(AF46,3)),VALUE(RIGHT(AF46,3))*SUM(OFFSET('2.3家乡建筑'!$BD52,,,VALUE(LEFT(AF46,2)))),)</f>
        <v>1113300</v>
      </c>
      <c r="AG254">
        <f ca="1">IF(VALUE(RIGHT(AG46,3)),VALUE(RIGHT(AG46,3))*SUM(OFFSET('2.3家乡建筑'!$BD52,,,VALUE(LEFT(AG46,2)))),)</f>
        <v>1713300</v>
      </c>
      <c r="AH254">
        <f ca="1">IF(VALUE(RIGHT(AH46,3)),VALUE(RIGHT(AH46,3))*SUM(OFFSET('2.3家乡建筑'!$BD52,,,VALUE(LEFT(AH46,2)))),)</f>
        <v>2913300</v>
      </c>
      <c r="AI254">
        <f ca="1">IF(VALUE(RIGHT(AI46,3)),VALUE(RIGHT(AI46,3))*SUM(OFFSET('2.3家乡建筑'!$BD52,,,VALUE(LEFT(AI46,2)))),)</f>
        <v>3398850</v>
      </c>
      <c r="AJ254">
        <f ca="1">IF(VALUE(RIGHT(AJ46,3)),VALUE(RIGHT(AJ46,3))*SUM(OFFSET('2.3家乡建筑'!$BD52,,,VALUE(LEFT(AJ46,2)))),)</f>
        <v>6198850</v>
      </c>
      <c r="AK254">
        <f ca="1">IF(VALUE(RIGHT(AK46,3)),VALUE(RIGHT(AK46,3))*SUM(OFFSET('2.3家乡建筑'!$BD52,,,VALUE(LEFT(AK46,2)))),)</f>
        <v>11798850</v>
      </c>
      <c r="AL254">
        <f ca="1">IF(VALUE(RIGHT(AL46,3)),VALUE(RIGHT(AL46,3))*SUM(OFFSET('2.3家乡建筑'!$BD52,,,VALUE(LEFT(AL46,2)))),)</f>
        <v>20198850</v>
      </c>
      <c r="AM254">
        <f ca="1">IF(VALUE(RIGHT(AM46,3)),VALUE(RIGHT(AM46,3))*SUM(OFFSET('2.3家乡建筑'!$BD52,,,VALUE(LEFT(AM46,2)))),)</f>
        <v>20198850</v>
      </c>
      <c r="AN254">
        <f ca="1">IF(VALUE(RIGHT(AN46,3)),VALUE(RIGHT(AN46,3))*SUM(OFFSET('2.3家乡建筑'!$BD52,,,VALUE(LEFT(AN46,2)))),)</f>
        <v>20198850</v>
      </c>
      <c r="AO254">
        <f ca="1">IF(VALUE(RIGHT(AO46,3)),VALUE(RIGHT(AO46,3))*SUM(OFFSET('2.3家乡建筑'!$BD52,,,VALUE(LEFT(AO46,2)))),)</f>
        <v>20198850</v>
      </c>
      <c r="AX254">
        <v>7500</v>
      </c>
      <c r="AY254" t="s">
        <v>4845</v>
      </c>
      <c r="AZ254" t="s">
        <v>5455</v>
      </c>
      <c r="BA254" t="s">
        <v>5907</v>
      </c>
      <c r="BB254">
        <v>50</v>
      </c>
      <c r="CD254" s="38">
        <v>250</v>
      </c>
      <c r="CE254" s="38">
        <f t="shared" si="87"/>
        <v>3.7424858052742334</v>
      </c>
      <c r="CF254" s="38">
        <f t="shared" si="93"/>
        <v>250.16356999999999</v>
      </c>
      <c r="CG254" s="38">
        <f t="shared" si="86"/>
        <v>251</v>
      </c>
      <c r="CP254" s="40">
        <v>602</v>
      </c>
      <c r="CQ254" s="41" t="s">
        <v>3966</v>
      </c>
      <c r="CR254" s="41" t="s">
        <v>5925</v>
      </c>
      <c r="CS254" s="41">
        <v>1500</v>
      </c>
      <c r="CT254" s="41">
        <v>24</v>
      </c>
      <c r="CU254" s="41">
        <v>10</v>
      </c>
      <c r="CV254" s="41">
        <v>20</v>
      </c>
      <c r="CW254" s="40"/>
      <c r="CX254" s="41" t="s">
        <v>4716</v>
      </c>
      <c r="CY254" s="40" t="s">
        <v>4717</v>
      </c>
      <c r="DB254" s="45" t="s">
        <v>204</v>
      </c>
      <c r="DC254" s="7" t="str">
        <f t="shared" ca="1" si="94"/>
        <v>04_001</v>
      </c>
      <c r="DD254" t="s">
        <v>4834</v>
      </c>
      <c r="DE254" t="s">
        <v>4784</v>
      </c>
      <c r="DF254" t="s">
        <v>4785</v>
      </c>
      <c r="DG254" t="s">
        <v>4873</v>
      </c>
    </row>
    <row r="255" spans="4:111" ht="14.6">
      <c r="D255" s="6" t="str">
        <f t="shared" si="84"/>
        <v>都城建筑-&gt;各类小屋</v>
      </c>
      <c r="E255" s="6" t="str">
        <f t="shared" si="89"/>
        <v>#'4.2都城建筑'!AL98:AS106</v>
      </c>
      <c r="F255" s="6" t="s">
        <v>5926</v>
      </c>
      <c r="G255" s="45" t="s">
        <v>5927</v>
      </c>
      <c r="H255" s="6" t="s">
        <v>5872</v>
      </c>
      <c r="I255" s="6" t="s">
        <v>5828</v>
      </c>
      <c r="J255" s="6" t="s">
        <v>5168</v>
      </c>
      <c r="K255" t="s">
        <v>5928</v>
      </c>
      <c r="L255" t="s">
        <v>5217</v>
      </c>
      <c r="M255" t="s">
        <v>5091</v>
      </c>
      <c r="N255" t="s">
        <v>5339</v>
      </c>
      <c r="O255" t="s">
        <v>5929</v>
      </c>
      <c r="P255" t="s">
        <v>5930</v>
      </c>
      <c r="Q255" t="s">
        <v>5179</v>
      </c>
      <c r="R255" t="s">
        <v>5931</v>
      </c>
      <c r="S255">
        <f t="array" ref="S255">SUM(IFERROR(IF(MATCH(I255:R255,$F$4:$Q$4,0)&gt;0,1,0),0))</f>
        <v>0</v>
      </c>
      <c r="T255">
        <f t="shared" ca="1" si="85"/>
        <v>37</v>
      </c>
      <c r="U255">
        <f ca="1">T255+COUNTIF(T$5:$T254,T255)</f>
        <v>258</v>
      </c>
      <c r="Y255" s="12" t="s">
        <v>60</v>
      </c>
      <c r="AA255">
        <f ca="1">IF(VALUE(RIGHT(AA47,3)),VALUE(RIGHT(AA47,3))*SUM(OFFSET('2.3家乡建筑'!$BB73,,,VALUE(LEFT(AA47,2)))),)</f>
        <v>300</v>
      </c>
      <c r="AB255">
        <f ca="1">IF(VALUE(RIGHT(AB47,3)),VALUE(RIGHT(AB47,3))*SUM(OFFSET('2.3家乡建筑'!$BB73,,,VALUE(LEFT(AB47,2)))),)</f>
        <v>2550</v>
      </c>
      <c r="AC255">
        <f ca="1">IF(VALUE(RIGHT(AC47,3)),VALUE(RIGHT(AC47,3))*SUM(OFFSET('2.3家乡建筑'!$BB73,,,VALUE(LEFT(AC47,2)))),)</f>
        <v>47100</v>
      </c>
      <c r="AD255">
        <f ca="1">IF(VALUE(RIGHT(AD47,3)),VALUE(RIGHT(AD47,3))*SUM(OFFSET('2.3家乡建筑'!$BB73,,,VALUE(LEFT(AD47,2)))),)</f>
        <v>197100</v>
      </c>
      <c r="AE255">
        <f ca="1">IF(VALUE(RIGHT(AE47,3)),VALUE(RIGHT(AE47,3))*SUM(OFFSET('2.3家乡建筑'!$BB73,,,VALUE(LEFT(AE47,2)))),)</f>
        <v>397100</v>
      </c>
      <c r="AF255">
        <f ca="1">IF(VALUE(RIGHT(AF47,3)),VALUE(RIGHT(AF47,3))*SUM(OFFSET('2.3家乡建筑'!$BB73,,,VALUE(LEFT(AF47,2)))),)</f>
        <v>897100</v>
      </c>
      <c r="AG255">
        <f ca="1">IF(VALUE(RIGHT(AG47,3)),VALUE(RIGHT(AG47,3))*SUM(OFFSET('2.3家乡建筑'!$BB73,,,VALUE(LEFT(AG47,2)))),)</f>
        <v>1897100</v>
      </c>
      <c r="AH255">
        <f ca="1">IF(VALUE(RIGHT(AH47,3)),VALUE(RIGHT(AH47,3))*SUM(OFFSET('2.3家乡建筑'!$BB73,,,VALUE(LEFT(AH47,2)))),)</f>
        <v>2845650</v>
      </c>
      <c r="AI255">
        <f ca="1">IF(VALUE(RIGHT(AI47,3)),VALUE(RIGHT(AI47,3))*SUM(OFFSET('2.3家乡建筑'!$BB73,,,VALUE(LEFT(AI47,2)))),)</f>
        <v>3794200</v>
      </c>
      <c r="AJ255">
        <f ca="1">IF(VALUE(RIGHT(AJ47,3)),VALUE(RIGHT(AJ47,3))*SUM(OFFSET('2.3家乡建筑'!$BB73,,,VALUE(LEFT(AJ47,2)))),)</f>
        <v>3794200</v>
      </c>
      <c r="AK255">
        <f ca="1">IF(VALUE(RIGHT(AK47,3)),VALUE(RIGHT(AK47,3))*SUM(OFFSET('2.3家乡建筑'!$BB73,,,VALUE(LEFT(AK47,2)))),)</f>
        <v>7794200</v>
      </c>
      <c r="AL255">
        <f ca="1">IF(VALUE(RIGHT(AL47,3)),VALUE(RIGHT(AL47,3))*SUM(OFFSET('2.3家乡建筑'!$BB73,,,VALUE(LEFT(AL47,2)))),)</f>
        <v>15794200</v>
      </c>
      <c r="AM255">
        <f ca="1">IF(VALUE(RIGHT(AM47,3)),VALUE(RIGHT(AM47,3))*SUM(OFFSET('2.3家乡建筑'!$BB73,,,VALUE(LEFT(AM47,2)))),)</f>
        <v>29794200</v>
      </c>
      <c r="AN255">
        <f ca="1">IF(VALUE(RIGHT(AN47,3)),VALUE(RIGHT(AN47,3))*SUM(OFFSET('2.3家乡建筑'!$BB73,,,VALUE(LEFT(AN47,2)))),)</f>
        <v>51794200</v>
      </c>
      <c r="AO255">
        <f ca="1">IF(VALUE(RIGHT(AO47,3)),VALUE(RIGHT(AO47,3))*SUM(OFFSET('2.3家乡建筑'!$BB73,,,VALUE(LEFT(AO47,2)))),)</f>
        <v>77794200</v>
      </c>
      <c r="AX255">
        <v>12000</v>
      </c>
      <c r="AY255" t="s">
        <v>4910</v>
      </c>
      <c r="AZ255" t="s">
        <v>4909</v>
      </c>
      <c r="BA255" t="s">
        <v>4795</v>
      </c>
      <c r="BB255">
        <v>60</v>
      </c>
      <c r="CD255" s="38">
        <v>251</v>
      </c>
      <c r="CE255" s="38">
        <f t="shared" si="87"/>
        <v>3.7444818132582651</v>
      </c>
      <c r="CF255" s="38">
        <f t="shared" si="93"/>
        <v>251.16299000000001</v>
      </c>
      <c r="CG255" s="38">
        <f t="shared" si="86"/>
        <v>252</v>
      </c>
      <c r="CP255" s="40">
        <v>603</v>
      </c>
      <c r="CQ255" s="41" t="s">
        <v>3970</v>
      </c>
      <c r="CR255" s="41" t="s">
        <v>5932</v>
      </c>
      <c r="CS255" s="41">
        <v>1500</v>
      </c>
      <c r="CT255" s="41">
        <v>24</v>
      </c>
      <c r="CU255" s="41">
        <v>10</v>
      </c>
      <c r="CV255" s="41">
        <v>20</v>
      </c>
      <c r="CW255" s="40"/>
      <c r="CX255" s="41" t="s">
        <v>4716</v>
      </c>
      <c r="CY255" s="40" t="s">
        <v>4717</v>
      </c>
      <c r="DB255" s="45" t="s">
        <v>209</v>
      </c>
      <c r="DC255" s="7" t="str">
        <f t="shared" ca="1" si="94"/>
        <v>04_001</v>
      </c>
      <c r="DD255" t="s">
        <v>5213</v>
      </c>
      <c r="DE255" t="s">
        <v>4784</v>
      </c>
      <c r="DF255" t="s">
        <v>4785</v>
      </c>
      <c r="DG255" t="s">
        <v>4873</v>
      </c>
    </row>
    <row r="256" spans="4:111" ht="14.6">
      <c r="D256" s="6" t="str">
        <f t="shared" si="84"/>
        <v>都城建筑-&gt;地雷</v>
      </c>
      <c r="E256" s="6" t="str">
        <f t="shared" si="89"/>
        <v>#'4.2都城建筑'!AU98:AY104</v>
      </c>
      <c r="F256" s="6" t="s">
        <v>1932</v>
      </c>
      <c r="G256" s="45" t="s">
        <v>5933</v>
      </c>
      <c r="H256" s="6" t="s">
        <v>5872</v>
      </c>
      <c r="I256" s="6" t="s">
        <v>5828</v>
      </c>
      <c r="J256" s="6" t="s">
        <v>5168</v>
      </c>
      <c r="K256" t="s">
        <v>5102</v>
      </c>
      <c r="L256" t="s">
        <v>5120</v>
      </c>
      <c r="M256" t="s">
        <v>4782</v>
      </c>
      <c r="N256" t="s">
        <v>4782</v>
      </c>
      <c r="O256" t="s">
        <v>4782</v>
      </c>
      <c r="P256" t="s">
        <v>4782</v>
      </c>
      <c r="Q256" t="s">
        <v>4782</v>
      </c>
      <c r="R256" t="s">
        <v>4782</v>
      </c>
      <c r="S256">
        <f t="array" ref="S256">SUM(IFERROR(IF(MATCH(I256:R256,$F$4:$Q$4,0)&gt;0,1,0),0))</f>
        <v>1</v>
      </c>
      <c r="T256">
        <f t="shared" ca="1" si="85"/>
        <v>20</v>
      </c>
      <c r="U256">
        <f ca="1">T256+COUNTIF(T$5:$T255,T256)</f>
        <v>34</v>
      </c>
      <c r="Y256" s="12" t="s">
        <v>64</v>
      </c>
      <c r="AA256">
        <f ca="1">IF(VALUE(RIGHT(AA48,3)),VALUE(RIGHT(AA48,3))*SUM(OFFSET('2.3家乡建筑'!$AT54,,,VALUE(LEFT(AA48,2)))),)</f>
        <v>450</v>
      </c>
      <c r="AB256">
        <f ca="1">IF(VALUE(RIGHT(AB48,3)),VALUE(RIGHT(AB48,3))*SUM(OFFSET('2.3家乡建筑'!$AT54,,,VALUE(LEFT(AB48,2)))),)</f>
        <v>5100</v>
      </c>
      <c r="AC256">
        <f ca="1">IF(VALUE(RIGHT(AC48,3)),VALUE(RIGHT(AC48,3))*SUM(OFFSET('2.3家乡建筑'!$AT54,,,VALUE(LEFT(AC48,2)))),)</f>
        <v>37650</v>
      </c>
      <c r="AD256">
        <f ca="1">IF(VALUE(RIGHT(AD48,3)),VALUE(RIGHT(AD48,3))*SUM(OFFSET('2.3家乡建筑'!$AT54,,,VALUE(LEFT(AD48,2)))),)</f>
        <v>218200</v>
      </c>
      <c r="AE256">
        <f ca="1">IF(VALUE(RIGHT(AE48,3)),VALUE(RIGHT(AE48,3))*SUM(OFFSET('2.3家乡建筑'!$AT54,,,VALUE(LEFT(AE48,2)))),)</f>
        <v>927750</v>
      </c>
      <c r="AF256">
        <f ca="1">IF(VALUE(RIGHT(AF48,3)),VALUE(RIGHT(AF48,3))*SUM(OFFSET('2.3家乡建筑'!$AT54,,,VALUE(LEFT(AF48,2)))),)</f>
        <v>1113300</v>
      </c>
      <c r="AG256">
        <f ca="1">IF(VALUE(RIGHT(AG48,3)),VALUE(RIGHT(AG48,3))*SUM(OFFSET('2.3家乡建筑'!$AT54,,,VALUE(LEFT(AG48,2)))),)</f>
        <v>1713300</v>
      </c>
      <c r="AH256">
        <f ca="1">IF(VALUE(RIGHT(AH48,3)),VALUE(RIGHT(AH48,3))*SUM(OFFSET('2.3家乡建筑'!$AT54,,,VALUE(LEFT(AH48,2)))),)</f>
        <v>2913300</v>
      </c>
      <c r="AI256">
        <f ca="1">IF(VALUE(RIGHT(AI48,3)),VALUE(RIGHT(AI48,3))*SUM(OFFSET('2.3家乡建筑'!$AT54,,,VALUE(LEFT(AI48,2)))),)</f>
        <v>3398850</v>
      </c>
      <c r="AJ256">
        <f ca="1">IF(VALUE(RIGHT(AJ48,3)),VALUE(RIGHT(AJ48,3))*SUM(OFFSET('2.3家乡建筑'!$AT54,,,VALUE(LEFT(AJ48,2)))),)</f>
        <v>6198850</v>
      </c>
      <c r="AK256">
        <f ca="1">IF(VALUE(RIGHT(AK48,3)),VALUE(RIGHT(AK48,3))*SUM(OFFSET('2.3家乡建筑'!$AT54,,,VALUE(LEFT(AK48,2)))),)</f>
        <v>11798850</v>
      </c>
      <c r="AL256">
        <f ca="1">IF(VALUE(RIGHT(AL48,3)),VALUE(RIGHT(AL48,3))*SUM(OFFSET('2.3家乡建筑'!$AT54,,,VALUE(LEFT(AL48,2)))),)</f>
        <v>20198850</v>
      </c>
      <c r="AM256">
        <f ca="1">IF(VALUE(RIGHT(AM48,3)),VALUE(RIGHT(AM48,3))*SUM(OFFSET('2.3家乡建筑'!$AT54,,,VALUE(LEFT(AM48,2)))),)</f>
        <v>20198850</v>
      </c>
      <c r="AN256">
        <f ca="1">IF(VALUE(RIGHT(AN48,3)),VALUE(RIGHT(AN48,3))*SUM(OFFSET('2.3家乡建筑'!$AT54,,,VALUE(LEFT(AN48,2)))),)</f>
        <v>20198850</v>
      </c>
      <c r="AO256">
        <f ca="1">IF(VALUE(RIGHT(AO48,3)),VALUE(RIGHT(AO48,3))*SUM(OFFSET('2.3家乡建筑'!$AT54,,,VALUE(LEFT(AO48,2)))),)</f>
        <v>20198850</v>
      </c>
      <c r="AX256">
        <v>18000</v>
      </c>
      <c r="AY256" t="s">
        <v>4746</v>
      </c>
      <c r="AZ256" t="s">
        <v>4934</v>
      </c>
      <c r="BA256" t="s">
        <v>4855</v>
      </c>
      <c r="BB256">
        <v>80</v>
      </c>
      <c r="CD256" s="38">
        <v>252</v>
      </c>
      <c r="CE256" s="38">
        <f t="shared" si="87"/>
        <v>3.7464698848288416</v>
      </c>
      <c r="CF256" s="38">
        <f t="shared" si="93"/>
        <v>252.16240999999999</v>
      </c>
      <c r="CG256" s="38">
        <f t="shared" si="86"/>
        <v>253</v>
      </c>
      <c r="CP256" s="40">
        <v>604</v>
      </c>
      <c r="CQ256" s="41" t="s">
        <v>3974</v>
      </c>
      <c r="CR256" s="41" t="s">
        <v>5934</v>
      </c>
      <c r="CS256" s="41">
        <v>1500</v>
      </c>
      <c r="CT256" s="41">
        <v>24</v>
      </c>
      <c r="CU256" s="41">
        <v>10</v>
      </c>
      <c r="CV256" s="41">
        <v>20</v>
      </c>
      <c r="CW256" s="40"/>
      <c r="CX256" s="41" t="s">
        <v>4716</v>
      </c>
      <c r="CY256" s="40" t="s">
        <v>4717</v>
      </c>
      <c r="DB256" s="45"/>
      <c r="DC256" s="7">
        <f t="shared" ca="1" si="94"/>
        <v>0</v>
      </c>
    </row>
    <row r="257" spans="4:111" ht="14.6">
      <c r="D257" s="6" t="str">
        <f t="shared" si="84"/>
        <v>都城建筑-&gt;巨型地雷</v>
      </c>
      <c r="E257" s="6" t="str">
        <f t="shared" si="89"/>
        <v>#'4.2都城建筑'!BB98:BF104</v>
      </c>
      <c r="F257" s="6" t="s">
        <v>1934</v>
      </c>
      <c r="G257" s="45" t="s">
        <v>5935</v>
      </c>
      <c r="H257" s="6" t="s">
        <v>5872</v>
      </c>
      <c r="I257" s="6" t="s">
        <v>5828</v>
      </c>
      <c r="J257" s="6" t="s">
        <v>5168</v>
      </c>
      <c r="K257" t="s">
        <v>4927</v>
      </c>
      <c r="L257" t="s">
        <v>5233</v>
      </c>
      <c r="M257" t="s">
        <v>5102</v>
      </c>
      <c r="N257" t="s">
        <v>5120</v>
      </c>
      <c r="O257" t="s">
        <v>4782</v>
      </c>
      <c r="P257" t="s">
        <v>4782</v>
      </c>
      <c r="Q257" t="s">
        <v>4782</v>
      </c>
      <c r="R257" t="s">
        <v>4782</v>
      </c>
      <c r="S257">
        <f t="array" ref="S257">SUM(IFERROR(IF(MATCH(I257:R257,$F$4:$Q$4,0)&gt;0,1,0),0))</f>
        <v>1</v>
      </c>
      <c r="T257">
        <f t="shared" ca="1" si="85"/>
        <v>20</v>
      </c>
      <c r="U257">
        <f ca="1">T257+COUNTIF(T$5:$T256,T257)</f>
        <v>35</v>
      </c>
      <c r="Y257" s="12" t="s">
        <v>68</v>
      </c>
      <c r="AA257">
        <f ca="1">IF(VALUE(RIGHT(AA49,3)),VALUE(RIGHT(AA49,3))*SUM(OFFSET('2.3家乡建筑'!$AR73,,,VALUE(LEFT(AA49,2)))),)</f>
        <v>300</v>
      </c>
      <c r="AB257">
        <f ca="1">IF(VALUE(RIGHT(AB49,3)),VALUE(RIGHT(AB49,3))*SUM(OFFSET('2.3家乡建筑'!$AR73,,,VALUE(LEFT(AB49,2)))),)</f>
        <v>2550</v>
      </c>
      <c r="AC257">
        <f ca="1">IF(VALUE(RIGHT(AC49,3)),VALUE(RIGHT(AC49,3))*SUM(OFFSET('2.3家乡建筑'!$AR73,,,VALUE(LEFT(AC49,2)))),)</f>
        <v>47100</v>
      </c>
      <c r="AD257">
        <f ca="1">IF(VALUE(RIGHT(AD49,3)),VALUE(RIGHT(AD49,3))*SUM(OFFSET('2.3家乡建筑'!$AR73,,,VALUE(LEFT(AD49,2)))),)</f>
        <v>197100</v>
      </c>
      <c r="AE257">
        <f ca="1">IF(VALUE(RIGHT(AE49,3)),VALUE(RIGHT(AE49,3))*SUM(OFFSET('2.3家乡建筑'!$AR73,,,VALUE(LEFT(AE49,2)))),)</f>
        <v>397100</v>
      </c>
      <c r="AF257">
        <f ca="1">IF(VALUE(RIGHT(AF49,3)),VALUE(RIGHT(AF49,3))*SUM(OFFSET('2.3家乡建筑'!$AR73,,,VALUE(LEFT(AF49,2)))),)</f>
        <v>897100</v>
      </c>
      <c r="AG257">
        <f ca="1">IF(VALUE(RIGHT(AG49,3)),VALUE(RIGHT(AG49,3))*SUM(OFFSET('2.3家乡建筑'!$AR73,,,VALUE(LEFT(AG49,2)))),)</f>
        <v>1897100</v>
      </c>
      <c r="AH257">
        <f ca="1">IF(VALUE(RIGHT(AH49,3)),VALUE(RIGHT(AH49,3))*SUM(OFFSET('2.3家乡建筑'!$AR73,,,VALUE(LEFT(AH49,2)))),)</f>
        <v>2845650</v>
      </c>
      <c r="AI257">
        <f ca="1">IF(VALUE(RIGHT(AI49,3)),VALUE(RIGHT(AI49,3))*SUM(OFFSET('2.3家乡建筑'!$AR73,,,VALUE(LEFT(AI49,2)))),)</f>
        <v>3794200</v>
      </c>
      <c r="AJ257">
        <f ca="1">IF(VALUE(RIGHT(AJ49,3)),VALUE(RIGHT(AJ49,3))*SUM(OFFSET('2.3家乡建筑'!$AR73,,,VALUE(LEFT(AJ49,2)))),)</f>
        <v>3794200</v>
      </c>
      <c r="AK257">
        <f ca="1">IF(VALUE(RIGHT(AK49,3)),VALUE(RIGHT(AK49,3))*SUM(OFFSET('2.3家乡建筑'!$AR73,,,VALUE(LEFT(AK49,2)))),)</f>
        <v>7794200</v>
      </c>
      <c r="AL257">
        <f ca="1">IF(VALUE(RIGHT(AL49,3)),VALUE(RIGHT(AL49,3))*SUM(OFFSET('2.3家乡建筑'!$AR73,,,VALUE(LEFT(AL49,2)))),)</f>
        <v>15794200</v>
      </c>
      <c r="AM257">
        <f ca="1">IF(VALUE(RIGHT(AM49,3)),VALUE(RIGHT(AM49,3))*SUM(OFFSET('2.3家乡建筑'!$AR73,,,VALUE(LEFT(AM49,2)))),)</f>
        <v>29794200</v>
      </c>
      <c r="AN257">
        <f ca="1">IF(VALUE(RIGHT(AN49,3)),VALUE(RIGHT(AN49,3))*SUM(OFFSET('2.3家乡建筑'!$AR73,,,VALUE(LEFT(AN49,2)))),)</f>
        <v>51794200</v>
      </c>
      <c r="AO257">
        <f ca="1">IF(VALUE(RIGHT(AO49,3)),VALUE(RIGHT(AO49,3))*SUM(OFFSET('2.3家乡建筑'!$AR73,,,VALUE(LEFT(AO49,2)))),)</f>
        <v>77794200</v>
      </c>
      <c r="AX257">
        <v>30000</v>
      </c>
      <c r="AY257" t="s">
        <v>5163</v>
      </c>
      <c r="AZ257" t="s">
        <v>4933</v>
      </c>
      <c r="BA257" t="s">
        <v>4953</v>
      </c>
      <c r="BB257">
        <v>100</v>
      </c>
      <c r="CD257" s="38">
        <v>253</v>
      </c>
      <c r="CE257" s="38">
        <f t="shared" si="87"/>
        <v>3.7484500828486436</v>
      </c>
      <c r="CF257" s="38">
        <f t="shared" si="93"/>
        <v>253.16184000000001</v>
      </c>
      <c r="CG257" s="38">
        <f t="shared" si="86"/>
        <v>254</v>
      </c>
      <c r="CP257" s="40">
        <v>605</v>
      </c>
      <c r="CQ257" s="41" t="s">
        <v>3978</v>
      </c>
      <c r="CR257" s="41" t="s">
        <v>5936</v>
      </c>
      <c r="CS257" s="41">
        <v>1500</v>
      </c>
      <c r="CT257" s="41">
        <v>24</v>
      </c>
      <c r="CU257" s="41">
        <v>10</v>
      </c>
      <c r="CV257" s="41">
        <v>20</v>
      </c>
      <c r="CW257" s="40"/>
      <c r="CX257" s="41" t="s">
        <v>4716</v>
      </c>
      <c r="CY257" s="40" t="s">
        <v>4717</v>
      </c>
      <c r="DB257" s="45" t="s">
        <v>213</v>
      </c>
      <c r="DC257" s="7" t="str">
        <f t="shared" ca="1" si="94"/>
        <v>04_005</v>
      </c>
      <c r="DD257" t="s">
        <v>5248</v>
      </c>
      <c r="DE257" t="s">
        <v>4896</v>
      </c>
      <c r="DF257" t="s">
        <v>5058</v>
      </c>
      <c r="DG257" t="s">
        <v>4898</v>
      </c>
    </row>
    <row r="258" spans="4:111" ht="14.6">
      <c r="D258" s="6" t="str">
        <f t="shared" ref="D258:D259" si="95">MID(H258,4,233)&amp;"-&gt;"&amp;MID(F258,4,233)</f>
        <v>都城建筑-&gt;滚木陷阱</v>
      </c>
      <c r="E258" s="6" t="str">
        <f t="shared" si="89"/>
        <v>#'4.2都城建筑'!AU110:AY106</v>
      </c>
      <c r="F258" s="6" t="s">
        <v>1935</v>
      </c>
      <c r="G258" s="45" t="s">
        <v>5937</v>
      </c>
      <c r="H258" s="6" t="s">
        <v>5872</v>
      </c>
      <c r="I258" s="6" t="s">
        <v>5828</v>
      </c>
      <c r="J258" s="6" t="s">
        <v>5168</v>
      </c>
      <c r="K258" t="s">
        <v>5178</v>
      </c>
      <c r="L258" t="s">
        <v>5179</v>
      </c>
      <c r="M258" t="s">
        <v>5436</v>
      </c>
      <c r="N258" t="s">
        <v>5437</v>
      </c>
      <c r="O258" t="s">
        <v>4782</v>
      </c>
      <c r="P258" t="s">
        <v>4782</v>
      </c>
      <c r="Q258" t="s">
        <v>4782</v>
      </c>
      <c r="R258" t="s">
        <v>4782</v>
      </c>
      <c r="S258">
        <f t="array" ref="S258">SUM(IFERROR(IF(MATCH(I258:R258,$F$4:$Q$4,0)&gt;0,1,0),0))</f>
        <v>0</v>
      </c>
      <c r="T258">
        <f t="shared" ref="T258:T275" ca="1" si="96">RANK(S258,INDIRECT($T$4))</f>
        <v>37</v>
      </c>
      <c r="U258">
        <f ca="1">T258+COUNTIF(T$5:$T257,T258)</f>
        <v>259</v>
      </c>
      <c r="Y258" s="12" t="s">
        <v>74</v>
      </c>
      <c r="AA258">
        <f ca="1">IF(VALUE(RIGHT(AA50,3)),VALUE(RIGHT(AA50,3))*SUM(OFFSET('2.3家乡建筑'!$BN52,,,VALUE(LEFT(AA50,2)))),)</f>
        <v>0</v>
      </c>
      <c r="AB258">
        <f ca="1">IF(VALUE(RIGHT(AB50,3)),VALUE(RIGHT(AB50,3))*SUM(OFFSET('2.3家乡建筑'!$BN52,,,VALUE(LEFT(AB50,2)))),)</f>
        <v>0</v>
      </c>
      <c r="AC258">
        <f ca="1">IF(VALUE(RIGHT(AC50,3)),VALUE(RIGHT(AC50,3))*SUM(OFFSET('2.3家乡建筑'!$BN52,,,VALUE(LEFT(AC50,2)))),)</f>
        <v>0</v>
      </c>
      <c r="AD258">
        <f ca="1">IF(VALUE(RIGHT(AD50,3)),VALUE(RIGHT(AD50,3))*SUM(OFFSET('2.3家乡建筑'!$BN52,,,VALUE(LEFT(AD50,2)))),)</f>
        <v>0</v>
      </c>
      <c r="AE258">
        <f ca="1">IF(VALUE(RIGHT(AE50,3)),VALUE(RIGHT(AE50,3))*SUM(OFFSET('2.3家乡建筑'!$BN52,,,VALUE(LEFT(AE50,2)))),)</f>
        <v>0</v>
      </c>
      <c r="AF258">
        <f ca="1">IF(VALUE(RIGHT(AF50,3)),VALUE(RIGHT(AF50,3))*SUM(OFFSET('2.3家乡建筑'!$BN52,,,VALUE(LEFT(AF50,2)))),)</f>
        <v>0</v>
      </c>
      <c r="AG258">
        <f ca="1">IF(VALUE(RIGHT(AG50,3)),VALUE(RIGHT(AG50,3))*SUM(OFFSET('2.3家乡建筑'!$BN52,,,VALUE(LEFT(AG50,2)))),)</f>
        <v>2100000</v>
      </c>
      <c r="AH258">
        <f ca="1">IF(VALUE(RIGHT(AH50,3)),VALUE(RIGHT(AH50,3))*SUM(OFFSET('2.3家乡建筑'!$BN52,,,VALUE(LEFT(AH50,2)))),)</f>
        <v>4200000</v>
      </c>
      <c r="AI258">
        <f ca="1">IF(VALUE(RIGHT(AI50,3)),VALUE(RIGHT(AI50,3))*SUM(OFFSET('2.3家乡建筑'!$BN52,,,VALUE(LEFT(AI50,2)))),)</f>
        <v>19800000</v>
      </c>
      <c r="AJ258">
        <f ca="1">IF(VALUE(RIGHT(AJ50,3)),VALUE(RIGHT(AJ50,3))*SUM(OFFSET('2.3家乡建筑'!$BN52,,,VALUE(LEFT(AJ50,2)))),)</f>
        <v>27000000</v>
      </c>
      <c r="AK258">
        <f ca="1">IF(VALUE(RIGHT(AK50,3)),VALUE(RIGHT(AK50,3))*SUM(OFFSET('2.3家乡建筑'!$BN52,,,VALUE(LEFT(AK50,2)))),)</f>
        <v>36000000</v>
      </c>
      <c r="AL258">
        <f ca="1">IF(VALUE(RIGHT(AL50,3)),VALUE(RIGHT(AL50,3))*SUM(OFFSET('2.3家乡建筑'!$BN52,,,VALUE(LEFT(AL50,2)))),)</f>
        <v>48000000</v>
      </c>
      <c r="AM258">
        <f ca="1">IF(VALUE(RIGHT(AM50,3)),VALUE(RIGHT(AM50,3))*SUM(OFFSET('2.3家乡建筑'!$BN52,,,VALUE(LEFT(AM50,2)))),)</f>
        <v>48000000</v>
      </c>
      <c r="AN258">
        <f ca="1">IF(VALUE(RIGHT(AN50,3)),VALUE(RIGHT(AN50,3))*SUM(OFFSET('2.3家乡建筑'!$BN52,,,VALUE(LEFT(AN50,2)))),)</f>
        <v>48000000</v>
      </c>
      <c r="AO258">
        <f ca="1">IF(VALUE(RIGHT(AO50,3)),VALUE(RIGHT(AO50,3))*SUM(OFFSET('2.3家乡建筑'!$BN52,,,VALUE(LEFT(AO50,2)))),)</f>
        <v>48000000</v>
      </c>
      <c r="AX258">
        <v>1500</v>
      </c>
      <c r="AY258" t="s">
        <v>4739</v>
      </c>
      <c r="AZ258" t="s">
        <v>4713</v>
      </c>
      <c r="BA258" t="s">
        <v>5467</v>
      </c>
      <c r="BB258">
        <v>10</v>
      </c>
      <c r="CD258" s="38">
        <v>254</v>
      </c>
      <c r="CE258" s="38">
        <f t="shared" si="87"/>
        <v>3.7504224694364146</v>
      </c>
      <c r="CF258" s="38">
        <f t="shared" si="93"/>
        <v>254.16127</v>
      </c>
      <c r="CG258" s="38">
        <f t="shared" si="86"/>
        <v>255</v>
      </c>
      <c r="CP258" s="40">
        <v>606</v>
      </c>
      <c r="CQ258" s="41" t="s">
        <v>3982</v>
      </c>
      <c r="CR258" s="41" t="s">
        <v>5938</v>
      </c>
      <c r="CS258" s="41">
        <v>1500</v>
      </c>
      <c r="CT258" s="41">
        <v>24</v>
      </c>
      <c r="CU258" s="41">
        <v>10</v>
      </c>
      <c r="CV258" s="41">
        <v>20</v>
      </c>
      <c r="CW258" s="40"/>
      <c r="CX258" s="41" t="s">
        <v>4716</v>
      </c>
      <c r="CY258" s="40" t="s">
        <v>4717</v>
      </c>
      <c r="DB258" s="45" t="s">
        <v>214</v>
      </c>
      <c r="DC258" s="7" t="str">
        <f t="shared" ca="1" si="94"/>
        <v>04_002</v>
      </c>
      <c r="DD258" t="s">
        <v>4834</v>
      </c>
      <c r="DE258" t="s">
        <v>4754</v>
      </c>
      <c r="DF258" t="s">
        <v>4755</v>
      </c>
      <c r="DG258" t="s">
        <v>4756</v>
      </c>
    </row>
    <row r="259" spans="4:111" ht="14.6">
      <c r="D259" s="6" t="str">
        <f t="shared" si="95"/>
        <v>都城建筑-&gt;电击陷阱</v>
      </c>
      <c r="E259" s="6" t="str">
        <f t="shared" si="89"/>
        <v>#'4.2都城建筑'!BB110:BF106</v>
      </c>
      <c r="F259" s="6" t="s">
        <v>1936</v>
      </c>
      <c r="G259" s="45" t="s">
        <v>5939</v>
      </c>
      <c r="H259" s="6" t="s">
        <v>5872</v>
      </c>
      <c r="I259" s="6" t="s">
        <v>5828</v>
      </c>
      <c r="J259" s="6" t="s">
        <v>5168</v>
      </c>
      <c r="K259" t="s">
        <v>5121</v>
      </c>
      <c r="L259" t="s">
        <v>5441</v>
      </c>
      <c r="M259" t="s">
        <v>5436</v>
      </c>
      <c r="N259" t="s">
        <v>5437</v>
      </c>
      <c r="O259" t="s">
        <v>4782</v>
      </c>
      <c r="P259" t="s">
        <v>4782</v>
      </c>
      <c r="Q259" t="s">
        <v>4782</v>
      </c>
      <c r="R259" t="s">
        <v>4782</v>
      </c>
      <c r="S259">
        <f t="array" ref="S259">SUM(IFERROR(IF(MATCH(I259:R259,$F$4:$Q$4,0)&gt;0,1,0),0))</f>
        <v>0</v>
      </c>
      <c r="T259">
        <f t="shared" ca="1" si="96"/>
        <v>37</v>
      </c>
      <c r="U259">
        <f ca="1">T259+COUNTIF(T$5:$T258,T259)</f>
        <v>260</v>
      </c>
      <c r="Y259" s="12" t="s">
        <v>79</v>
      </c>
      <c r="AA259">
        <f ca="1">IF(VALUE(RIGHT(AA51,3)),VALUE(RIGHT(AA51,3))*SUM(OFFSET('2.3家乡建筑'!$BL73,,,VALUE(LEFT(AA51,2)))),)</f>
        <v>0</v>
      </c>
      <c r="AB259">
        <f ca="1">IF(VALUE(RIGHT(AB51,3)),VALUE(RIGHT(AB51,3))*SUM(OFFSET('2.3家乡建筑'!$BL73,,,VALUE(LEFT(AB51,2)))),)</f>
        <v>0</v>
      </c>
      <c r="AC259">
        <f ca="1">IF(VALUE(RIGHT(AC51,3)),VALUE(RIGHT(AC51,3))*SUM(OFFSET('2.3家乡建筑'!$BL73,,,VALUE(LEFT(AC51,2)))),)</f>
        <v>0</v>
      </c>
      <c r="AD259">
        <f ca="1">IF(VALUE(RIGHT(AD51,3)),VALUE(RIGHT(AD51,3))*SUM(OFFSET('2.3家乡建筑'!$BL73,,,VALUE(LEFT(AD51,2)))),)</f>
        <v>0</v>
      </c>
      <c r="AE259">
        <f ca="1">IF(VALUE(RIGHT(AE51,3)),VALUE(RIGHT(AE51,3))*SUM(OFFSET('2.3家乡建筑'!$BL73,,,VALUE(LEFT(AE51,2)))),)</f>
        <v>0</v>
      </c>
      <c r="AF259">
        <f ca="1">IF(VALUE(RIGHT(AF51,3)),VALUE(RIGHT(AF51,3))*SUM(OFFSET('2.3家乡建筑'!$BL73,,,VALUE(LEFT(AF51,2)))),)</f>
        <v>0</v>
      </c>
      <c r="AG259">
        <f ca="1">IF(VALUE(RIGHT(AG51,3)),VALUE(RIGHT(AG51,3))*SUM(OFFSET('2.3家乡建筑'!$BL73,,,VALUE(LEFT(AG51,2)))),)</f>
        <v>750000</v>
      </c>
      <c r="AH259">
        <f ca="1">IF(VALUE(RIGHT(AH51,3)),VALUE(RIGHT(AH51,3))*SUM(OFFSET('2.3家乡建筑'!$BL73,,,VALUE(LEFT(AH51,2)))),)</f>
        <v>3250000</v>
      </c>
      <c r="AI259">
        <f ca="1">IF(VALUE(RIGHT(AI51,3)),VALUE(RIGHT(AI51,3))*SUM(OFFSET('2.3家乡建筑'!$BL73,,,VALUE(LEFT(AI51,2)))),)</f>
        <v>8250000</v>
      </c>
      <c r="AJ259">
        <f ca="1">IF(VALUE(RIGHT(AJ51,3)),VALUE(RIGHT(AJ51,3))*SUM(OFFSET('2.3家乡建筑'!$BL73,,,VALUE(LEFT(AJ51,2)))),)</f>
        <v>8250000</v>
      </c>
      <c r="AK259">
        <f ca="1">IF(VALUE(RIGHT(AK51,3)),VALUE(RIGHT(AK51,3))*SUM(OFFSET('2.3家乡建筑'!$BL73,,,VALUE(LEFT(AK51,2)))),)</f>
        <v>8250000</v>
      </c>
      <c r="AL259">
        <f ca="1">IF(VALUE(RIGHT(AL51,3)),VALUE(RIGHT(AL51,3))*SUM(OFFSET('2.3家乡建筑'!$BL73,,,VALUE(LEFT(AL51,2)))),)</f>
        <v>12450000</v>
      </c>
      <c r="AM259">
        <f ca="1">IF(VALUE(RIGHT(AM51,3)),VALUE(RIGHT(AM51,3))*SUM(OFFSET('2.3家乡建筑'!$BL73,,,VALUE(LEFT(AM51,2)))),)</f>
        <v>19150000</v>
      </c>
      <c r="AN259">
        <f ca="1">IF(VALUE(RIGHT(AN51,3)),VALUE(RIGHT(AN51,3))*SUM(OFFSET('2.3家乡建筑'!$BL73,,,VALUE(LEFT(AN51,2)))),)</f>
        <v>30650000</v>
      </c>
      <c r="AO259">
        <f ca="1">IF(VALUE(RIGHT(AO51,3)),VALUE(RIGHT(AO51,3))*SUM(OFFSET('2.3家乡建筑'!$BL73,,,VALUE(LEFT(AO51,2)))),)</f>
        <v>43150000</v>
      </c>
      <c r="AX259">
        <v>3000</v>
      </c>
      <c r="AY259" t="s">
        <v>4794</v>
      </c>
      <c r="AZ259" t="s">
        <v>4877</v>
      </c>
      <c r="BA259" t="s">
        <v>4878</v>
      </c>
      <c r="BB259">
        <v>20</v>
      </c>
      <c r="CD259" s="38">
        <v>255</v>
      </c>
      <c r="CE259" s="38">
        <f t="shared" si="87"/>
        <v>3.7523871059786544</v>
      </c>
      <c r="CF259" s="38">
        <f t="shared" si="93"/>
        <v>255.16069999999999</v>
      </c>
      <c r="CG259" s="38">
        <f t="shared" si="86"/>
        <v>256</v>
      </c>
      <c r="CP259" s="40">
        <v>607</v>
      </c>
      <c r="CQ259" s="41" t="s">
        <v>3987</v>
      </c>
      <c r="CR259" s="41" t="s">
        <v>5940</v>
      </c>
      <c r="CS259" s="41">
        <v>1500</v>
      </c>
      <c r="CT259" s="41">
        <v>24</v>
      </c>
      <c r="CU259" s="41">
        <v>10</v>
      </c>
      <c r="CV259" s="41">
        <v>20</v>
      </c>
      <c r="CW259" s="40"/>
      <c r="CX259" s="41" t="s">
        <v>4716</v>
      </c>
      <c r="CY259" s="40" t="s">
        <v>4717</v>
      </c>
      <c r="DB259" s="45" t="s">
        <v>215</v>
      </c>
      <c r="DC259" s="7" t="str">
        <f t="shared" ca="1" si="94"/>
        <v>04_005</v>
      </c>
      <c r="DD259" t="s">
        <v>4989</v>
      </c>
      <c r="DE259" t="s">
        <v>4896</v>
      </c>
      <c r="DF259" t="s">
        <v>5058</v>
      </c>
      <c r="DG259" t="s">
        <v>4898</v>
      </c>
    </row>
    <row r="260" spans="4:111" ht="14.6">
      <c r="D260" s="6" t="str">
        <f t="shared" ref="D260:D275" si="97">MID(H260,4,233)&amp;"-&gt;"&amp;MID(F260,4,233)</f>
        <v>家乡主力军-&gt;雷霆泰坦</v>
      </c>
      <c r="E260" s="6" t="str">
        <f t="shared" si="89"/>
        <v>#'2.1家乡主力军'!P71:X81</v>
      </c>
      <c r="F260" t="s">
        <v>342</v>
      </c>
      <c r="G260" t="s">
        <v>5941</v>
      </c>
      <c r="H260" s="43" t="s">
        <v>4779</v>
      </c>
      <c r="I260" t="s">
        <v>5120</v>
      </c>
      <c r="J260" t="s">
        <v>5942</v>
      </c>
      <c r="K260" t="s">
        <v>5943</v>
      </c>
      <c r="L260" t="s">
        <v>5944</v>
      </c>
      <c r="M260" t="s">
        <v>5121</v>
      </c>
      <c r="N260" t="s">
        <v>5553</v>
      </c>
      <c r="O260" t="s">
        <v>5945</v>
      </c>
      <c r="P260" t="s">
        <v>4782</v>
      </c>
      <c r="Q260" t="s">
        <v>4782</v>
      </c>
      <c r="R260" t="s">
        <v>4782</v>
      </c>
      <c r="S260">
        <f t="array" ref="S260">SUM(IFERROR(IF(MATCH(I260:R260,$F$4:$Q$4,0)&gt;0,1,0),0))</f>
        <v>0</v>
      </c>
      <c r="T260">
        <f t="shared" ca="1" si="96"/>
        <v>37</v>
      </c>
      <c r="U260">
        <f ca="1">T260+COUNTIF(T$5:$T259,T260)</f>
        <v>261</v>
      </c>
      <c r="Y260" t="s">
        <v>82</v>
      </c>
      <c r="AA260">
        <f ca="1">IF(VALUE(RIGHT(AA52,3)),VALUE(RIGHT(AA52,3))*SUM(OFFSET('2.3家乡建筑'!$AR92,,,VALUE(LEFT(AA52,2)))),)</f>
        <v>0</v>
      </c>
      <c r="AB260">
        <f ca="1">IF(VALUE(RIGHT(AB52,3)),VALUE(RIGHT(AB52,3))*SUM(OFFSET('2.3家乡建筑'!$AR92,,,VALUE(LEFT(AB52,2)))),)</f>
        <v>0</v>
      </c>
      <c r="AC260">
        <f ca="1">IF(VALUE(RIGHT(AC52,3)),VALUE(RIGHT(AC52,3))*SUM(OFFSET('2.3家乡建筑'!$AR92,,,VALUE(LEFT(AC52,2)))),)</f>
        <v>0</v>
      </c>
      <c r="AD260">
        <f ca="1">IF(VALUE(RIGHT(AD52,3)),VALUE(RIGHT(AD52,3))*SUM(OFFSET('2.3家乡建筑'!$AR92,,,VALUE(LEFT(AD52,2)))),)</f>
        <v>0</v>
      </c>
      <c r="AE260">
        <f ca="1">IF(VALUE(RIGHT(AE52,3)),VALUE(RIGHT(AE52,3))*SUM(OFFSET('2.3家乡建筑'!$AR92,,,VALUE(LEFT(AE52,2)))),)</f>
        <v>0</v>
      </c>
      <c r="AF260">
        <f ca="1">IF(VALUE(RIGHT(AF52,3)),VALUE(RIGHT(AF52,3))*SUM(OFFSET('2.3家乡建筑'!$AR92,,,VALUE(LEFT(AF52,2)))),)</f>
        <v>0</v>
      </c>
      <c r="AG260">
        <f ca="1">IF(VALUE(RIGHT(AG52,3)),VALUE(RIGHT(AG52,3))*SUM(OFFSET('2.3家乡建筑'!$AR92,,,VALUE(LEFT(AG52,2)))),)</f>
        <v>0</v>
      </c>
      <c r="AH260">
        <f ca="1">IF(VALUE(RIGHT(AH52,3)),VALUE(RIGHT(AH52,3))*SUM(OFFSET('2.3家乡建筑'!$AR92,,,VALUE(LEFT(AH52,2)))),)</f>
        <v>0</v>
      </c>
      <c r="AI260">
        <f ca="1">IF(VALUE(RIGHT(AI52,3)),VALUE(RIGHT(AI52,3))*SUM(OFFSET('2.3家乡建筑'!$AR92,,,VALUE(LEFT(AI52,2)))),)</f>
        <v>0</v>
      </c>
      <c r="AJ260">
        <f ca="1">IF(VALUE(RIGHT(AJ52,3)),VALUE(RIGHT(AJ52,3))*SUM(OFFSET('2.3家乡建筑'!$AR92,,,VALUE(LEFT(AJ52,2)))),)</f>
        <v>0</v>
      </c>
      <c r="AK260">
        <f ca="1">IF(VALUE(RIGHT(AK52,3)),VALUE(RIGHT(AK52,3))*SUM(OFFSET('2.3家乡建筑'!$AR92,,,VALUE(LEFT(AK52,2)))),)</f>
        <v>0</v>
      </c>
      <c r="AL260">
        <f ca="1">IF(VALUE(RIGHT(AL52,3)),VALUE(RIGHT(AL52,3))*SUM(OFFSET('2.3家乡建筑'!$AR92,,,VALUE(LEFT(AL52,2)))),)</f>
        <v>0</v>
      </c>
      <c r="AM260">
        <f ca="1">IF(VALUE(RIGHT(AM52,3)),VALUE(RIGHT(AM52,3))*SUM(OFFSET('2.3家乡建筑'!$AR92,,,VALUE(LEFT(AM52,2)))),)</f>
        <v>0</v>
      </c>
      <c r="AN260">
        <f ca="1">IF(VALUE(RIGHT(AN52,3)),VALUE(RIGHT(AN52,3))*SUM(OFFSET('2.3家乡建筑'!$AR92,,,VALUE(LEFT(AN52,2)))),)</f>
        <v>66500000</v>
      </c>
      <c r="AO260">
        <f ca="1">IF(VALUE(RIGHT(AO52,3)),VALUE(RIGHT(AO52,3))*SUM(OFFSET('2.3家乡建筑'!$AR92,,,VALUE(LEFT(AO52,2)))),)</f>
        <v>147000000</v>
      </c>
      <c r="AX260">
        <v>7500</v>
      </c>
      <c r="AY260" t="s">
        <v>4845</v>
      </c>
      <c r="AZ260" t="s">
        <v>5455</v>
      </c>
      <c r="BA260" t="s">
        <v>5907</v>
      </c>
      <c r="BB260">
        <v>50</v>
      </c>
      <c r="CD260" s="38">
        <v>256</v>
      </c>
      <c r="CE260" s="38">
        <f t="shared" si="87"/>
        <v>3.754344053141081</v>
      </c>
      <c r="CF260" s="38">
        <f t="shared" si="93"/>
        <v>256.16012999999998</v>
      </c>
      <c r="CG260" s="38">
        <f t="shared" ref="CG260:CG305" si="98">RANK(CF260,$CF$4:$CF$305,1)</f>
        <v>257</v>
      </c>
      <c r="CP260" s="40">
        <v>608</v>
      </c>
      <c r="CQ260" s="41" t="s">
        <v>3992</v>
      </c>
      <c r="CR260" s="41" t="s">
        <v>5946</v>
      </c>
      <c r="CS260" s="41">
        <v>1500</v>
      </c>
      <c r="CT260" s="41">
        <v>24</v>
      </c>
      <c r="CU260" s="41">
        <v>10</v>
      </c>
      <c r="CV260" s="41">
        <v>20</v>
      </c>
      <c r="CW260" s="40"/>
      <c r="CX260" s="41" t="s">
        <v>4716</v>
      </c>
      <c r="CY260" s="40" t="s">
        <v>4717</v>
      </c>
      <c r="DB260" s="45" t="s">
        <v>216</v>
      </c>
      <c r="DC260" s="7" t="str">
        <f t="shared" ca="1" si="94"/>
        <v>04_003</v>
      </c>
      <c r="DD260" t="s">
        <v>5213</v>
      </c>
      <c r="DE260" t="s">
        <v>5213</v>
      </c>
      <c r="DF260" t="s">
        <v>4755</v>
      </c>
      <c r="DG260" t="s">
        <v>4920</v>
      </c>
    </row>
    <row r="261" spans="4:111" ht="14.6">
      <c r="D261" s="6" t="str">
        <f t="shared" si="97"/>
        <v>家乡主力军-&gt;冰牙</v>
      </c>
      <c r="E261" s="6" t="str">
        <f t="shared" si="89"/>
        <v>#'2.1家乡主力军'!Y149:AG163</v>
      </c>
      <c r="F261" t="s">
        <v>655</v>
      </c>
      <c r="G261" t="s">
        <v>5947</v>
      </c>
      <c r="H261" s="43" t="s">
        <v>4779</v>
      </c>
      <c r="I261" t="s">
        <v>5056</v>
      </c>
      <c r="J261" t="s">
        <v>5948</v>
      </c>
      <c r="K261" t="s">
        <v>5869</v>
      </c>
      <c r="L261" t="s">
        <v>5091</v>
      </c>
      <c r="M261" t="s">
        <v>5128</v>
      </c>
      <c r="N261" t="s">
        <v>4782</v>
      </c>
      <c r="O261" t="s">
        <v>4782</v>
      </c>
      <c r="P261" t="s">
        <v>4782</v>
      </c>
      <c r="Q261" t="s">
        <v>4782</v>
      </c>
      <c r="R261" t="s">
        <v>4782</v>
      </c>
      <c r="S261">
        <f t="array" ref="S261">SUM(IFERROR(IF(MATCH(I261:R261,$F$4:$Q$4,0)&gt;0,1,0),0))</f>
        <v>0</v>
      </c>
      <c r="T261">
        <f t="shared" ca="1" si="96"/>
        <v>37</v>
      </c>
      <c r="U261">
        <f ca="1">T261+COUNTIF(T$5:$T260,T261)</f>
        <v>262</v>
      </c>
      <c r="AX261">
        <v>12000</v>
      </c>
      <c r="AY261" t="s">
        <v>4910</v>
      </c>
      <c r="AZ261" t="s">
        <v>4909</v>
      </c>
      <c r="BA261" t="s">
        <v>4795</v>
      </c>
      <c r="BB261">
        <v>60</v>
      </c>
      <c r="CD261" s="38">
        <v>257</v>
      </c>
      <c r="CE261" s="38">
        <f t="shared" si="87"/>
        <v>3.7562933708798725</v>
      </c>
      <c r="CF261" s="38">
        <f t="shared" si="93"/>
        <v>257.15956</v>
      </c>
      <c r="CG261" s="38">
        <f t="shared" si="98"/>
        <v>258</v>
      </c>
      <c r="CP261" s="40">
        <v>609</v>
      </c>
      <c r="CQ261" s="41" t="s">
        <v>3996</v>
      </c>
      <c r="CR261" s="41" t="s">
        <v>5949</v>
      </c>
      <c r="CS261" s="41">
        <v>1500</v>
      </c>
      <c r="CT261" s="41">
        <v>24</v>
      </c>
      <c r="CU261" s="41">
        <v>10</v>
      </c>
      <c r="CV261" s="41">
        <v>20</v>
      </c>
      <c r="CW261" s="40"/>
      <c r="CX261" s="41" t="s">
        <v>4716</v>
      </c>
      <c r="CY261" s="40" t="s">
        <v>4717</v>
      </c>
      <c r="DB261" s="45"/>
      <c r="DC261" s="7">
        <f t="shared" ca="1" si="94"/>
        <v>0</v>
      </c>
    </row>
    <row r="262" spans="4:111" ht="14.6">
      <c r="D262" s="6" t="str">
        <f t="shared" si="97"/>
        <v>家乡主力军-&gt;地兽</v>
      </c>
      <c r="E262" s="6" t="str">
        <f t="shared" si="89"/>
        <v>#'2.1家乡主力军'!Y165:AG176</v>
      </c>
      <c r="F262" t="s">
        <v>657</v>
      </c>
      <c r="G262" t="s">
        <v>5950</v>
      </c>
      <c r="H262" s="43" t="s">
        <v>4779</v>
      </c>
      <c r="I262" t="s">
        <v>5102</v>
      </c>
      <c r="J262" t="s">
        <v>5951</v>
      </c>
      <c r="K262" t="s">
        <v>5952</v>
      </c>
      <c r="L262" t="s">
        <v>5952</v>
      </c>
      <c r="M262" t="s">
        <v>5102</v>
      </c>
      <c r="N262" t="s">
        <v>5953</v>
      </c>
      <c r="O262" t="s">
        <v>5954</v>
      </c>
      <c r="P262" t="s">
        <v>5955</v>
      </c>
      <c r="Q262" t="s">
        <v>4782</v>
      </c>
      <c r="R262" t="s">
        <v>4782</v>
      </c>
      <c r="S262">
        <f t="array" ref="S262">SUM(IFERROR(IF(MATCH(I262:R262,$F$4:$Q$4,0)&gt;0,1,0),0))</f>
        <v>2</v>
      </c>
      <c r="T262">
        <f t="shared" ca="1" si="96"/>
        <v>4</v>
      </c>
      <c r="U262">
        <f ca="1">T262+COUNTIF(T$5:$T261,T262)</f>
        <v>17</v>
      </c>
      <c r="AX262">
        <v>18000</v>
      </c>
      <c r="AY262" t="s">
        <v>4865</v>
      </c>
      <c r="AZ262" t="s">
        <v>4751</v>
      </c>
      <c r="BA262" t="s">
        <v>4745</v>
      </c>
      <c r="BB262">
        <v>80</v>
      </c>
      <c r="CD262" s="38">
        <v>258</v>
      </c>
      <c r="CE262" s="38">
        <f t="shared" ref="CE262:CE305" si="99">CE261+1/(2*CD262-1)</f>
        <v>3.7582351184526881</v>
      </c>
      <c r="CF262" s="38">
        <f t="shared" si="93"/>
        <v>258.15899999999999</v>
      </c>
      <c r="CG262" s="38">
        <f t="shared" si="98"/>
        <v>259</v>
      </c>
      <c r="CP262" s="40">
        <v>610</v>
      </c>
      <c r="CQ262" s="41" t="s">
        <v>4001</v>
      </c>
      <c r="CR262" s="41" t="s">
        <v>5956</v>
      </c>
      <c r="CS262" s="41">
        <v>1500</v>
      </c>
      <c r="CT262" s="41">
        <v>24</v>
      </c>
      <c r="CU262" s="41">
        <v>10</v>
      </c>
      <c r="CV262" s="41">
        <v>20</v>
      </c>
      <c r="CW262" s="40"/>
      <c r="CX262" s="41" t="s">
        <v>4716</v>
      </c>
      <c r="CY262" s="40" t="s">
        <v>4717</v>
      </c>
      <c r="DB262" s="45" t="s">
        <v>217</v>
      </c>
      <c r="DC262" s="7">
        <f t="shared" ca="1" si="94"/>
        <v>4</v>
      </c>
      <c r="DD262" s="45">
        <v>3</v>
      </c>
      <c r="DE262" s="45">
        <v>3</v>
      </c>
      <c r="DF262" s="45">
        <v>3</v>
      </c>
      <c r="DG262" s="45">
        <v>4</v>
      </c>
    </row>
    <row r="263" spans="4:111" ht="14.6">
      <c r="D263" s="6" t="str">
        <f t="shared" si="97"/>
        <v>家乡主力军-&gt;猛蜥</v>
      </c>
      <c r="E263" s="6" t="str">
        <f t="shared" si="89"/>
        <v>#'2.1家乡主力军'!F176:O189</v>
      </c>
      <c r="F263" t="s">
        <v>659</v>
      </c>
      <c r="G263" s="45" t="s">
        <v>5957</v>
      </c>
      <c r="H263" s="43" t="s">
        <v>4779</v>
      </c>
      <c r="I263" t="s">
        <v>5958</v>
      </c>
      <c r="J263" t="s">
        <v>5959</v>
      </c>
      <c r="K263" t="s">
        <v>5260</v>
      </c>
      <c r="L263" t="s">
        <v>5960</v>
      </c>
      <c r="M263" t="s">
        <v>4782</v>
      </c>
      <c r="N263" t="s">
        <v>4782</v>
      </c>
      <c r="O263" t="s">
        <v>4782</v>
      </c>
      <c r="P263" t="s">
        <v>4782</v>
      </c>
      <c r="Q263" t="s">
        <v>4782</v>
      </c>
      <c r="R263" t="s">
        <v>4782</v>
      </c>
      <c r="S263">
        <f t="array" ref="S263">SUM(IFERROR(IF(MATCH(I263:R263,$F$4:$Q$4,0)&gt;0,1,0),0))</f>
        <v>0</v>
      </c>
      <c r="T263">
        <f t="shared" ca="1" si="96"/>
        <v>37</v>
      </c>
      <c r="U263">
        <f ca="1">T263+COUNTIF(T$5:$T262,T263)</f>
        <v>263</v>
      </c>
      <c r="Y263" s="12" t="s">
        <v>4</v>
      </c>
      <c r="AA263">
        <f ca="1">SUM(OFFSET('2.1家乡主力军'!$K6,,,AA55))</f>
        <v>0</v>
      </c>
      <c r="AB263">
        <f ca="1">SUM(OFFSET('2.1家乡主力军'!$K6,,,AB55))</f>
        <v>0</v>
      </c>
      <c r="AC263">
        <f ca="1">SUM(OFFSET('2.1家乡主力军'!$K6,,,AC55))</f>
        <v>20000</v>
      </c>
      <c r="AD263">
        <f ca="1">SUM(OFFSET('2.1家乡主力军'!$K6,,,AD55))</f>
        <v>20000</v>
      </c>
      <c r="AE263">
        <f ca="1">SUM(OFFSET('2.1家乡主力军'!$K6,,,AE55))</f>
        <v>80000</v>
      </c>
      <c r="AF263">
        <f ca="1">SUM(OFFSET('2.1家乡主力军'!$K6,,,AF55))</f>
        <v>80000</v>
      </c>
      <c r="AG263">
        <f ca="1">SUM(OFFSET('2.1家乡主力军'!$K6,,,AG55))</f>
        <v>280000</v>
      </c>
      <c r="AH263">
        <f ca="1">SUM(OFFSET('2.1家乡主力军'!$K6,,,AH55))</f>
        <v>930000</v>
      </c>
      <c r="AI263">
        <f ca="1">SUM(OFFSET('2.1家乡主力军'!$K6,,,AI55))</f>
        <v>2330000</v>
      </c>
      <c r="AJ263">
        <f ca="1">SUM(OFFSET('2.1家乡主力军'!$K6,,,AJ55))</f>
        <v>4430000</v>
      </c>
      <c r="AK263">
        <f ca="1">SUM(OFFSET('2.1家乡主力军'!$K6,,,AK55))</f>
        <v>7230000</v>
      </c>
      <c r="AL263">
        <f ca="1">SUM(OFFSET('2.1家乡主力军'!$K6,,,AL55))</f>
        <v>12830000</v>
      </c>
      <c r="AM263">
        <f ca="1">SUM(OFFSET('2.1家乡主力军'!$K6,,,AM55))</f>
        <v>12830000</v>
      </c>
      <c r="AN263">
        <f ca="1">SUM(OFFSET('2.1家乡主力军'!$K6,,,AN55))</f>
        <v>26830000</v>
      </c>
      <c r="AO263">
        <f ca="1">SUM(OFFSET('2.1家乡主力军'!$K6,,,AO55))</f>
        <v>42830000</v>
      </c>
      <c r="AX263">
        <v>30000</v>
      </c>
      <c r="AY263" t="s">
        <v>4866</v>
      </c>
      <c r="AZ263" t="s">
        <v>4933</v>
      </c>
      <c r="BA263" t="s">
        <v>4953</v>
      </c>
      <c r="BB263">
        <v>100</v>
      </c>
      <c r="CD263" s="38">
        <v>259</v>
      </c>
      <c r="CE263" s="38">
        <f t="shared" si="99"/>
        <v>3.7601693544294772</v>
      </c>
      <c r="CF263" s="38">
        <f t="shared" si="93"/>
        <v>259.15843999999998</v>
      </c>
      <c r="CG263" s="38">
        <f t="shared" si="98"/>
        <v>260</v>
      </c>
      <c r="CP263" s="40">
        <v>611</v>
      </c>
      <c r="CQ263" s="41" t="s">
        <v>3722</v>
      </c>
      <c r="CR263" s="41" t="s">
        <v>5961</v>
      </c>
      <c r="CS263" s="41">
        <v>1500</v>
      </c>
      <c r="CT263" s="41">
        <v>24</v>
      </c>
      <c r="CU263" s="41">
        <v>10</v>
      </c>
      <c r="CV263" s="41">
        <v>20</v>
      </c>
      <c r="CW263" s="40"/>
      <c r="CX263" s="41" t="s">
        <v>4716</v>
      </c>
      <c r="CY263" s="40" t="s">
        <v>4717</v>
      </c>
      <c r="DB263" s="45" t="s">
        <v>219</v>
      </c>
      <c r="DC263" s="7">
        <f t="shared" ca="1" si="94"/>
        <v>2</v>
      </c>
      <c r="DD263" s="45">
        <v>1</v>
      </c>
      <c r="DE263" s="45">
        <v>1</v>
      </c>
      <c r="DF263" s="45">
        <v>2</v>
      </c>
      <c r="DG263" s="45">
        <v>2</v>
      </c>
    </row>
    <row r="264" spans="4:111" ht="14.6">
      <c r="D264" s="6" t="str">
        <f t="shared" si="97"/>
        <v>家乡主力军-&gt;凤凰</v>
      </c>
      <c r="E264" s="6" t="str">
        <f t="shared" si="89"/>
        <v>#'2.1家乡主力军'!F191:N202</v>
      </c>
      <c r="F264" t="s">
        <v>661</v>
      </c>
      <c r="G264" s="45" t="s">
        <v>5962</v>
      </c>
      <c r="H264" s="43" t="s">
        <v>4779</v>
      </c>
      <c r="I264" t="s">
        <v>5963</v>
      </c>
      <c r="J264" t="s">
        <v>5964</v>
      </c>
      <c r="K264" t="s">
        <v>5965</v>
      </c>
      <c r="L264" t="s">
        <v>5149</v>
      </c>
      <c r="M264" t="s">
        <v>5966</v>
      </c>
      <c r="N264" t="s">
        <v>5967</v>
      </c>
      <c r="O264" t="s">
        <v>4782</v>
      </c>
      <c r="P264" t="s">
        <v>4782</v>
      </c>
      <c r="Q264" t="s">
        <v>4782</v>
      </c>
      <c r="R264" t="s">
        <v>4782</v>
      </c>
      <c r="S264">
        <f t="array" ref="S264">SUM(IFERROR(IF(MATCH(I264:R264,$F$4:$Q$4,0)&gt;0,1,0),0))</f>
        <v>0</v>
      </c>
      <c r="T264">
        <f t="shared" ca="1" si="96"/>
        <v>37</v>
      </c>
      <c r="U264">
        <f ca="1">T264+COUNTIF(T$5:$T263,T264)</f>
        <v>264</v>
      </c>
      <c r="Y264" s="12" t="s">
        <v>11</v>
      </c>
      <c r="AA264">
        <f ca="1">SUM(OFFSET('2.1家乡主力军'!$U6,,,AA56))</f>
        <v>0</v>
      </c>
      <c r="AB264">
        <f ca="1">SUM(OFFSET('2.1家乡主力军'!$U6,,,AB56))</f>
        <v>0</v>
      </c>
      <c r="AC264">
        <f ca="1">SUM(OFFSET('2.1家乡主力军'!$U6,,,AC56))</f>
        <v>30000</v>
      </c>
      <c r="AD264">
        <f ca="1">SUM(OFFSET('2.1家乡主力军'!$U6,,,AD56))</f>
        <v>30000</v>
      </c>
      <c r="AE264">
        <f ca="1">SUM(OFFSET('2.1家乡主力军'!$U6,,,AE56))</f>
        <v>110000</v>
      </c>
      <c r="AF264">
        <f ca="1">SUM(OFFSET('2.1家乡主力军'!$U6,,,AF56))</f>
        <v>110000</v>
      </c>
      <c r="AG264">
        <f ca="1">SUM(OFFSET('2.1家乡主力军'!$U6,,,AG56))</f>
        <v>410000</v>
      </c>
      <c r="AH264">
        <f ca="1">SUM(OFFSET('2.1家乡主力军'!$U6,,,AH56))</f>
        <v>1210000</v>
      </c>
      <c r="AI264">
        <f ca="1">SUM(OFFSET('2.1家乡主力军'!$U6,,,AI56))</f>
        <v>3210000</v>
      </c>
      <c r="AJ264">
        <f ca="1">SUM(OFFSET('2.1家乡主力军'!$U6,,,AJ56))</f>
        <v>5710000</v>
      </c>
      <c r="AK264">
        <f ca="1">SUM(OFFSET('2.1家乡主力军'!$U6,,,AK56))</f>
        <v>8910000</v>
      </c>
      <c r="AL264">
        <f ca="1">SUM(OFFSET('2.1家乡主力军'!$U6,,,AL56))</f>
        <v>15210000</v>
      </c>
      <c r="AM264">
        <f ca="1">SUM(OFFSET('2.1家乡主力军'!$U6,,,AM56))</f>
        <v>15210000</v>
      </c>
      <c r="AN264">
        <f ca="1">SUM(OFFSET('2.1家乡主力军'!$U6,,,AN56))</f>
        <v>29710000</v>
      </c>
      <c r="AO264">
        <f ca="1">SUM(OFFSET('2.1家乡主力军'!$U6,,,AO56))</f>
        <v>45710000</v>
      </c>
      <c r="AX264">
        <v>50000</v>
      </c>
      <c r="AY264" t="s">
        <v>4750</v>
      </c>
      <c r="AZ264" t="s">
        <v>5117</v>
      </c>
      <c r="BA264" t="s">
        <v>5003</v>
      </c>
      <c r="BB264">
        <v>120</v>
      </c>
      <c r="CD264" s="38">
        <v>260</v>
      </c>
      <c r="CE264" s="38">
        <f t="shared" si="99"/>
        <v>3.7620961367030801</v>
      </c>
      <c r="CF264" s="38">
        <f t="shared" si="93"/>
        <v>260.15787999999998</v>
      </c>
      <c r="CG264" s="38">
        <f t="shared" si="98"/>
        <v>261</v>
      </c>
      <c r="CP264" s="40">
        <v>612</v>
      </c>
      <c r="CQ264" s="41" t="s">
        <v>4011</v>
      </c>
      <c r="CR264" s="41" t="s">
        <v>5968</v>
      </c>
      <c r="CS264" s="41">
        <v>1500</v>
      </c>
      <c r="CT264" s="41">
        <v>24</v>
      </c>
      <c r="CU264" s="41">
        <v>10</v>
      </c>
      <c r="CV264" s="41">
        <v>20</v>
      </c>
      <c r="CW264" s="40"/>
      <c r="CX264" s="41" t="s">
        <v>4716</v>
      </c>
      <c r="CY264" s="40" t="s">
        <v>4717</v>
      </c>
      <c r="DB264" s="45" t="s">
        <v>221</v>
      </c>
      <c r="DC264" s="7">
        <f t="shared" ca="1" si="94"/>
        <v>6</v>
      </c>
      <c r="DD264" s="45">
        <v>4</v>
      </c>
      <c r="DE264" s="45">
        <v>5</v>
      </c>
      <c r="DF264" s="45">
        <v>6</v>
      </c>
      <c r="DG264" s="45">
        <v>6</v>
      </c>
    </row>
    <row r="265" spans="4:111" ht="14.6">
      <c r="D265" s="6" t="str">
        <f t="shared" si="97"/>
        <v>家乡支援军-&gt;召回法术</v>
      </c>
      <c r="E265" s="6" t="str">
        <f t="shared" si="89"/>
        <v>#'2.2家乡支援军'!P44:U51</v>
      </c>
      <c r="F265" t="s">
        <v>792</v>
      </c>
      <c r="G265" t="s">
        <v>5969</v>
      </c>
      <c r="H265" s="43" t="s">
        <v>5148</v>
      </c>
      <c r="I265" t="s">
        <v>5009</v>
      </c>
      <c r="J265" t="s">
        <v>5970</v>
      </c>
      <c r="K265" t="s">
        <v>5037</v>
      </c>
      <c r="L265" t="s">
        <v>5244</v>
      </c>
      <c r="M265" t="s">
        <v>5971</v>
      </c>
      <c r="N265" t="s">
        <v>4782</v>
      </c>
      <c r="O265" t="s">
        <v>4782</v>
      </c>
      <c r="P265" t="s">
        <v>4782</v>
      </c>
      <c r="Q265" t="s">
        <v>4782</v>
      </c>
      <c r="R265" t="s">
        <v>4782</v>
      </c>
      <c r="S265">
        <f t="array" ref="S265">SUM(IFERROR(IF(MATCH(I265:R265,$F$4:$Q$4,0)&gt;0,1,0),0))</f>
        <v>0</v>
      </c>
      <c r="T265">
        <f t="shared" ca="1" si="96"/>
        <v>37</v>
      </c>
      <c r="U265">
        <f ca="1">T265+COUNTIF(T$5:$T264,T265)</f>
        <v>265</v>
      </c>
      <c r="Y265" s="12" t="s">
        <v>16</v>
      </c>
      <c r="AA265">
        <f ca="1">IF(AA57=0,0,SUM(OFFSET('2.1家乡主力军'!$AF6,,,AA57)))</f>
        <v>0</v>
      </c>
      <c r="AB265">
        <f ca="1">IF(AB57=0,0,SUM(OFFSET('2.1家乡主力军'!$AF6,,,AB57)))</f>
        <v>0</v>
      </c>
      <c r="AC265">
        <f ca="1">IF(AC57=0,0,SUM(OFFSET('2.1家乡主力军'!$AF6,,,AC57)))</f>
        <v>0</v>
      </c>
      <c r="AD265">
        <f ca="1">IF(AD57=0,0,SUM(OFFSET('2.1家乡主力军'!$AF6,,,AD57)))</f>
        <v>40000</v>
      </c>
      <c r="AE265">
        <f ca="1">IF(AE57=0,0,SUM(OFFSET('2.1家乡主力军'!$AF6,,,AE57)))</f>
        <v>40000</v>
      </c>
      <c r="AF265">
        <f ca="1">IF(AF57=0,0,SUM(OFFSET('2.1家乡主力军'!$AF6,,,AF57)))</f>
        <v>190000</v>
      </c>
      <c r="AG265">
        <f ca="1">IF(AG57=0,0,SUM(OFFSET('2.1家乡主力军'!$AF6,,,AG57)))</f>
        <v>690000</v>
      </c>
      <c r="AH265">
        <f ca="1">IF(AH57=0,0,SUM(OFFSET('2.1家乡主力军'!$AF6,,,AH57)))</f>
        <v>1890000</v>
      </c>
      <c r="AI265">
        <f ca="1">IF(AI57=0,0,SUM(OFFSET('2.1家乡主力军'!$AF6,,,AI57)))</f>
        <v>3890000</v>
      </c>
      <c r="AJ265">
        <f ca="1">IF(AJ57=0,0,SUM(OFFSET('2.1家乡主力军'!$AF6,,,AJ57)))</f>
        <v>6890000</v>
      </c>
      <c r="AK265">
        <f ca="1">IF(AK57=0,0,SUM(OFFSET('2.1家乡主力军'!$AF6,,,AK57)))</f>
        <v>10390000</v>
      </c>
      <c r="AL265">
        <f ca="1">IF(AL57=0,0,SUM(OFFSET('2.1家乡主力军'!$AF6,,,AL57)))</f>
        <v>16690000</v>
      </c>
      <c r="AM265">
        <f ca="1">IF(AM57=0,0,SUM(OFFSET('2.1家乡主力军'!$AF6,,,AM57)))</f>
        <v>26690000</v>
      </c>
      <c r="AN265">
        <f ca="1">IF(AN57=0,0,SUM(OFFSET('2.1家乡主力军'!$AF6,,,AN57)))</f>
        <v>26690000</v>
      </c>
      <c r="AO265">
        <f ca="1">IF(AO57=0,0,SUM(OFFSET('2.1家乡主力军'!$AF6,,,AO57)))</f>
        <v>43190000</v>
      </c>
      <c r="AX265">
        <v>1500</v>
      </c>
      <c r="AY265" t="s">
        <v>5411</v>
      </c>
      <c r="AZ265" t="s">
        <v>5920</v>
      </c>
      <c r="BA265" t="s">
        <v>5921</v>
      </c>
      <c r="BB265">
        <v>10</v>
      </c>
      <c r="CD265" s="38">
        <v>261</v>
      </c>
      <c r="CE265" s="38">
        <f t="shared" si="99"/>
        <v>3.764015522499625</v>
      </c>
      <c r="CF265" s="38">
        <f t="shared" si="93"/>
        <v>261.15732000000003</v>
      </c>
      <c r="CG265" s="38">
        <f t="shared" si="98"/>
        <v>262</v>
      </c>
      <c r="CP265" s="40">
        <v>613</v>
      </c>
      <c r="CQ265" s="41" t="s">
        <v>4015</v>
      </c>
      <c r="CR265" s="41" t="s">
        <v>5972</v>
      </c>
      <c r="CS265" s="41">
        <v>1500</v>
      </c>
      <c r="CT265" s="41">
        <v>24</v>
      </c>
      <c r="CU265" s="41">
        <v>10</v>
      </c>
      <c r="CV265" s="41">
        <v>20</v>
      </c>
      <c r="CW265" s="40"/>
      <c r="CX265" s="41" t="s">
        <v>4716</v>
      </c>
      <c r="CY265" s="40" t="s">
        <v>4717</v>
      </c>
      <c r="DB265" s="45" t="s">
        <v>222</v>
      </c>
      <c r="DC265" s="7">
        <f t="shared" ca="1" si="94"/>
        <v>2</v>
      </c>
      <c r="DD265" s="45">
        <v>1</v>
      </c>
      <c r="DE265" s="45">
        <v>2</v>
      </c>
      <c r="DF265" s="45">
        <v>2</v>
      </c>
      <c r="DG265" s="45">
        <v>2</v>
      </c>
    </row>
    <row r="266" spans="4:111" ht="14.6">
      <c r="D266" s="6" t="str">
        <f t="shared" si="97"/>
        <v>家乡支援军-&gt;攻城钻机</v>
      </c>
      <c r="E266" s="6" t="str">
        <f t="shared" ref="E266:E274" si="100">"#'"&amp;H266&amp;"'!"&amp;G266</f>
        <v>#'2.2家乡支援军'!AD34:AK40</v>
      </c>
      <c r="F266" t="s">
        <v>789</v>
      </c>
      <c r="G266" t="s">
        <v>5973</v>
      </c>
      <c r="H266" s="43" t="s">
        <v>5148</v>
      </c>
      <c r="I266" t="s">
        <v>5167</v>
      </c>
      <c r="J266" t="s">
        <v>5168</v>
      </c>
      <c r="K266" t="s">
        <v>5415</v>
      </c>
      <c r="L266" t="s">
        <v>5409</v>
      </c>
      <c r="M266" t="s">
        <v>5102</v>
      </c>
      <c r="N266" t="s">
        <v>4782</v>
      </c>
      <c r="O266" t="s">
        <v>4782</v>
      </c>
      <c r="P266" t="s">
        <v>4782</v>
      </c>
      <c r="Q266" t="s">
        <v>4782</v>
      </c>
      <c r="R266" t="s">
        <v>4782</v>
      </c>
      <c r="S266">
        <f t="array" ref="S266">SUM(IFERROR(IF(MATCH(I266:R266,$F$4:$Q$4,0)&gt;0,1,0),0))</f>
        <v>1</v>
      </c>
      <c r="T266">
        <f t="shared" ca="1" si="96"/>
        <v>20</v>
      </c>
      <c r="U266">
        <f ca="1">T266+COUNTIF(T$5:$T265,T266)</f>
        <v>36</v>
      </c>
      <c r="Y266" s="12" t="s">
        <v>22</v>
      </c>
      <c r="AA266">
        <f ca="1">IF(AA58=0,0,SUM(OFFSET('2.1家乡主力军'!$L20,,,AA58)))</f>
        <v>0</v>
      </c>
      <c r="AB266">
        <f ca="1">IF(AB58=0,0,SUM(OFFSET('2.1家乡主力军'!$L20,,,AB58)))</f>
        <v>0</v>
      </c>
      <c r="AC266">
        <f ca="1">IF(AC58=0,0,SUM(OFFSET('2.1家乡主力军'!$L20,,,AC58)))</f>
        <v>45000</v>
      </c>
      <c r="AD266">
        <f ca="1">IF(AD58=0,0,SUM(OFFSET('2.1家乡主力军'!$L20,,,AD58)))</f>
        <v>45000</v>
      </c>
      <c r="AE266">
        <f ca="1">IF(AE58=0,0,SUM(OFFSET('2.1家乡主力军'!$L20,,,AE58)))</f>
        <v>220000</v>
      </c>
      <c r="AF266">
        <f ca="1">IF(AF58=0,0,SUM(OFFSET('2.1家乡主力军'!$L20,,,AF58)))</f>
        <v>220000</v>
      </c>
      <c r="AG266">
        <f ca="1">IF(AG58=0,0,SUM(OFFSET('2.1家乡主力军'!$L20,,,AG58)))</f>
        <v>720000</v>
      </c>
      <c r="AH266">
        <f ca="1">IF(AH58=0,0,SUM(OFFSET('2.1家乡主力军'!$L20,,,AH58)))</f>
        <v>1920000</v>
      </c>
      <c r="AI266">
        <f ca="1">IF(AI58=0,0,SUM(OFFSET('2.1家乡主力军'!$L20,,,AI58)))</f>
        <v>3920000</v>
      </c>
      <c r="AJ266">
        <f ca="1">IF(AJ58=0,0,SUM(OFFSET('2.1家乡主力军'!$L20,,,AJ58)))</f>
        <v>6920000</v>
      </c>
      <c r="AK266">
        <f ca="1">IF(AK58=0,0,SUM(OFFSET('2.1家乡主力军'!$L20,,,AK58)))</f>
        <v>6920000</v>
      </c>
      <c r="AL266">
        <f ca="1">IF(AL58=0,0,SUM(OFFSET('2.1家乡主力军'!$L20,,,AL58)))</f>
        <v>13220000</v>
      </c>
      <c r="AM266">
        <f ca="1">IF(AM58=0,0,SUM(OFFSET('2.1家乡主力军'!$L20,,,AM58)))</f>
        <v>13220000</v>
      </c>
      <c r="AN266">
        <f ca="1">IF(AN58=0,0,SUM(OFFSET('2.1家乡主力军'!$L20,,,AN58)))</f>
        <v>13220000</v>
      </c>
      <c r="AO266">
        <f ca="1">IF(AO58=0,0,SUM(OFFSET('2.1家乡主力军'!$L20,,,AO58)))</f>
        <v>13220000</v>
      </c>
      <c r="AX266">
        <v>3000</v>
      </c>
      <c r="AY266" t="s">
        <v>4794</v>
      </c>
      <c r="AZ266" t="s">
        <v>4877</v>
      </c>
      <c r="BA266" t="s">
        <v>4878</v>
      </c>
      <c r="BB266">
        <v>20</v>
      </c>
      <c r="CD266" s="38">
        <v>262</v>
      </c>
      <c r="CE266" s="38">
        <f t="shared" si="99"/>
        <v>3.7659275683887263</v>
      </c>
      <c r="CF266" s="38">
        <f t="shared" si="93"/>
        <v>262.15676999999999</v>
      </c>
      <c r="CG266" s="38">
        <f t="shared" si="98"/>
        <v>263</v>
      </c>
      <c r="CP266" s="40">
        <v>614</v>
      </c>
      <c r="CQ266" s="41" t="s">
        <v>3804</v>
      </c>
      <c r="CR266" s="41" t="s">
        <v>5974</v>
      </c>
      <c r="CS266" s="41">
        <v>1500</v>
      </c>
      <c r="CT266" s="41">
        <v>24</v>
      </c>
      <c r="CU266" s="40">
        <v>10</v>
      </c>
      <c r="CV266" s="40">
        <v>20</v>
      </c>
      <c r="CW266" s="40"/>
      <c r="CX266" s="41" t="s">
        <v>4716</v>
      </c>
      <c r="CY266" s="40" t="s">
        <v>4717</v>
      </c>
      <c r="DC266" s="7"/>
    </row>
    <row r="267" spans="4:111" ht="14.6">
      <c r="D267" s="6" t="str">
        <f t="shared" si="97"/>
        <v>家乡建筑-&gt;魔爆地狱组件</v>
      </c>
      <c r="E267" s="6" t="str">
        <f t="shared" si="100"/>
        <v>#'2.3家乡建筑'!P87:X95</v>
      </c>
      <c r="F267" t="s">
        <v>5975</v>
      </c>
      <c r="G267" t="s">
        <v>5976</v>
      </c>
      <c r="H267" s="43" t="s">
        <v>5312</v>
      </c>
      <c r="I267" t="s">
        <v>5977</v>
      </c>
      <c r="J267" t="s">
        <v>5464</v>
      </c>
      <c r="K267" t="s">
        <v>5102</v>
      </c>
      <c r="L267" t="s">
        <v>5203</v>
      </c>
      <c r="M267" t="s">
        <v>5340</v>
      </c>
      <c r="N267" t="s">
        <v>5341</v>
      </c>
      <c r="O267" t="s">
        <v>4927</v>
      </c>
      <c r="P267" t="s">
        <v>5233</v>
      </c>
      <c r="Q267" t="s">
        <v>5313</v>
      </c>
      <c r="R267" t="s">
        <v>4782</v>
      </c>
      <c r="S267">
        <f t="array" ref="S267">SUM(IFERROR(IF(MATCH(I267:R267,$F$4:$Q$4,0)&gt;0,1,0),0))</f>
        <v>2</v>
      </c>
      <c r="T267">
        <f t="shared" ca="1" si="96"/>
        <v>4</v>
      </c>
      <c r="U267">
        <f ca="1">T267+COUNTIF(T$5:$T266,T267)</f>
        <v>18</v>
      </c>
      <c r="Y267" s="12" t="s">
        <v>28</v>
      </c>
      <c r="AA267">
        <f ca="1">IF(AA59=0,0,SUM(OFFSET('2.1家乡主力军'!$W22,,,AA59)))</f>
        <v>0</v>
      </c>
      <c r="AB267">
        <f ca="1">IF(AB59=0,0,SUM(OFFSET('2.1家乡主力军'!$W22,,,AB59)))</f>
        <v>0</v>
      </c>
      <c r="AC267">
        <f ca="1">IF(AC59=0,0,SUM(OFFSET('2.1家乡主力军'!$W22,,,AC59)))</f>
        <v>0</v>
      </c>
      <c r="AD267">
        <f ca="1">IF(AD59=0,0,SUM(OFFSET('2.1家乡主力军'!$W22,,,AD59)))</f>
        <v>100000</v>
      </c>
      <c r="AE267">
        <f ca="1">IF(AE59=0,0,SUM(OFFSET('2.1家乡主力军'!$W22,,,AE59)))</f>
        <v>100000</v>
      </c>
      <c r="AF267">
        <f ca="1">IF(AF59=0,0,SUM(OFFSET('2.1家乡主力军'!$W22,,,AF59)))</f>
        <v>350000</v>
      </c>
      <c r="AG267">
        <f ca="1">IF(AG59=0,0,SUM(OFFSET('2.1家乡主力军'!$W22,,,AG59)))</f>
        <v>950000</v>
      </c>
      <c r="AH267">
        <f ca="1">IF(AH59=0,0,SUM(OFFSET('2.1家乡主力军'!$W22,,,AH59)))</f>
        <v>2150000</v>
      </c>
      <c r="AI267">
        <f ca="1">IF(AI59=0,0,SUM(OFFSET('2.1家乡主力军'!$W22,,,AI59)))</f>
        <v>2150000</v>
      </c>
      <c r="AJ267">
        <f ca="1">IF(AJ59=0,0,SUM(OFFSET('2.1家乡主力军'!$W22,,,AJ59)))</f>
        <v>4650000</v>
      </c>
      <c r="AK267">
        <f ca="1">IF(AK59=0,0,SUM(OFFSET('2.1家乡主力军'!$W22,,,AK59)))</f>
        <v>8850000</v>
      </c>
      <c r="AL267">
        <f ca="1">IF(AL59=0,0,SUM(OFFSET('2.1家乡主力军'!$W22,,,AL59)))</f>
        <v>16150000</v>
      </c>
      <c r="AM267">
        <f ca="1">IF(AM59=0,0,SUM(OFFSET('2.1家乡主力军'!$W22,,,AM59)))</f>
        <v>26150000</v>
      </c>
      <c r="AN267">
        <f ca="1">IF(AN59=0,0,SUM(OFFSET('2.1家乡主力军'!$W22,,,AN59)))</f>
        <v>41350000</v>
      </c>
      <c r="AO267">
        <f ca="1">IF(AO59=0,0,SUM(OFFSET('2.1家乡主力军'!$W22,,,AO59)))</f>
        <v>57850000</v>
      </c>
      <c r="AX267">
        <v>7500</v>
      </c>
      <c r="AY267" t="s">
        <v>4739</v>
      </c>
      <c r="AZ267" t="s">
        <v>4713</v>
      </c>
      <c r="BA267" t="s">
        <v>5467</v>
      </c>
      <c r="BB267">
        <v>50</v>
      </c>
      <c r="CD267" s="38">
        <v>263</v>
      </c>
      <c r="CE267" s="38">
        <f t="shared" si="99"/>
        <v>3.7678323302934884</v>
      </c>
      <c r="CF267" s="38">
        <f t="shared" si="93"/>
        <v>263.15622000000002</v>
      </c>
      <c r="CG267" s="38">
        <f t="shared" si="98"/>
        <v>264</v>
      </c>
      <c r="CP267" s="40">
        <v>1</v>
      </c>
      <c r="CQ267" s="41" t="s">
        <v>3529</v>
      </c>
      <c r="CR267" s="41" t="s">
        <v>5513</v>
      </c>
      <c r="CS267" s="41">
        <v>175</v>
      </c>
      <c r="CT267" s="41">
        <v>8</v>
      </c>
      <c r="CU267" s="41">
        <v>27</v>
      </c>
      <c r="CV267" s="41">
        <v>10</v>
      </c>
      <c r="CW267" s="41" t="s">
        <v>4706</v>
      </c>
      <c r="CX267" s="41" t="s">
        <v>4716</v>
      </c>
      <c r="CY267" s="40" t="s">
        <v>4717</v>
      </c>
    </row>
    <row r="268" spans="4:111" ht="14.6">
      <c r="D268" s="6" t="str">
        <f t="shared" si="97"/>
        <v>家乡建筑-&gt;法术塔</v>
      </c>
      <c r="E268" s="6" t="str">
        <f t="shared" si="100"/>
        <v>#'2.3家乡建筑'!F96:P100</v>
      </c>
      <c r="F268" t="s">
        <v>1172</v>
      </c>
      <c r="G268" t="s">
        <v>5978</v>
      </c>
      <c r="H268" s="43" t="s">
        <v>5312</v>
      </c>
      <c r="I268" t="s">
        <v>5037</v>
      </c>
      <c r="J268" t="s">
        <v>5244</v>
      </c>
      <c r="K268" t="s">
        <v>5313</v>
      </c>
      <c r="L268" t="s">
        <v>5479</v>
      </c>
      <c r="M268" t="s">
        <v>5242</v>
      </c>
      <c r="N268" t="s">
        <v>5260</v>
      </c>
      <c r="O268" t="s">
        <v>5226</v>
      </c>
      <c r="P268" t="s">
        <v>4782</v>
      </c>
      <c r="Q268" t="s">
        <v>4782</v>
      </c>
      <c r="R268" t="s">
        <v>4782</v>
      </c>
      <c r="S268">
        <f t="array" ref="S268">SUM(IFERROR(IF(MATCH(I268:R268,$F$4:$Q$4,0)&gt;0,1,0),0))</f>
        <v>0</v>
      </c>
      <c r="T268">
        <f t="shared" ca="1" si="96"/>
        <v>37</v>
      </c>
      <c r="U268">
        <f ca="1">T268+COUNTIF(T$5:$T267,T268)</f>
        <v>266</v>
      </c>
      <c r="Y268" s="12" t="s">
        <v>34</v>
      </c>
      <c r="AA268">
        <f ca="1">IF(AA60=0,0,SUM(OFFSET('2.1家乡主力军'!$AG20,,,AA60)))</f>
        <v>0</v>
      </c>
      <c r="AB268">
        <f ca="1">IF(AB60=0,0,SUM(OFFSET('2.1家乡主力军'!$AG20,,,AB60)))</f>
        <v>0</v>
      </c>
      <c r="AC268">
        <f ca="1">IF(AC60=0,0,SUM(OFFSET('2.1家乡主力军'!$AG20,,,AC60)))</f>
        <v>0</v>
      </c>
      <c r="AD268">
        <f ca="1">IF(AD60=0,0,SUM(OFFSET('2.1家乡主力军'!$AG20,,,AD60)))</f>
        <v>125000</v>
      </c>
      <c r="AE268">
        <f ca="1">IF(AE60=0,0,SUM(OFFSET('2.1家乡主力军'!$AG20,,,AE60)))</f>
        <v>125000</v>
      </c>
      <c r="AF268">
        <f ca="1">IF(AF60=0,0,SUM(OFFSET('2.1家乡主力军'!$AG20,,,AF60)))</f>
        <v>525000</v>
      </c>
      <c r="AG268">
        <f ca="1">IF(AG60=0,0,SUM(OFFSET('2.1家乡主力军'!$AG20,,,AG60)))</f>
        <v>1325000</v>
      </c>
      <c r="AH268">
        <f ca="1">IF(AH60=0,0,SUM(OFFSET('2.1家乡主力军'!$AG20,,,AH60)))</f>
        <v>2825000</v>
      </c>
      <c r="AI268">
        <f ca="1">IF(AI60=0,0,SUM(OFFSET('2.1家乡主力军'!$AG20,,,AI60)))</f>
        <v>5575000</v>
      </c>
      <c r="AJ268">
        <f ca="1">IF(AJ60=0,0,SUM(OFFSET('2.1家乡主力军'!$AG20,,,AJ60)))</f>
        <v>5575000</v>
      </c>
      <c r="AK268">
        <f ca="1">IF(AK60=0,0,SUM(OFFSET('2.1家乡主力军'!$AG20,,,AK60)))</f>
        <v>10075000</v>
      </c>
      <c r="AL268">
        <f ca="1">IF(AL60=0,0,SUM(OFFSET('2.1家乡主力军'!$AG20,,,AL60)))</f>
        <v>17775000</v>
      </c>
      <c r="AM268">
        <f ca="1">IF(AM60=0,0,SUM(OFFSET('2.1家乡主力军'!$AG20,,,AM60)))</f>
        <v>28275000</v>
      </c>
      <c r="AN268">
        <f ca="1">IF(AN60=0,0,SUM(OFFSET('2.1家乡主力军'!$AG20,,,AN60)))</f>
        <v>45275000</v>
      </c>
      <c r="AO268">
        <f ca="1">IF(AO60=0,0,SUM(OFFSET('2.1家乡主力军'!$AG20,,,AO60)))</f>
        <v>45275000</v>
      </c>
      <c r="AX268">
        <v>12000</v>
      </c>
      <c r="AY268" t="s">
        <v>4795</v>
      </c>
      <c r="AZ268" t="s">
        <v>4909</v>
      </c>
      <c r="BA268" t="s">
        <v>4910</v>
      </c>
      <c r="BB268">
        <v>60</v>
      </c>
      <c r="CD268" s="38">
        <v>264</v>
      </c>
      <c r="CE268" s="38">
        <f t="shared" si="99"/>
        <v>3.7697298635003196</v>
      </c>
      <c r="CF268" s="38">
        <f t="shared" si="93"/>
        <v>264.15566999999999</v>
      </c>
      <c r="CG268" s="38">
        <f t="shared" si="98"/>
        <v>265</v>
      </c>
      <c r="CP268" s="40">
        <v>2</v>
      </c>
      <c r="CQ268" s="41" t="s">
        <v>3538</v>
      </c>
      <c r="CR268" s="41" t="s">
        <v>5979</v>
      </c>
      <c r="CS268" s="41">
        <v>125</v>
      </c>
      <c r="CT268" s="41">
        <v>8</v>
      </c>
      <c r="CU268" s="41">
        <v>27</v>
      </c>
      <c r="CV268" s="41">
        <v>10</v>
      </c>
      <c r="CW268" s="41" t="s">
        <v>4706</v>
      </c>
      <c r="CX268" s="41" t="s">
        <v>4716</v>
      </c>
      <c r="CY268" s="40" t="s">
        <v>4717</v>
      </c>
    </row>
    <row r="269" spans="4:111" ht="14.6">
      <c r="D269" s="6" t="str">
        <f t="shared" si="97"/>
        <v>家乡建筑-&gt;巨石碑</v>
      </c>
      <c r="E269" s="6" t="str">
        <f t="shared" si="100"/>
        <v>#'2.3家乡建筑'!F105:N116</v>
      </c>
      <c r="F269" t="s">
        <v>1177</v>
      </c>
      <c r="G269" t="s">
        <v>5980</v>
      </c>
      <c r="H269" s="43" t="s">
        <v>5312</v>
      </c>
      <c r="I269" t="s">
        <v>4927</v>
      </c>
      <c r="J269" t="s">
        <v>4981</v>
      </c>
      <c r="K269" t="s">
        <v>5981</v>
      </c>
      <c r="L269" t="s">
        <v>5982</v>
      </c>
      <c r="M269" t="s">
        <v>2042</v>
      </c>
      <c r="N269" t="s">
        <v>4927</v>
      </c>
      <c r="O269" t="s">
        <v>5983</v>
      </c>
      <c r="P269" t="s">
        <v>5414</v>
      </c>
      <c r="Q269" t="s">
        <v>5479</v>
      </c>
      <c r="R269" t="s">
        <v>5984</v>
      </c>
      <c r="S269">
        <f t="array" ref="S269">SUM(IFERROR(IF(MATCH(I269:R269,$F$4:$Q$4,0)&gt;0,1,0),0))</f>
        <v>0</v>
      </c>
      <c r="T269">
        <f t="shared" ca="1" si="96"/>
        <v>37</v>
      </c>
      <c r="U269">
        <f ca="1">T269+COUNTIF(T$5:$T268,T269)</f>
        <v>267</v>
      </c>
      <c r="Y269" s="12" t="s">
        <v>40</v>
      </c>
      <c r="AA269">
        <f ca="1">IF(AA61=0,0,SUM(OFFSET('2.1家乡主力军'!$L33,,,AA61)))</f>
        <v>0</v>
      </c>
      <c r="AB269">
        <f ca="1">IF(AB61=0,0,SUM(OFFSET('2.1家乡主力军'!$L33,,,AB61)))</f>
        <v>0</v>
      </c>
      <c r="AC269">
        <f ca="1">IF(AC61=0,0,SUM(OFFSET('2.1家乡主力军'!$L33,,,AC61)))</f>
        <v>0</v>
      </c>
      <c r="AD269">
        <f ca="1">IF(AD61=0,0,SUM(OFFSET('2.1家乡主力军'!$L33,,,AD61)))</f>
        <v>0</v>
      </c>
      <c r="AE269">
        <f ca="1">IF(AE61=0,0,SUM(OFFSET('2.1家乡主力军'!$L33,,,AE61)))</f>
        <v>120000</v>
      </c>
      <c r="AF269">
        <f ca="1">IF(AF61=0,0,SUM(OFFSET('2.1家乡主力军'!$L33,,,AF61)))</f>
        <v>440000</v>
      </c>
      <c r="AG269">
        <f ca="1">IF(AG61=0,0,SUM(OFFSET('2.1家乡主力军'!$L33,,,AG61)))</f>
        <v>1060000</v>
      </c>
      <c r="AH269">
        <f ca="1">IF(AH61=0,0,SUM(OFFSET('2.1家乡主力军'!$L33,,,AH61)))</f>
        <v>2260000</v>
      </c>
      <c r="AI269">
        <f ca="1">IF(AI61=0,0,SUM(OFFSET('2.1家乡主力军'!$L33,,,AI61)))</f>
        <v>4460000</v>
      </c>
      <c r="AJ269">
        <f ca="1">IF(AJ61=0,0,SUM(OFFSET('2.1家乡主力军'!$L33,,,AJ61)))</f>
        <v>7960000</v>
      </c>
      <c r="AK269">
        <f ca="1">IF(AK61=0,0,SUM(OFFSET('2.1家乡主力军'!$L33,,,AK61)))</f>
        <v>12960000</v>
      </c>
      <c r="AL269">
        <f ca="1">IF(AL61=0,0,SUM(OFFSET('2.1家乡主力军'!$L33,,,AL61)))</f>
        <v>19460000</v>
      </c>
      <c r="AM269">
        <f ca="1">IF(AM61=0,0,SUM(OFFSET('2.1家乡主力军'!$L33,,,AM61)))</f>
        <v>29960000</v>
      </c>
      <c r="AN269">
        <f ca="1">IF(AN61=0,0,SUM(OFFSET('2.1家乡主力军'!$L33,,,AN61)))</f>
        <v>29960000</v>
      </c>
      <c r="AO269">
        <f ca="1">IF(AO61=0,0,SUM(OFFSET('2.1家乡主力军'!$L33,,,AO61)))</f>
        <v>47160000</v>
      </c>
      <c r="AX269">
        <v>18000</v>
      </c>
      <c r="AY269" t="s">
        <v>4746</v>
      </c>
      <c r="AZ269" t="s">
        <v>4751</v>
      </c>
      <c r="BA269" t="s">
        <v>4745</v>
      </c>
      <c r="BB269">
        <v>80</v>
      </c>
      <c r="CD269" s="38">
        <v>265</v>
      </c>
      <c r="CE269" s="38">
        <f t="shared" si="99"/>
        <v>3.7716202226685613</v>
      </c>
      <c r="CF269" s="38">
        <f t="shared" si="93"/>
        <v>265.15512000000001</v>
      </c>
      <c r="CG269" s="38">
        <f t="shared" si="98"/>
        <v>266</v>
      </c>
      <c r="CP269" s="40">
        <v>3</v>
      </c>
      <c r="CQ269" s="41" t="s">
        <v>3550</v>
      </c>
      <c r="CR269" s="41" t="s">
        <v>5985</v>
      </c>
      <c r="CS269" s="41">
        <v>125</v>
      </c>
      <c r="CT269" s="41">
        <v>8</v>
      </c>
      <c r="CU269" s="41">
        <v>27</v>
      </c>
      <c r="CV269" s="41">
        <v>10</v>
      </c>
      <c r="CW269" s="41" t="s">
        <v>4706</v>
      </c>
      <c r="CX269" s="41" t="s">
        <v>4716</v>
      </c>
      <c r="CY269" s="40" t="s">
        <v>4717</v>
      </c>
    </row>
    <row r="270" spans="4:111" ht="14.6">
      <c r="D270" s="6" t="str">
        <f t="shared" si="97"/>
        <v>家乡建筑-&gt;战宠小屋</v>
      </c>
      <c r="E270" s="6" t="str">
        <f t="shared" si="100"/>
        <v>#'2.3家乡建筑'!AM90:AS99</v>
      </c>
      <c r="F270" t="s">
        <v>1165</v>
      </c>
      <c r="G270" t="s">
        <v>5986</v>
      </c>
      <c r="H270" s="43" t="s">
        <v>5312</v>
      </c>
      <c r="I270" t="s">
        <v>4970</v>
      </c>
      <c r="J270" t="s">
        <v>5987</v>
      </c>
      <c r="K270" t="s">
        <v>5091</v>
      </c>
      <c r="L270" t="s">
        <v>5339</v>
      </c>
      <c r="M270" t="s">
        <v>4782</v>
      </c>
      <c r="N270" t="s">
        <v>4782</v>
      </c>
      <c r="O270" t="s">
        <v>4782</v>
      </c>
      <c r="P270" t="s">
        <v>4782</v>
      </c>
      <c r="Q270" t="s">
        <v>4782</v>
      </c>
      <c r="R270" t="s">
        <v>4782</v>
      </c>
      <c r="S270">
        <f t="array" ref="S270">SUM(IFERROR(IF(MATCH(I270:R270,$F$4:$Q$4,0)&gt;0,1,0),0))</f>
        <v>0</v>
      </c>
      <c r="T270">
        <f t="shared" ca="1" si="96"/>
        <v>37</v>
      </c>
      <c r="U270">
        <f ca="1">T270+COUNTIF(T$5:$T269,T270)</f>
        <v>268</v>
      </c>
      <c r="Y270" s="12" t="s">
        <v>45</v>
      </c>
      <c r="AA270">
        <f ca="1">IF(AA62=0,0,SUM(OFFSET('2.1家乡主力军'!$V36,,,AA62)))</f>
        <v>0</v>
      </c>
      <c r="AB270">
        <f ca="1">IF(AB62=0,0,SUM(OFFSET('2.1家乡主力军'!$V36,,,AB62)))</f>
        <v>0</v>
      </c>
      <c r="AC270">
        <f ca="1">IF(AC62=0,0,SUM(OFFSET('2.1家乡主力军'!$V36,,,AC62)))</f>
        <v>0</v>
      </c>
      <c r="AD270">
        <f ca="1">IF(AD62=0,0,SUM(OFFSET('2.1家乡主力军'!$V36,,,AD62)))</f>
        <v>0</v>
      </c>
      <c r="AE270">
        <f ca="1">IF(AE62=0,0,SUM(OFFSET('2.1家乡主力军'!$V36,,,AE62)))</f>
        <v>0</v>
      </c>
      <c r="AF270">
        <f ca="1">IF(AF62=0,0,SUM(OFFSET('2.1家乡主力军'!$V36,,,AF62)))</f>
        <v>0</v>
      </c>
      <c r="AG270">
        <f ca="1">IF(AG62=0,0,SUM(OFFSET('2.1家乡主力军'!$V36,,,AG62)))</f>
        <v>450000</v>
      </c>
      <c r="AH270">
        <f ca="1">IF(AH62=0,0,SUM(OFFSET('2.1家乡主力军'!$V36,,,AH62)))</f>
        <v>1350000</v>
      </c>
      <c r="AI270">
        <f ca="1">IF(AI62=0,0,SUM(OFFSET('2.1家乡主力军'!$V36,,,AI62)))</f>
        <v>4050000</v>
      </c>
      <c r="AJ270">
        <f ca="1">IF(AJ62=0,0,SUM(OFFSET('2.1家乡主力军'!$V36,,,AJ62)))</f>
        <v>4050000</v>
      </c>
      <c r="AK270">
        <f ca="1">IF(AK62=0,0,SUM(OFFSET('2.1家乡主力军'!$V36,,,AK62)))</f>
        <v>8250000</v>
      </c>
      <c r="AL270">
        <f ca="1">IF(AL62=0,0,SUM(OFFSET('2.1家乡主力军'!$V36,,,AL62)))</f>
        <v>8250000</v>
      </c>
      <c r="AM270">
        <f ca="1">IF(AM62=0,0,SUM(OFFSET('2.1家乡主力军'!$V36,,,AM62)))</f>
        <v>18050000</v>
      </c>
      <c r="AN270">
        <f ca="1">IF(AN62=0,0,SUM(OFFSET('2.1家乡主力军'!$V36,,,AN62)))</f>
        <v>34050000</v>
      </c>
      <c r="AO270">
        <f ca="1">IF(AO62=0,0,SUM(OFFSET('2.1家乡主力军'!$V36,,,AO62)))</f>
        <v>34050000</v>
      </c>
      <c r="AX270">
        <v>30000</v>
      </c>
      <c r="AY270" t="s">
        <v>4865</v>
      </c>
      <c r="AZ270" t="s">
        <v>4737</v>
      </c>
      <c r="BA270" t="s">
        <v>4953</v>
      </c>
      <c r="BB270">
        <v>100</v>
      </c>
      <c r="CD270" s="38">
        <v>266</v>
      </c>
      <c r="CE270" s="38">
        <f t="shared" si="99"/>
        <v>3.7735034618399359</v>
      </c>
      <c r="CF270" s="38">
        <f t="shared" si="93"/>
        <v>266.15456999999998</v>
      </c>
      <c r="CG270" s="38">
        <f t="shared" si="98"/>
        <v>267</v>
      </c>
      <c r="CP270" s="40">
        <v>4</v>
      </c>
      <c r="CQ270" s="41" t="s">
        <v>3544</v>
      </c>
      <c r="CR270" s="41" t="s">
        <v>5988</v>
      </c>
      <c r="CS270" s="41">
        <v>175</v>
      </c>
      <c r="CT270" s="41">
        <v>8</v>
      </c>
      <c r="CU270" s="41">
        <v>27</v>
      </c>
      <c r="CV270" s="41">
        <v>10</v>
      </c>
      <c r="CW270" s="41" t="s">
        <v>4706</v>
      </c>
      <c r="CX270" s="41" t="s">
        <v>4716</v>
      </c>
      <c r="CY270" s="40" t="s">
        <v>4717</v>
      </c>
    </row>
    <row r="271" spans="4:111" ht="14.6">
      <c r="D271" s="6" t="str">
        <f t="shared" si="97"/>
        <v>研究笔记-&gt;炸弹人开墙</v>
      </c>
      <c r="E271" s="6" t="str">
        <f t="shared" si="100"/>
        <v>#'5.2研究笔记'!AP249:BB298</v>
      </c>
      <c r="F271" t="s">
        <v>5989</v>
      </c>
      <c r="G271" t="s">
        <v>5990</v>
      </c>
      <c r="H271" s="43" t="s">
        <v>5677</v>
      </c>
      <c r="I271" t="s">
        <v>5015</v>
      </c>
      <c r="J271" t="s">
        <v>5016</v>
      </c>
      <c r="K271" t="s">
        <v>4831</v>
      </c>
      <c r="L271" t="s">
        <v>5991</v>
      </c>
      <c r="M271" t="s">
        <v>5321</v>
      </c>
      <c r="N271" t="s">
        <v>4782</v>
      </c>
      <c r="O271" t="s">
        <v>4782</v>
      </c>
      <c r="P271" t="s">
        <v>4782</v>
      </c>
      <c r="Q271" t="s">
        <v>4782</v>
      </c>
      <c r="R271" t="s">
        <v>4782</v>
      </c>
      <c r="S271">
        <f t="array" ref="S271">SUM(IFERROR(IF(MATCH(I271:R271,$F$4:$Q$4,0)&gt;0,1,0),0))</f>
        <v>0</v>
      </c>
      <c r="T271">
        <f t="shared" ca="1" si="96"/>
        <v>37</v>
      </c>
      <c r="U271">
        <f ca="1">T271+COUNTIF(T$5:$T270,T271)</f>
        <v>269</v>
      </c>
      <c r="Y271" s="12" t="s">
        <v>51</v>
      </c>
      <c r="AA271">
        <f ca="1">IF(AA63=0,0,SUM(OFFSET('2.1家乡主力军'!$AF33,,,AA63)))</f>
        <v>0</v>
      </c>
      <c r="AB271">
        <f ca="1">IF(AB63=0,0,SUM(OFFSET('2.1家乡主力军'!$AF33,,,AB63)))</f>
        <v>0</v>
      </c>
      <c r="AC271">
        <f ca="1">IF(AC63=0,0,SUM(OFFSET('2.1家乡主力军'!$AF33,,,AC63)))</f>
        <v>0</v>
      </c>
      <c r="AD271">
        <f ca="1">IF(AD63=0,0,SUM(OFFSET('2.1家乡主力军'!$AF33,,,AD63)))</f>
        <v>0</v>
      </c>
      <c r="AE271">
        <f ca="1">IF(AE63=0,0,SUM(OFFSET('2.1家乡主力军'!$AF33,,,AE63)))</f>
        <v>0</v>
      </c>
      <c r="AF271">
        <f ca="1">IF(AF63=0,0,SUM(OFFSET('2.1家乡主力军'!$AF33,,,AF63)))</f>
        <v>0</v>
      </c>
      <c r="AG271">
        <f ca="1">IF(AG63=0,0,SUM(OFFSET('2.1家乡主力军'!$AF33,,,AG63)))</f>
        <v>1000000</v>
      </c>
      <c r="AH271">
        <f ca="1">IF(AH63=0,0,SUM(OFFSET('2.1家乡主力军'!$AF33,,,AH63)))</f>
        <v>3000000</v>
      </c>
      <c r="AI271">
        <f ca="1">IF(AI63=0,0,SUM(OFFSET('2.1家乡主力军'!$AF33,,,AI63)))</f>
        <v>6000000</v>
      </c>
      <c r="AJ271">
        <f ca="1">IF(AJ63=0,0,SUM(OFFSET('2.1家乡主力军'!$AF33,,,AJ63)))</f>
        <v>9800000</v>
      </c>
      <c r="AK271">
        <f ca="1">IF(AK63=0,0,SUM(OFFSET('2.1家乡主力军'!$AF33,,,AK63)))</f>
        <v>14700000</v>
      </c>
      <c r="AL271">
        <f ca="1">IF(AL63=0,0,SUM(OFFSET('2.1家乡主力军'!$AF33,,,AL63)))</f>
        <v>21700000</v>
      </c>
      <c r="AM271">
        <f ca="1">IF(AM63=0,0,SUM(OFFSET('2.1家乡主力军'!$AF33,,,AM63)))</f>
        <v>32700000</v>
      </c>
      <c r="AN271">
        <f ca="1">IF(AN63=0,0,SUM(OFFSET('2.1家乡主力军'!$AF33,,,AN63)))</f>
        <v>50200000</v>
      </c>
      <c r="AO271">
        <f ca="1">IF(AO63=0,0,SUM(OFFSET('2.1家乡主力军'!$AF33,,,AO63)))</f>
        <v>50200000</v>
      </c>
      <c r="AX271">
        <v>50000</v>
      </c>
      <c r="AY271" t="s">
        <v>4945</v>
      </c>
      <c r="AZ271" t="s">
        <v>5117</v>
      </c>
      <c r="BA271" t="s">
        <v>5687</v>
      </c>
      <c r="BB271">
        <v>120</v>
      </c>
      <c r="CD271" s="38">
        <v>267</v>
      </c>
      <c r="CE271" s="38">
        <f t="shared" si="99"/>
        <v>3.7753796344478157</v>
      </c>
      <c r="CF271" s="38">
        <f t="shared" si="93"/>
        <v>267.15402999999998</v>
      </c>
      <c r="CG271" s="38">
        <f t="shared" si="98"/>
        <v>268</v>
      </c>
      <c r="CP271" s="40">
        <v>5</v>
      </c>
      <c r="CQ271" s="41" t="s">
        <v>3560</v>
      </c>
      <c r="CR271" s="41" t="s">
        <v>5992</v>
      </c>
      <c r="CS271" s="41">
        <v>175</v>
      </c>
      <c r="CT271" s="41">
        <v>8</v>
      </c>
      <c r="CU271" s="41">
        <v>27</v>
      </c>
      <c r="CV271" s="41">
        <v>10</v>
      </c>
      <c r="CW271" s="41" t="s">
        <v>4706</v>
      </c>
      <c r="CX271" s="41" t="s">
        <v>4716</v>
      </c>
      <c r="CY271" s="40" t="s">
        <v>4717</v>
      </c>
    </row>
    <row r="272" spans="4:111" ht="14.6">
      <c r="D272" s="6" t="str">
        <f t="shared" si="97"/>
        <v>研究笔记-&gt;毒药击杀时间</v>
      </c>
      <c r="E272" s="6" t="str">
        <f t="shared" si="100"/>
        <v>#'5.2研究笔记'!AP321:AW368</v>
      </c>
      <c r="F272" t="s">
        <v>5993</v>
      </c>
      <c r="G272" t="s">
        <v>5994</v>
      </c>
      <c r="H272" s="43" t="s">
        <v>5677</v>
      </c>
      <c r="I272" t="s">
        <v>5260</v>
      </c>
      <c r="J272" t="s">
        <v>5261</v>
      </c>
      <c r="K272" t="s">
        <v>5441</v>
      </c>
      <c r="L272" t="s">
        <v>5995</v>
      </c>
      <c r="M272" t="s">
        <v>2043</v>
      </c>
      <c r="N272" t="s">
        <v>5996</v>
      </c>
      <c r="O272" t="s">
        <v>4782</v>
      </c>
      <c r="P272" t="s">
        <v>4782</v>
      </c>
      <c r="Q272" t="s">
        <v>4782</v>
      </c>
      <c r="R272" t="s">
        <v>4782</v>
      </c>
      <c r="S272">
        <f t="array" ref="S272">SUM(IFERROR(IF(MATCH(I272:R272,$F$4:$Q$4,0)&gt;0,1,0),0))</f>
        <v>0</v>
      </c>
      <c r="T272">
        <f t="shared" ca="1" si="96"/>
        <v>37</v>
      </c>
      <c r="U272">
        <f ca="1">T272+COUNTIF(T$5:$T271,T272)</f>
        <v>270</v>
      </c>
      <c r="Y272" s="12" t="s">
        <v>56</v>
      </c>
      <c r="AA272">
        <f ca="1">IF(AA64=0,0,SUM(OFFSET('2.1家乡主力军'!$L46,,,AA64)))</f>
        <v>0</v>
      </c>
      <c r="AB272">
        <f ca="1">IF(AB64=0,0,SUM(OFFSET('2.1家乡主力军'!$L46,,,AB64)))</f>
        <v>0</v>
      </c>
      <c r="AC272">
        <f ca="1">IF(AC64=0,0,SUM(OFFSET('2.1家乡主力军'!$L46,,,AC64)))</f>
        <v>0</v>
      </c>
      <c r="AD272">
        <f ca="1">IF(AD64=0,0,SUM(OFFSET('2.1家乡主力军'!$L46,,,AD64)))</f>
        <v>0</v>
      </c>
      <c r="AE272">
        <f ca="1">IF(AE64=0,0,SUM(OFFSET('2.1家乡主力军'!$L46,,,AE64)))</f>
        <v>0</v>
      </c>
      <c r="AF272">
        <f ca="1">IF(AF64=0,0,SUM(OFFSET('2.1家乡主力军'!$L46,,,AF64)))</f>
        <v>0</v>
      </c>
      <c r="AG272">
        <f ca="1">IF(AG64=0,0,SUM(OFFSET('2.1家乡主力军'!$L46,,,AG64)))</f>
        <v>0</v>
      </c>
      <c r="AH272">
        <f ca="1">IF(AH64=0,0,SUM(OFFSET('2.1家乡主力军'!$L46,,,AH64)))</f>
        <v>3000000</v>
      </c>
      <c r="AI272">
        <f ca="1">IF(AI64=0,0,SUM(OFFSET('2.1家乡主力军'!$L46,,,AI64)))</f>
        <v>5800000</v>
      </c>
      <c r="AJ272">
        <f ca="1">IF(AJ64=0,0,SUM(OFFSET('2.1家乡主力军'!$L46,,,AJ64)))</f>
        <v>13200000</v>
      </c>
      <c r="AK272">
        <f ca="1">IF(AK64=0,0,SUM(OFFSET('2.1家乡主力军'!$L46,,,AK64)))</f>
        <v>18400000</v>
      </c>
      <c r="AL272">
        <f ca="1">IF(AL64=0,0,SUM(OFFSET('2.1家乡主力军'!$L46,,,AL64)))</f>
        <v>26100000</v>
      </c>
      <c r="AM272">
        <f ca="1">IF(AM64=0,0,SUM(OFFSET('2.1家乡主力军'!$L46,,,AM64)))</f>
        <v>36600000</v>
      </c>
      <c r="AN272">
        <f ca="1">IF(AN64=0,0,SUM(OFFSET('2.1家乡主力军'!$L46,,,AN64)))</f>
        <v>36600000</v>
      </c>
      <c r="AO272">
        <f ca="1">IF(AO64=0,0,SUM(OFFSET('2.1家乡主力军'!$L46,,,AO64)))</f>
        <v>36600000</v>
      </c>
      <c r="AX272">
        <v>1500</v>
      </c>
      <c r="AY272" t="s">
        <v>5411</v>
      </c>
      <c r="AZ272" t="s">
        <v>5920</v>
      </c>
      <c r="BA272" t="s">
        <v>5921</v>
      </c>
      <c r="BB272">
        <v>10</v>
      </c>
      <c r="CD272" s="38">
        <v>268</v>
      </c>
      <c r="CE272" s="38">
        <f t="shared" si="99"/>
        <v>3.7772487933263204</v>
      </c>
      <c r="CF272" s="38">
        <f t="shared" si="93"/>
        <v>268.15348999999998</v>
      </c>
      <c r="CG272" s="38">
        <f t="shared" si="98"/>
        <v>269</v>
      </c>
      <c r="CP272" s="40">
        <v>6</v>
      </c>
      <c r="CQ272" s="41" t="s">
        <v>3586</v>
      </c>
      <c r="CR272" s="41" t="s">
        <v>5997</v>
      </c>
      <c r="CS272" s="41">
        <v>175</v>
      </c>
      <c r="CT272" s="41">
        <v>8</v>
      </c>
      <c r="CU272" s="41">
        <v>27</v>
      </c>
      <c r="CV272" s="41">
        <v>10</v>
      </c>
      <c r="CW272" s="41" t="s">
        <v>4706</v>
      </c>
      <c r="CX272" s="41" t="s">
        <v>4716</v>
      </c>
      <c r="CY272" s="40" t="s">
        <v>4717</v>
      </c>
    </row>
    <row r="273" spans="4:103" ht="14.6">
      <c r="D273" s="6" t="str">
        <f t="shared" si="97"/>
        <v>研究笔记-&gt;隐形法术</v>
      </c>
      <c r="E273" s="6" t="str">
        <f t="shared" si="100"/>
        <v>#'5.2研究笔记'!Y340:AJ388</v>
      </c>
      <c r="F273" t="s">
        <v>5998</v>
      </c>
      <c r="G273" t="s">
        <v>5999</v>
      </c>
      <c r="H273" s="43" t="s">
        <v>5677</v>
      </c>
      <c r="I273" t="s">
        <v>5226</v>
      </c>
      <c r="J273" t="s">
        <v>5293</v>
      </c>
      <c r="K273" t="s">
        <v>5037</v>
      </c>
      <c r="L273" t="s">
        <v>5244</v>
      </c>
      <c r="M273" t="s">
        <v>6000</v>
      </c>
      <c r="N273" t="s">
        <v>6001</v>
      </c>
      <c r="O273" t="s">
        <v>4782</v>
      </c>
      <c r="P273" t="s">
        <v>4782</v>
      </c>
      <c r="Q273" t="s">
        <v>4782</v>
      </c>
      <c r="R273" t="s">
        <v>4782</v>
      </c>
      <c r="S273">
        <f t="array" ref="S273">SUM(IFERROR(IF(MATCH(I273:R273,$F$4:$Q$4,0)&gt;0,1,0),0))</f>
        <v>0</v>
      </c>
      <c r="T273">
        <f t="shared" ca="1" si="96"/>
        <v>37</v>
      </c>
      <c r="U273">
        <f ca="1">T273+COUNTIF(T$5:$T272,T273)</f>
        <v>271</v>
      </c>
      <c r="Y273" s="12" t="s">
        <v>61</v>
      </c>
      <c r="AA273">
        <f ca="1">IF(AA65=0,0,SUM(OFFSET('2.1家乡主力军'!$V49,,,AA65)))</f>
        <v>0</v>
      </c>
      <c r="AB273">
        <f ca="1">IF(AB65=0,0,SUM(OFFSET('2.1家乡主力军'!$V49,,,AB65)))</f>
        <v>0</v>
      </c>
      <c r="AC273">
        <f ca="1">IF(AC65=0,0,SUM(OFFSET('2.1家乡主力军'!$V49,,,AC65)))</f>
        <v>0</v>
      </c>
      <c r="AD273">
        <f ca="1">IF(AD65=0,0,SUM(OFFSET('2.1家乡主力军'!$V49,,,AD65)))</f>
        <v>0</v>
      </c>
      <c r="AE273">
        <f ca="1">IF(AE65=0,0,SUM(OFFSET('2.1家乡主力军'!$V49,,,AE65)))</f>
        <v>0</v>
      </c>
      <c r="AF273">
        <f ca="1">IF(AF65=0,0,SUM(OFFSET('2.1家乡主力军'!$V49,,,AF65)))</f>
        <v>0</v>
      </c>
      <c r="AG273">
        <f ca="1">IF(AG65=0,0,SUM(OFFSET('2.1家乡主力军'!$V49,,,AG65)))</f>
        <v>0</v>
      </c>
      <c r="AH273">
        <f ca="1">IF(AH65=0,0,SUM(OFFSET('2.1家乡主力军'!$V49,,,AH65)))</f>
        <v>0</v>
      </c>
      <c r="AI273">
        <f ca="1">IF(AI65=0,0,SUM(OFFSET('2.1家乡主力军'!$V49,,,AI65)))</f>
        <v>2000000</v>
      </c>
      <c r="AJ273">
        <f ca="1">IF(AJ65=0,0,SUM(OFFSET('2.1家乡主力军'!$V49,,,AJ65)))</f>
        <v>7900000</v>
      </c>
      <c r="AK273">
        <f ca="1">IF(AK65=0,0,SUM(OFFSET('2.1家乡主力军'!$V49,,,AK65)))</f>
        <v>12100000</v>
      </c>
      <c r="AL273">
        <f ca="1">IF(AL65=0,0,SUM(OFFSET('2.1家乡主力军'!$V49,,,AL65)))</f>
        <v>18400000</v>
      </c>
      <c r="AM273">
        <f ca="1">IF(AM65=0,0,SUM(OFFSET('2.1家乡主力军'!$V49,,,AM65)))</f>
        <v>27400000</v>
      </c>
      <c r="AN273">
        <f ca="1">IF(AN65=0,0,SUM(OFFSET('2.1家乡主力军'!$V49,,,AN65)))</f>
        <v>43400000</v>
      </c>
      <c r="AO273">
        <f ca="1">IF(AO65=0,0,SUM(OFFSET('2.1家乡主力军'!$V49,,,AO65)))</f>
        <v>43400000</v>
      </c>
      <c r="AX273">
        <v>3000</v>
      </c>
      <c r="AY273" t="s">
        <v>4794</v>
      </c>
      <c r="AZ273" t="s">
        <v>4877</v>
      </c>
      <c r="BA273" t="s">
        <v>4878</v>
      </c>
      <c r="BB273">
        <v>20</v>
      </c>
      <c r="CD273" s="38">
        <v>269</v>
      </c>
      <c r="CE273" s="38">
        <f t="shared" si="99"/>
        <v>3.7791109907192442</v>
      </c>
      <c r="CF273" s="38">
        <f t="shared" si="93"/>
        <v>269.15294999999998</v>
      </c>
      <c r="CG273" s="38">
        <f t="shared" si="98"/>
        <v>270</v>
      </c>
      <c r="CP273" s="40">
        <v>7</v>
      </c>
      <c r="CQ273" s="41" t="s">
        <v>3623</v>
      </c>
      <c r="CR273" s="41" t="s">
        <v>5670</v>
      </c>
      <c r="CS273" s="41">
        <v>175</v>
      </c>
      <c r="CT273" s="41">
        <v>8</v>
      </c>
      <c r="CU273" s="41">
        <v>27</v>
      </c>
      <c r="CV273" s="41">
        <v>10</v>
      </c>
      <c r="CW273" s="41" t="s">
        <v>4706</v>
      </c>
      <c r="CX273" s="41" t="s">
        <v>4716</v>
      </c>
      <c r="CY273" s="40" t="s">
        <v>4717</v>
      </c>
    </row>
    <row r="274" spans="4:103" ht="14.6">
      <c r="D274" s="6" t="str">
        <f t="shared" si="97"/>
        <v>家乡建筑-&gt;冰爆地狱组件</v>
      </c>
      <c r="E274" s="6" t="str">
        <f t="shared" si="100"/>
        <v>#'2.3家乡建筑'!P77:X84</v>
      </c>
      <c r="F274" t="s">
        <v>1155</v>
      </c>
      <c r="G274" t="s">
        <v>6002</v>
      </c>
      <c r="H274" s="43" t="s">
        <v>5312</v>
      </c>
      <c r="I274" t="s">
        <v>4927</v>
      </c>
      <c r="J274" t="s">
        <v>5233</v>
      </c>
      <c r="K274" t="s">
        <v>5102</v>
      </c>
      <c r="L274" t="s">
        <v>5203</v>
      </c>
      <c r="M274" t="s">
        <v>5313</v>
      </c>
      <c r="N274" t="s">
        <v>5056</v>
      </c>
      <c r="O274" t="s">
        <v>5464</v>
      </c>
      <c r="P274" t="s">
        <v>4782</v>
      </c>
      <c r="Q274" t="s">
        <v>4782</v>
      </c>
      <c r="R274" t="s">
        <v>4782</v>
      </c>
      <c r="S274">
        <f t="array" ref="S274">SUM(IFERROR(IF(MATCH(I274:R274,$F$4:$Q$4,0)&gt;0,1,0),0))</f>
        <v>2</v>
      </c>
      <c r="T274">
        <f t="shared" ca="1" si="96"/>
        <v>4</v>
      </c>
      <c r="U274">
        <f ca="1">T274+COUNTIF(T$5:$T273,T274)</f>
        <v>19</v>
      </c>
      <c r="Y274" s="12" t="s">
        <v>65</v>
      </c>
      <c r="AA274">
        <f ca="1">IF(AA66=0,0,SUM(OFFSET('2.1家乡主力军'!$AF46,,,AA66)))</f>
        <v>0</v>
      </c>
      <c r="AB274">
        <f ca="1">IF(AB66=0,0,SUM(OFFSET('2.1家乡主力军'!$AF46,,,AB66)))</f>
        <v>0</v>
      </c>
      <c r="AC274">
        <f ca="1">IF(AC66=0,0,SUM(OFFSET('2.1家乡主力军'!$AF46,,,AC66)))</f>
        <v>0</v>
      </c>
      <c r="AD274">
        <f ca="1">IF(AD66=0,0,SUM(OFFSET('2.1家乡主力军'!$AF46,,,AD66)))</f>
        <v>0</v>
      </c>
      <c r="AE274">
        <f ca="1">IF(AE66=0,0,SUM(OFFSET('2.1家乡主力军'!$AF46,,,AE66)))</f>
        <v>0</v>
      </c>
      <c r="AF274">
        <f ca="1">IF(AF66=0,0,SUM(OFFSET('2.1家乡主力军'!$AF46,,,AF66)))</f>
        <v>0</v>
      </c>
      <c r="AG274">
        <f ca="1">IF(AG66=0,0,SUM(OFFSET('2.1家乡主力军'!$AF46,,,AG66)))</f>
        <v>0</v>
      </c>
      <c r="AH274">
        <f ca="1">IF(AH66=0,0,SUM(OFFSET('2.1家乡主力军'!$AF46,,,AH66)))</f>
        <v>0</v>
      </c>
      <c r="AI274">
        <f ca="1">IF(AI66=0,0,SUM(OFFSET('2.1家乡主力军'!$AF46,,,AI66)))</f>
        <v>0</v>
      </c>
      <c r="AJ274">
        <f ca="1">IF(AJ66=0,0,SUM(OFFSET('2.1家乡主力军'!$AF46,,,AJ66)))</f>
        <v>5700000</v>
      </c>
      <c r="AK274">
        <f ca="1">IF(AK66=0,0,SUM(OFFSET('2.1家乡主力军'!$AF46,,,AK66)))</f>
        <v>14500000</v>
      </c>
      <c r="AL274">
        <f ca="1">IF(AL66=0,0,SUM(OFFSET('2.1家乡主力军'!$AF46,,,AL66)))</f>
        <v>21000000</v>
      </c>
      <c r="AM274">
        <f ca="1">IF(AM66=0,0,SUM(OFFSET('2.1家乡主力军'!$AF46,,,AM66)))</f>
        <v>31000000</v>
      </c>
      <c r="AN274">
        <f ca="1">IF(AN66=0,0,SUM(OFFSET('2.1家乡主力军'!$AF46,,,AN66)))</f>
        <v>47500000</v>
      </c>
      <c r="AO274">
        <f ca="1">IF(AO66=0,0,SUM(OFFSET('2.1家乡主力军'!$AF46,,,AO66)))</f>
        <v>47500000</v>
      </c>
      <c r="AX274">
        <v>7500</v>
      </c>
      <c r="AY274" t="s">
        <v>4739</v>
      </c>
      <c r="AZ274" t="s">
        <v>4713</v>
      </c>
      <c r="BA274" t="s">
        <v>5467</v>
      </c>
      <c r="BB274">
        <v>50</v>
      </c>
      <c r="CD274" s="38">
        <v>270</v>
      </c>
      <c r="CE274" s="38">
        <f t="shared" si="99"/>
        <v>3.7809662782888176</v>
      </c>
      <c r="CF274" s="38">
        <f t="shared" si="93"/>
        <v>270.15240999999997</v>
      </c>
      <c r="CG274" s="38">
        <f t="shared" si="98"/>
        <v>271</v>
      </c>
      <c r="CP274" s="40">
        <v>8</v>
      </c>
      <c r="CQ274" s="41" t="s">
        <v>3502</v>
      </c>
      <c r="CR274" s="41" t="s">
        <v>6003</v>
      </c>
      <c r="CS274" s="41">
        <v>175</v>
      </c>
      <c r="CT274" s="41">
        <v>8</v>
      </c>
      <c r="CU274" s="41">
        <v>27</v>
      </c>
      <c r="CV274" s="41">
        <v>10</v>
      </c>
      <c r="CW274" s="41" t="s">
        <v>4706</v>
      </c>
      <c r="CX274" s="41" t="s">
        <v>4716</v>
      </c>
      <c r="CY274" s="40" t="s">
        <v>4717</v>
      </c>
    </row>
    <row r="275" spans="4:103" ht="14.6">
      <c r="D275" s="6" t="str">
        <f t="shared" si="97"/>
        <v>研究笔记-&gt;六农</v>
      </c>
      <c r="E275" s="6" t="str">
        <f t="shared" ref="E275:E276" si="101">"#'"&amp;H275&amp;"'!"&amp;G275</f>
        <v>#'5.2研究笔记'!AP375:AZ446</v>
      </c>
      <c r="F275" t="s">
        <v>6004</v>
      </c>
      <c r="G275" t="s">
        <v>6005</v>
      </c>
      <c r="H275" s="43" t="s">
        <v>5677</v>
      </c>
      <c r="I275" t="s">
        <v>5274</v>
      </c>
      <c r="J275" t="s">
        <v>6006</v>
      </c>
      <c r="K275" t="s">
        <v>5448</v>
      </c>
      <c r="L275" t="s">
        <v>5342</v>
      </c>
      <c r="M275" t="s">
        <v>5343</v>
      </c>
      <c r="N275" t="s">
        <v>5104</v>
      </c>
      <c r="O275" t="s">
        <v>4831</v>
      </c>
      <c r="P275" t="s">
        <v>6007</v>
      </c>
      <c r="Q275" t="s">
        <v>6008</v>
      </c>
      <c r="R275" t="s">
        <v>4782</v>
      </c>
      <c r="S275">
        <f t="array" ref="S275">SUM(IFERROR(IF(MATCH(I275:R275,$F$4:$Q$4,0)&gt;0,1,0),0))</f>
        <v>0</v>
      </c>
      <c r="T275">
        <f t="shared" ca="1" si="96"/>
        <v>37</v>
      </c>
      <c r="U275">
        <f ca="1">T275+COUNTIF(T$5:$T274,T275)</f>
        <v>272</v>
      </c>
      <c r="Y275" s="12" t="s">
        <v>69</v>
      </c>
      <c r="AA275">
        <f ca="1">IF(AA67=0,0,SUM(OFFSET('2.1家乡主力军'!$M58,,,AA67)))</f>
        <v>0</v>
      </c>
      <c r="AB275">
        <f ca="1">IF(AB67=0,0,SUM(OFFSET('2.1家乡主力军'!$M58,,,AB67)))</f>
        <v>0</v>
      </c>
      <c r="AC275">
        <f ca="1">IF(AC67=0,0,SUM(OFFSET('2.1家乡主力军'!$M58,,,AC67)))</f>
        <v>0</v>
      </c>
      <c r="AD275">
        <f ca="1">IF(AD67=0,0,SUM(OFFSET('2.1家乡主力军'!$M58,,,AD67)))</f>
        <v>0</v>
      </c>
      <c r="AE275">
        <f ca="1">IF(AE67=0,0,SUM(OFFSET('2.1家乡主力军'!$M58,,,AE67)))</f>
        <v>0</v>
      </c>
      <c r="AF275">
        <f ca="1">IF(AF67=0,0,SUM(OFFSET('2.1家乡主力军'!$M58,,,AF67)))</f>
        <v>0</v>
      </c>
      <c r="AG275">
        <f ca="1">IF(AG67=0,0,SUM(OFFSET('2.1家乡主力军'!$M58,,,AG67)))</f>
        <v>0</v>
      </c>
      <c r="AH275">
        <f ca="1">IF(AH67=0,0,SUM(OFFSET('2.1家乡主力军'!$M58,,,AH67)))</f>
        <v>0</v>
      </c>
      <c r="AI275">
        <f ca="1">IF(AI67=0,0,SUM(OFFSET('2.1家乡主力军'!$M58,,,AI67)))</f>
        <v>0</v>
      </c>
      <c r="AJ275">
        <f ca="1">IF(AJ67=0,0,SUM(OFFSET('2.1家乡主力军'!$M58,,,AJ67)))</f>
        <v>0</v>
      </c>
      <c r="AK275">
        <f ca="1">IF(AK67=0,0,SUM(OFFSET('2.1家乡主力军'!$M58,,,AK67)))</f>
        <v>6300000</v>
      </c>
      <c r="AL275">
        <f ca="1">IF(AL67=0,0,SUM(OFFSET('2.1家乡主力军'!$M58,,,AL67)))</f>
        <v>14000000</v>
      </c>
      <c r="AM275">
        <f ca="1">IF(AM67=0,0,SUM(OFFSET('2.1家乡主力军'!$M58,,,AM67)))</f>
        <v>26000000</v>
      </c>
      <c r="AN275">
        <f ca="1">IF(AN67=0,0,SUM(OFFSET('2.1家乡主力军'!$M58,,,AN67)))</f>
        <v>44000000</v>
      </c>
      <c r="AO275">
        <f ca="1">IF(AO67=0,0,SUM(OFFSET('2.1家乡主力军'!$M58,,,AO67)))</f>
        <v>44000000</v>
      </c>
      <c r="AX275">
        <v>12000</v>
      </c>
      <c r="AY275" t="s">
        <v>5002</v>
      </c>
      <c r="AZ275" t="s">
        <v>4909</v>
      </c>
      <c r="BA275" t="s">
        <v>4910</v>
      </c>
      <c r="BB275">
        <v>60</v>
      </c>
      <c r="CD275" s="38">
        <v>271</v>
      </c>
      <c r="CE275" s="38">
        <f t="shared" si="99"/>
        <v>3.7828147071243072</v>
      </c>
      <c r="CF275" s="38">
        <f t="shared" si="93"/>
        <v>271.15186999999997</v>
      </c>
      <c r="CG275" s="38">
        <f t="shared" si="98"/>
        <v>272</v>
      </c>
      <c r="CP275" s="40">
        <v>9</v>
      </c>
      <c r="CQ275" s="41" t="s">
        <v>3485</v>
      </c>
      <c r="CR275" s="41" t="s">
        <v>6009</v>
      </c>
      <c r="CS275" s="41">
        <v>175</v>
      </c>
      <c r="CT275" s="41">
        <v>8</v>
      </c>
      <c r="CU275" s="41">
        <v>27</v>
      </c>
      <c r="CV275" s="41">
        <v>10</v>
      </c>
      <c r="CW275" s="41" t="s">
        <v>4706</v>
      </c>
      <c r="CX275" s="41" t="s">
        <v>4716</v>
      </c>
      <c r="CY275" s="40" t="s">
        <v>4717</v>
      </c>
    </row>
    <row r="276" spans="4:103" ht="14.6">
      <c r="D276" s="6" t="str">
        <f t="shared" ref="D276" si="102">MID(H276,4,233)&amp;"-&gt;"&amp;MID(F276,4,233)</f>
        <v>家乡支援军-&gt;超级矿工</v>
      </c>
      <c r="E276" s="6" t="str">
        <f t="shared" si="101"/>
        <v>#'2.2家乡支援军'!AD119:AK130</v>
      </c>
      <c r="F276" t="s">
        <v>6010</v>
      </c>
      <c r="G276" t="s">
        <v>6011</v>
      </c>
      <c r="H276" s="43" t="s">
        <v>5148</v>
      </c>
      <c r="I276" s="43" t="s">
        <v>5085</v>
      </c>
      <c r="J276" s="43" t="s">
        <v>5155</v>
      </c>
      <c r="K276" s="43" t="s">
        <v>5103</v>
      </c>
      <c r="L276" s="43" t="s">
        <v>5104</v>
      </c>
      <c r="M276" s="43" t="s">
        <v>6012</v>
      </c>
      <c r="N276" s="43" t="s">
        <v>4802</v>
      </c>
      <c r="O276" s="43" t="s">
        <v>5464</v>
      </c>
      <c r="P276" s="43" t="s">
        <v>5015</v>
      </c>
      <c r="Q276" t="s">
        <v>4782</v>
      </c>
      <c r="R276" t="s">
        <v>4782</v>
      </c>
      <c r="S276">
        <f t="array" ref="S276">SUM(IFERROR(IF(MATCH(I276:R276,$F$4:$Q$4,0)&gt;0,1,0),0))</f>
        <v>0</v>
      </c>
      <c r="T276">
        <f t="shared" ref="T276" ca="1" si="103">RANK(S276,INDIRECT($T$4))</f>
        <v>37</v>
      </c>
      <c r="U276">
        <f ca="1">T276+COUNTIF(T$5:$T275,T276)</f>
        <v>273</v>
      </c>
      <c r="Y276" s="12" t="s">
        <v>75</v>
      </c>
      <c r="AA276">
        <f ca="1">IF(AA68=0,0,SUM(OFFSET('2.1家乡主力军'!$V61,,,AA68)))</f>
        <v>0</v>
      </c>
      <c r="AB276">
        <f ca="1">IF(AB68=0,0,SUM(OFFSET('2.1家乡主力军'!$V61,,,AB68)))</f>
        <v>0</v>
      </c>
      <c r="AC276">
        <f ca="1">IF(AC68=0,0,SUM(OFFSET('2.1家乡主力军'!$V61,,,AC68)))</f>
        <v>0</v>
      </c>
      <c r="AD276">
        <f ca="1">IF(AD68=0,0,SUM(OFFSET('2.1家乡主力军'!$V61,,,AD68)))</f>
        <v>0</v>
      </c>
      <c r="AE276">
        <f ca="1">IF(AE68=0,0,SUM(OFFSET('2.1家乡主力军'!$V61,,,AE68)))</f>
        <v>0</v>
      </c>
      <c r="AF276">
        <f ca="1">IF(AF68=0,0,SUM(OFFSET('2.1家乡主力军'!$V61,,,AF68)))</f>
        <v>0</v>
      </c>
      <c r="AG276">
        <f ca="1">IF(AG68=0,0,SUM(OFFSET('2.1家乡主力军'!$V61,,,AG68)))</f>
        <v>0</v>
      </c>
      <c r="AH276">
        <f ca="1">IF(AH68=0,0,SUM(OFFSET('2.1家乡主力军'!$V61,,,AH68)))</f>
        <v>0</v>
      </c>
      <c r="AI276">
        <f ca="1">IF(AI68=0,0,SUM(OFFSET('2.1家乡主力军'!$V61,,,AI68)))</f>
        <v>0</v>
      </c>
      <c r="AJ276">
        <f ca="1">IF(AJ68=0,0,SUM(OFFSET('2.1家乡主力军'!$V61,,,AJ68)))</f>
        <v>0</v>
      </c>
      <c r="AK276">
        <f ca="1">IF(AK68=0,0,SUM(OFFSET('2.1家乡主力军'!$V61,,,AK68)))</f>
        <v>0</v>
      </c>
      <c r="AL276">
        <f ca="1">IF(AL68=0,0,SUM(OFFSET('2.1家乡主力军'!$V61,,,AL68)))</f>
        <v>7700000</v>
      </c>
      <c r="AM276">
        <f ca="1">IF(AM68=0,0,SUM(OFFSET('2.1家乡主力军'!$V61,,,AM68)))</f>
        <v>18900000</v>
      </c>
      <c r="AN276">
        <f ca="1">IF(AN68=0,0,SUM(OFFSET('2.1家乡主力军'!$V61,,,AN68)))</f>
        <v>36000000</v>
      </c>
      <c r="AO276">
        <f ca="1">IF(AO68=0,0,SUM(OFFSET('2.1家乡主力军'!$V61,,,AO68)))</f>
        <v>36000000</v>
      </c>
      <c r="AX276">
        <v>18000</v>
      </c>
      <c r="AY276" t="s">
        <v>4746</v>
      </c>
      <c r="AZ276" t="s">
        <v>4974</v>
      </c>
      <c r="BA276" t="s">
        <v>4953</v>
      </c>
      <c r="BB276">
        <v>80</v>
      </c>
      <c r="CD276" s="38">
        <v>272</v>
      </c>
      <c r="CE276" s="38">
        <f t="shared" si="99"/>
        <v>3.7846563277504583</v>
      </c>
      <c r="CF276" s="38">
        <f t="shared" si="93"/>
        <v>272.15134</v>
      </c>
      <c r="CG276" s="38">
        <f t="shared" si="98"/>
        <v>273</v>
      </c>
      <c r="CP276" s="40">
        <v>10</v>
      </c>
      <c r="CQ276" s="41" t="s">
        <v>3512</v>
      </c>
      <c r="CR276" s="41" t="s">
        <v>6013</v>
      </c>
      <c r="CS276" s="41">
        <v>125</v>
      </c>
      <c r="CT276" s="41">
        <v>8</v>
      </c>
      <c r="CU276" s="41">
        <v>27</v>
      </c>
      <c r="CV276" s="41">
        <v>10</v>
      </c>
      <c r="CW276" s="41" t="s">
        <v>4706</v>
      </c>
      <c r="CX276" s="41" t="s">
        <v>4716</v>
      </c>
      <c r="CY276" s="40" t="s">
        <v>4717</v>
      </c>
    </row>
    <row r="277" spans="4:103" ht="14.6">
      <c r="D277" s="6" t="str">
        <f t="shared" ref="D277:D282" si="104">MID(H277,4,233)&amp;"-&gt;"&amp;MID(F277,4,233)</f>
        <v>都城军队-&gt;地狱飞龙</v>
      </c>
      <c r="E277" s="6" t="str">
        <f t="shared" ref="E277:E282" si="105">"#'"&amp;H277&amp;"'!"&amp;G277</f>
        <v>#'4.1都城军队'!W54:AC62</v>
      </c>
      <c r="F277" t="s">
        <v>1780</v>
      </c>
      <c r="G277" t="s">
        <v>6014</v>
      </c>
      <c r="H277" s="6" t="s">
        <v>5827</v>
      </c>
      <c r="I277" s="43" t="s">
        <v>5828</v>
      </c>
      <c r="J277" t="s">
        <v>5102</v>
      </c>
      <c r="K277" t="s">
        <v>5203</v>
      </c>
      <c r="L277" t="s">
        <v>4968</v>
      </c>
      <c r="M277" t="s">
        <v>5072</v>
      </c>
      <c r="N277" t="s">
        <v>4782</v>
      </c>
      <c r="O277" t="s">
        <v>4782</v>
      </c>
      <c r="P277" t="s">
        <v>4782</v>
      </c>
      <c r="Q277" t="s">
        <v>4782</v>
      </c>
      <c r="R277" t="s">
        <v>4782</v>
      </c>
      <c r="S277">
        <f t="array" ref="S277">SUM(IFERROR(IF(MATCH(I277:R277,$F$4:$Q$4,0)&gt;0,1,0),0))</f>
        <v>4</v>
      </c>
      <c r="T277">
        <f t="shared" ref="T277:T282" ca="1" si="106">RANK(S277,INDIRECT($T$4))</f>
        <v>1</v>
      </c>
      <c r="U277">
        <f ca="1">T277+COUNTIF(T$5:$T276,T277)</f>
        <v>2</v>
      </c>
      <c r="Y277" t="s">
        <v>80</v>
      </c>
      <c r="AA277">
        <f ca="1">IF(AA69=0,0,SUM(OFFSET('2.1家乡主力军'!$M71,,,AA69)))</f>
        <v>0</v>
      </c>
      <c r="AB277">
        <f ca="1">IF(AB69=0,0,SUM(OFFSET('2.1家乡主力军'!$M71,,,AB69)))</f>
        <v>0</v>
      </c>
      <c r="AC277">
        <f ca="1">IF(AC69=0,0,SUM(OFFSET('2.1家乡主力军'!$M71,,,AC69)))</f>
        <v>0</v>
      </c>
      <c r="AD277">
        <f ca="1">IF(AD69=0,0,SUM(OFFSET('2.1家乡主力军'!$M71,,,AD69)))</f>
        <v>0</v>
      </c>
      <c r="AE277">
        <f ca="1">IF(AE69=0,0,SUM(OFFSET('2.1家乡主力军'!$M71,,,AE69)))</f>
        <v>0</v>
      </c>
      <c r="AF277">
        <f ca="1">IF(AF69=0,0,SUM(OFFSET('2.1家乡主力军'!$M71,,,AF69)))</f>
        <v>0</v>
      </c>
      <c r="AG277">
        <f ca="1">IF(AG69=0,0,SUM(OFFSET('2.1家乡主力军'!$M71,,,AG69)))</f>
        <v>0</v>
      </c>
      <c r="AH277">
        <f ca="1">IF(AH69=0,0,SUM(OFFSET('2.1家乡主力军'!$M71,,,AH69)))</f>
        <v>0</v>
      </c>
      <c r="AI277">
        <f ca="1">IF(AI69=0,0,SUM(OFFSET('2.1家乡主力军'!$M71,,,AI69)))</f>
        <v>0</v>
      </c>
      <c r="AJ277">
        <f ca="1">IF(AJ69=0,0,SUM(OFFSET('2.1家乡主力军'!$M71,,,AJ69)))</f>
        <v>0</v>
      </c>
      <c r="AK277">
        <f ca="1">IF(AK69=0,0,SUM(OFFSET('2.1家乡主力军'!$M71,,,AK69)))</f>
        <v>0</v>
      </c>
      <c r="AL277">
        <f ca="1">IF(AL69=0,0,SUM(OFFSET('2.1家乡主力军'!$M71,,,AL69)))</f>
        <v>0</v>
      </c>
      <c r="AM277">
        <f ca="1">IF(AM69=0,0,SUM(OFFSET('2.1家乡主力军'!$M71,,,AM69)))</f>
        <v>12000000</v>
      </c>
      <c r="AN277">
        <f ca="1">IF(AN69=0,0,SUM(OFFSET('2.1家乡主力军'!$M71,,,AN69)))</f>
        <v>28500000</v>
      </c>
      <c r="AO277">
        <f ca="1">IF(AO69=0,0,SUM(OFFSET('2.1家乡主力军'!$M71,,,AO69)))</f>
        <v>28500000</v>
      </c>
      <c r="AX277">
        <v>30000</v>
      </c>
      <c r="AY277" t="s">
        <v>4865</v>
      </c>
      <c r="AZ277" t="s">
        <v>4933</v>
      </c>
      <c r="BA277" t="s">
        <v>5117</v>
      </c>
      <c r="BB277">
        <v>100</v>
      </c>
      <c r="CD277" s="38">
        <v>273</v>
      </c>
      <c r="CE277" s="38">
        <f t="shared" si="99"/>
        <v>3.7864911901357794</v>
      </c>
      <c r="CF277" s="38">
        <f t="shared" ref="CF277:CF305" si="107">MAX(CEILING($CC$4*(1-CE277*$CC$6)/$CC$8,1),0)+CD277+ROUND(MOD($CC$4*(1-CE277*$CC$6),$CC$8)/$CC$4,5)</f>
        <v>273.15080999999998</v>
      </c>
      <c r="CG277" s="38">
        <f t="shared" si="98"/>
        <v>274</v>
      </c>
      <c r="CP277" s="40">
        <v>11</v>
      </c>
      <c r="CQ277" s="41" t="s">
        <v>3517</v>
      </c>
      <c r="CR277" s="41" t="s">
        <v>5485</v>
      </c>
      <c r="CS277" s="41">
        <v>175</v>
      </c>
      <c r="CT277" s="41">
        <v>8</v>
      </c>
      <c r="CU277" s="41">
        <v>27</v>
      </c>
      <c r="CV277" s="41">
        <v>10</v>
      </c>
      <c r="CW277" s="41" t="s">
        <v>4706</v>
      </c>
      <c r="CX277" s="41" t="s">
        <v>4716</v>
      </c>
      <c r="CY277" s="40" t="s">
        <v>4717</v>
      </c>
    </row>
    <row r="278" spans="4:103" ht="14.6">
      <c r="D278" s="6" t="str">
        <f t="shared" si="104"/>
        <v>都城军队-&gt;骷髅法术</v>
      </c>
      <c r="E278" s="6" t="str">
        <f t="shared" si="105"/>
        <v>#'4.1都城军队'!AO26:AT33</v>
      </c>
      <c r="F278" t="s">
        <v>6015</v>
      </c>
      <c r="G278" s="45" t="s">
        <v>6016</v>
      </c>
      <c r="H278" s="6" t="s">
        <v>5827</v>
      </c>
      <c r="I278" s="43" t="s">
        <v>5828</v>
      </c>
      <c r="J278" t="s">
        <v>5010</v>
      </c>
      <c r="K278" t="s">
        <v>5234</v>
      </c>
      <c r="L278" t="s">
        <v>5009</v>
      </c>
      <c r="M278" t="s">
        <v>6017</v>
      </c>
      <c r="N278" t="s">
        <v>5037</v>
      </c>
      <c r="O278" t="s">
        <v>5244</v>
      </c>
      <c r="P278" t="s">
        <v>4782</v>
      </c>
      <c r="Q278" t="s">
        <v>4782</v>
      </c>
      <c r="R278" t="s">
        <v>4782</v>
      </c>
      <c r="S278">
        <f t="array" ref="S278">SUM(IFERROR(IF(MATCH(I278:R278,$F$4:$Q$4,0)&gt;0,1,0),0))</f>
        <v>0</v>
      </c>
      <c r="T278">
        <f t="shared" ca="1" si="106"/>
        <v>37</v>
      </c>
      <c r="U278">
        <f ca="1">T278+COUNTIF(T$5:$T277,T278)</f>
        <v>274</v>
      </c>
      <c r="Y278" t="s">
        <v>83</v>
      </c>
      <c r="AA278">
        <f ca="1">IF(AA70=0,0,SUM(OFFSET('2.1家乡主力军'!$X73,,,AA70)))</f>
        <v>0</v>
      </c>
      <c r="AB278">
        <f ca="1">IF(AB70=0,0,SUM(OFFSET('2.1家乡主力军'!$X73,,,AB70)))</f>
        <v>0</v>
      </c>
      <c r="AC278">
        <f ca="1">IF(AC70=0,0,SUM(OFFSET('2.1家乡主力军'!$X73,,,AC70)))</f>
        <v>0</v>
      </c>
      <c r="AD278">
        <f ca="1">IF(AD70=0,0,SUM(OFFSET('2.1家乡主力军'!$X73,,,AD70)))</f>
        <v>0</v>
      </c>
      <c r="AE278">
        <f ca="1">IF(AE70=0,0,SUM(OFFSET('2.1家乡主力军'!$X73,,,AE70)))</f>
        <v>0</v>
      </c>
      <c r="AF278">
        <f ca="1">IF(AF70=0,0,SUM(OFFSET('2.1家乡主力军'!$X73,,,AF70)))</f>
        <v>0</v>
      </c>
      <c r="AG278">
        <f ca="1">IF(AG70=0,0,SUM(OFFSET('2.1家乡主力军'!$X73,,,AG70)))</f>
        <v>0</v>
      </c>
      <c r="AH278">
        <f ca="1">IF(AH70=0,0,SUM(OFFSET('2.1家乡主力军'!$X73,,,AH70)))</f>
        <v>0</v>
      </c>
      <c r="AI278">
        <f ca="1">IF(AI70=0,0,SUM(OFFSET('2.1家乡主力军'!$X73,,,AI70)))</f>
        <v>0</v>
      </c>
      <c r="AJ278">
        <f ca="1">IF(AJ70=0,0,SUM(OFFSET('2.1家乡主力军'!$X73,,,AJ70)))</f>
        <v>0</v>
      </c>
      <c r="AK278">
        <f ca="1">IF(AK70=0,0,SUM(OFFSET('2.1家乡主力军'!$X73,,,AK70)))</f>
        <v>0</v>
      </c>
      <c r="AL278">
        <f ca="1">IF(AL70=0,0,SUM(OFFSET('2.1家乡主力军'!$X73,,,AL70)))</f>
        <v>0</v>
      </c>
      <c r="AM278">
        <f ca="1">IF(AM70=0,0,SUM(OFFSET('2.1家乡主力军'!$X73,,,AM70)))</f>
        <v>0</v>
      </c>
      <c r="AN278">
        <f ca="1">IF(AN70=0,0,SUM(OFFSET('2.1家乡主力军'!$X73,,,AN70)))</f>
        <v>12000000</v>
      </c>
      <c r="AO278">
        <f ca="1">IF(AO70=0,0,SUM(OFFSET('2.1家乡主力军'!$X73,,,AO70)))</f>
        <v>28500000</v>
      </c>
      <c r="AX278">
        <v>1500</v>
      </c>
      <c r="AY278" t="s">
        <v>5411</v>
      </c>
      <c r="AZ278" t="s">
        <v>5920</v>
      </c>
      <c r="BA278" t="s">
        <v>5921</v>
      </c>
      <c r="BB278">
        <v>10</v>
      </c>
      <c r="CD278" s="38">
        <v>274</v>
      </c>
      <c r="CE278" s="38">
        <f t="shared" si="99"/>
        <v>3.788319343700679</v>
      </c>
      <c r="CF278" s="38">
        <f t="shared" si="107"/>
        <v>274.15028000000001</v>
      </c>
      <c r="CG278" s="38">
        <f t="shared" si="98"/>
        <v>275</v>
      </c>
      <c r="CP278" s="40">
        <v>12</v>
      </c>
      <c r="CQ278" s="41" t="s">
        <v>3507</v>
      </c>
      <c r="CR278" s="41" t="s">
        <v>5465</v>
      </c>
      <c r="CS278" s="41">
        <v>175</v>
      </c>
      <c r="CT278" s="41">
        <v>8</v>
      </c>
      <c r="CU278" s="41">
        <v>27</v>
      </c>
      <c r="CV278" s="41">
        <v>10</v>
      </c>
      <c r="CW278" s="41" t="s">
        <v>4706</v>
      </c>
      <c r="CX278" s="41" t="s">
        <v>4716</v>
      </c>
      <c r="CY278" s="40" t="s">
        <v>4717</v>
      </c>
    </row>
    <row r="279" spans="4:103" ht="14.6">
      <c r="D279" s="6" t="str">
        <f t="shared" si="104"/>
        <v>都城建筑-&gt;迷你亡灵巢穴</v>
      </c>
      <c r="E279" s="6" t="str">
        <f t="shared" si="105"/>
        <v>#'4.2都城建筑'!P73:W80</v>
      </c>
      <c r="F279" s="45" t="s">
        <v>1916</v>
      </c>
      <c r="G279" s="45" t="s">
        <v>6018</v>
      </c>
      <c r="H279" s="6" t="s">
        <v>5872</v>
      </c>
      <c r="I279" s="43" t="s">
        <v>5828</v>
      </c>
      <c r="J279" t="s">
        <v>6019</v>
      </c>
      <c r="K279" t="s">
        <v>6020</v>
      </c>
      <c r="L279" t="s">
        <v>4802</v>
      </c>
      <c r="M279" t="s">
        <v>4803</v>
      </c>
      <c r="N279" t="s">
        <v>6021</v>
      </c>
      <c r="O279" t="s">
        <v>6022</v>
      </c>
      <c r="P279" t="s">
        <v>4782</v>
      </c>
      <c r="Q279" t="s">
        <v>4782</v>
      </c>
      <c r="R279" t="s">
        <v>4782</v>
      </c>
      <c r="S279">
        <f t="array" ref="S279">SUM(IFERROR(IF(MATCH(I279:R279,$F$4:$Q$4,0)&gt;0,1,0),0))</f>
        <v>0</v>
      </c>
      <c r="T279">
        <f t="shared" ca="1" si="106"/>
        <v>37</v>
      </c>
      <c r="U279">
        <f ca="1">T279+COUNTIF(T$5:$T278,T279)</f>
        <v>275</v>
      </c>
      <c r="AX279">
        <v>3000</v>
      </c>
      <c r="AY279" t="s">
        <v>4794</v>
      </c>
      <c r="AZ279" t="s">
        <v>4877</v>
      </c>
      <c r="BA279" t="s">
        <v>4878</v>
      </c>
      <c r="BB279">
        <v>20</v>
      </c>
      <c r="CD279" s="38">
        <v>275</v>
      </c>
      <c r="CE279" s="38">
        <f t="shared" si="99"/>
        <v>3.7901408373254513</v>
      </c>
      <c r="CF279" s="38">
        <f t="shared" si="107"/>
        <v>275.14974999999998</v>
      </c>
      <c r="CG279" s="38">
        <f t="shared" si="98"/>
        <v>276</v>
      </c>
      <c r="CP279" s="40">
        <v>13</v>
      </c>
      <c r="CQ279" s="41" t="s">
        <v>3579</v>
      </c>
      <c r="CR279" s="41" t="s">
        <v>5585</v>
      </c>
      <c r="CS279" s="41">
        <v>125</v>
      </c>
      <c r="CT279" s="41">
        <v>8</v>
      </c>
      <c r="CU279" s="41">
        <v>11</v>
      </c>
      <c r="CV279" s="41">
        <v>5</v>
      </c>
      <c r="CW279" s="41" t="s">
        <v>4706</v>
      </c>
      <c r="CX279" s="41" t="s">
        <v>4716</v>
      </c>
      <c r="CY279" s="40" t="s">
        <v>4717</v>
      </c>
    </row>
    <row r="280" spans="4:103" ht="14.6">
      <c r="D280" s="6" t="str">
        <f t="shared" si="104"/>
        <v>都城建筑-&gt;反弹机</v>
      </c>
      <c r="E280" s="6" t="str">
        <f t="shared" si="105"/>
        <v>#'4.2都城建筑'!z73:ag80</v>
      </c>
      <c r="F280" s="45" t="s">
        <v>1918</v>
      </c>
      <c r="G280" s="45" t="s">
        <v>6023</v>
      </c>
      <c r="H280" s="6" t="s">
        <v>5872</v>
      </c>
      <c r="I280" s="43" t="s">
        <v>5828</v>
      </c>
      <c r="J280" t="s">
        <v>6024</v>
      </c>
      <c r="K280" t="s">
        <v>5016</v>
      </c>
      <c r="L280" t="s">
        <v>5409</v>
      </c>
      <c r="M280" t="s">
        <v>4782</v>
      </c>
      <c r="N280" t="s">
        <v>4782</v>
      </c>
      <c r="O280" t="s">
        <v>4782</v>
      </c>
      <c r="P280" t="s">
        <v>4782</v>
      </c>
      <c r="Q280" t="s">
        <v>4782</v>
      </c>
      <c r="R280" t="s">
        <v>4782</v>
      </c>
      <c r="S280">
        <f t="array" ref="S280">SUM(IFERROR(IF(MATCH(I280:R280,$F$4:$Q$4,0)&gt;0,1,0),0))</f>
        <v>0</v>
      </c>
      <c r="T280">
        <f t="shared" ca="1" si="106"/>
        <v>37</v>
      </c>
      <c r="U280">
        <f ca="1">T280+COUNTIF(T$5:$T279,T280)</f>
        <v>276</v>
      </c>
      <c r="Y280" s="12" t="s">
        <v>87</v>
      </c>
      <c r="AA280">
        <f ca="1">IF(AA72=0,0,SUM(OFFSET('2.1家乡主力军'!$K87,,,AA72)))</f>
        <v>0</v>
      </c>
      <c r="AB280">
        <f ca="1">IF(AB72=0,0,SUM(OFFSET('2.1家乡主力军'!$K87,,,AB72)))</f>
        <v>0</v>
      </c>
      <c r="AC280">
        <f ca="1">IF(AC72=0,0,SUM(OFFSET('2.1家乡主力军'!$K87,,,AC72)))</f>
        <v>0</v>
      </c>
      <c r="AD280">
        <f ca="1">IF(AD72=0,0,SUM(OFFSET('2.1家乡主力军'!$K87,,,AD72)))</f>
        <v>0</v>
      </c>
      <c r="AE280">
        <f ca="1">IF(AE72=0,0,SUM(OFFSET('2.1家乡主力军'!$K87,,,AE72)))</f>
        <v>0</v>
      </c>
      <c r="AF280">
        <f ca="1">IF(AF72=0,0,SUM(OFFSET('2.1家乡主力军'!$K87,,,AF72)))</f>
        <v>0</v>
      </c>
      <c r="AG280">
        <f ca="1">IF(AG72=0,0,SUM(OFFSET('2.1家乡主力军'!$K87,,,AG72)))</f>
        <v>3000</v>
      </c>
      <c r="AH280">
        <f ca="1">IF(AH72=0,0,SUM(OFFSET('2.1家乡主力军'!$K87,,,AH72)))</f>
        <v>25000</v>
      </c>
      <c r="AI280">
        <f ca="1">IF(AI72=0,0,SUM(OFFSET('2.1家乡主力军'!$K87,,,AI72)))</f>
        <v>50000</v>
      </c>
      <c r="AJ280">
        <f ca="1">IF(AJ72=0,0,SUM(OFFSET('2.1家乡主力军'!$K87,,,AJ72)))</f>
        <v>85000</v>
      </c>
      <c r="AK280">
        <f ca="1">IF(AK72=0,0,SUM(OFFSET('2.1家乡主力军'!$K87,,,AK72)))</f>
        <v>148000</v>
      </c>
      <c r="AL280">
        <f ca="1">IF(AL72=0,0,SUM(OFFSET('2.1家乡主力军'!$K87,,,AL72)))</f>
        <v>253000</v>
      </c>
      <c r="AM280">
        <f ca="1">IF(AM72=0,0,SUM(OFFSET('2.1家乡主力军'!$K87,,,AM72)))</f>
        <v>441000</v>
      </c>
      <c r="AN280">
        <f ca="1">IF(AN72=0,0,SUM(OFFSET('2.1家乡主力军'!$K87,,,AN72)))</f>
        <v>726000</v>
      </c>
      <c r="AO280">
        <f ca="1">IF(AO72=0,0,SUM(OFFSET('2.1家乡主力军'!$K87,,,AO72)))</f>
        <v>1036000</v>
      </c>
      <c r="AX280">
        <v>7500</v>
      </c>
      <c r="AY280" t="s">
        <v>4739</v>
      </c>
      <c r="AZ280" t="s">
        <v>4713</v>
      </c>
      <c r="BA280" t="s">
        <v>5467</v>
      </c>
      <c r="BB280">
        <v>50</v>
      </c>
      <c r="CD280" s="38">
        <v>276</v>
      </c>
      <c r="CE280" s="38">
        <f t="shared" si="99"/>
        <v>3.791955719358119</v>
      </c>
      <c r="CF280" s="38">
        <f t="shared" si="107"/>
        <v>276.14922000000001</v>
      </c>
      <c r="CG280" s="38">
        <f t="shared" si="98"/>
        <v>277</v>
      </c>
      <c r="CP280" s="40">
        <v>14</v>
      </c>
      <c r="CQ280" s="41" t="s">
        <v>3606</v>
      </c>
      <c r="CR280" s="41" t="s">
        <v>5634</v>
      </c>
      <c r="CS280" s="41">
        <v>125</v>
      </c>
      <c r="CT280" s="41">
        <v>8</v>
      </c>
      <c r="CU280" s="41">
        <v>11</v>
      </c>
      <c r="CV280" s="41">
        <v>5</v>
      </c>
      <c r="CW280" s="41" t="s">
        <v>4706</v>
      </c>
      <c r="CX280" s="41" t="s">
        <v>4716</v>
      </c>
      <c r="CY280" s="40" t="s">
        <v>4717</v>
      </c>
    </row>
    <row r="281" spans="4:103" ht="14.6">
      <c r="D281" s="6" t="str">
        <f t="shared" si="104"/>
        <v>都城建筑-&gt;地狱飞龙训练营</v>
      </c>
      <c r="E281" s="6" t="str">
        <f t="shared" si="105"/>
        <v>#'4.2都城建筑'!AL89:AQ95</v>
      </c>
      <c r="F281" s="45" t="s">
        <v>1926</v>
      </c>
      <c r="G281" s="45" t="s">
        <v>6025</v>
      </c>
      <c r="H281" s="6" t="s">
        <v>5872</v>
      </c>
      <c r="I281" s="43" t="s">
        <v>5828</v>
      </c>
      <c r="J281" t="s">
        <v>5102</v>
      </c>
      <c r="K281" t="s">
        <v>5203</v>
      </c>
      <c r="L281" t="s">
        <v>4968</v>
      </c>
      <c r="M281" t="s">
        <v>5072</v>
      </c>
      <c r="N281" t="s">
        <v>5215</v>
      </c>
      <c r="O281" t="s">
        <v>5216</v>
      </c>
      <c r="P281" t="s">
        <v>5217</v>
      </c>
      <c r="Q281" t="s">
        <v>4782</v>
      </c>
      <c r="R281" t="s">
        <v>4782</v>
      </c>
      <c r="S281">
        <f t="array" ref="S281">SUM(IFERROR(IF(MATCH(I281:R281,$F$4:$Q$4,0)&gt;0,1,0),0))</f>
        <v>4</v>
      </c>
      <c r="T281">
        <f t="shared" ca="1" si="106"/>
        <v>1</v>
      </c>
      <c r="U281">
        <f ca="1">T281+COUNTIF(T$5:$T280,T281)</f>
        <v>3</v>
      </c>
      <c r="Y281" s="12" t="s">
        <v>90</v>
      </c>
      <c r="AA281">
        <f ca="1">IF(AA73=0,0,SUM(OFFSET('2.1家乡主力军'!$U87,,,AA73)))</f>
        <v>0</v>
      </c>
      <c r="AB281">
        <f ca="1">IF(AB73=0,0,SUM(OFFSET('2.1家乡主力军'!$U87,,,AB73)))</f>
        <v>0</v>
      </c>
      <c r="AC281">
        <f ca="1">IF(AC73=0,0,SUM(OFFSET('2.1家乡主力军'!$U87,,,AC73)))</f>
        <v>0</v>
      </c>
      <c r="AD281">
        <f ca="1">IF(AD73=0,0,SUM(OFFSET('2.1家乡主力军'!$U87,,,AD73)))</f>
        <v>0</v>
      </c>
      <c r="AE281">
        <f ca="1">IF(AE73=0,0,SUM(OFFSET('2.1家乡主力军'!$U87,,,AE73)))</f>
        <v>0</v>
      </c>
      <c r="AF281">
        <f ca="1">IF(AF73=0,0,SUM(OFFSET('2.1家乡主力军'!$U87,,,AF73)))</f>
        <v>0</v>
      </c>
      <c r="AG281">
        <f ca="1">IF(AG73=0,0,SUM(OFFSET('2.1家乡主力军'!$U87,,,AG73)))</f>
        <v>5000</v>
      </c>
      <c r="AH281">
        <f ca="1">IF(AH73=0,0,SUM(OFFSET('2.1家乡主力军'!$U87,,,AH73)))</f>
        <v>30000</v>
      </c>
      <c r="AI281">
        <f ca="1">IF(AI73=0,0,SUM(OFFSET('2.1家乡主力军'!$U87,,,AI73)))</f>
        <v>60000</v>
      </c>
      <c r="AJ281">
        <f ca="1">IF(AJ73=0,0,SUM(OFFSET('2.1家乡主力军'!$U87,,,AJ73)))</f>
        <v>103000</v>
      </c>
      <c r="AK281">
        <f ca="1">IF(AK73=0,0,SUM(OFFSET('2.1家乡主力军'!$U87,,,AK73)))</f>
        <v>173000</v>
      </c>
      <c r="AL281">
        <f ca="1">IF(AL73=0,0,SUM(OFFSET('2.1家乡主力军'!$U87,,,AL73)))</f>
        <v>446000</v>
      </c>
      <c r="AM281">
        <f ca="1">IF(AM73=0,0,SUM(OFFSET('2.1家乡主力军'!$U87,,,AM73)))</f>
        <v>656000</v>
      </c>
      <c r="AN281">
        <f ca="1">IF(AN73=0,0,SUM(OFFSET('2.1家乡主力军'!$U87,,,AN73)))</f>
        <v>961000</v>
      </c>
      <c r="AO281">
        <f ca="1">IF(AO73=0,0,SUM(OFFSET('2.1家乡主力军'!$U87,,,AO73)))</f>
        <v>961000</v>
      </c>
      <c r="AX281">
        <v>12000</v>
      </c>
      <c r="AY281" t="s">
        <v>4909</v>
      </c>
      <c r="AZ281" t="s">
        <v>4910</v>
      </c>
      <c r="BA281" t="s">
        <v>4795</v>
      </c>
      <c r="BB281">
        <v>60</v>
      </c>
      <c r="CD281" s="38">
        <v>277</v>
      </c>
      <c r="CE281" s="38">
        <f t="shared" si="99"/>
        <v>3.7937640376221333</v>
      </c>
      <c r="CF281" s="38">
        <f t="shared" si="107"/>
        <v>277.14870000000002</v>
      </c>
      <c r="CG281" s="38">
        <f t="shared" si="98"/>
        <v>278</v>
      </c>
      <c r="CP281" s="40">
        <v>15</v>
      </c>
      <c r="CQ281" s="41" t="s">
        <v>3523</v>
      </c>
      <c r="CR281" s="41" t="s">
        <v>5493</v>
      </c>
      <c r="CS281" s="41">
        <v>125</v>
      </c>
      <c r="CT281" s="41">
        <v>8</v>
      </c>
      <c r="CU281" s="41">
        <v>11</v>
      </c>
      <c r="CV281" s="41">
        <v>5</v>
      </c>
      <c r="CW281" s="41" t="s">
        <v>4706</v>
      </c>
      <c r="CX281" s="41" t="s">
        <v>4716</v>
      </c>
      <c r="CY281" s="40" t="s">
        <v>4717</v>
      </c>
    </row>
    <row r="282" spans="4:103" ht="14.6">
      <c r="D282" s="6" t="str">
        <f t="shared" si="104"/>
        <v>都城建筑-&gt;骷髅召唤法术工厂</v>
      </c>
      <c r="E282" s="6" t="str">
        <f t="shared" si="105"/>
        <v>#'4.2都城建筑'!AT89:AY95</v>
      </c>
      <c r="F282" s="45" t="s">
        <v>1929</v>
      </c>
      <c r="G282" s="45" t="s">
        <v>6026</v>
      </c>
      <c r="H282" s="6" t="s">
        <v>5872</v>
      </c>
      <c r="I282" s="43" t="s">
        <v>5828</v>
      </c>
      <c r="J282" t="s">
        <v>5010</v>
      </c>
      <c r="K282" t="s">
        <v>5234</v>
      </c>
      <c r="L282" t="s">
        <v>5009</v>
      </c>
      <c r="M282" t="s">
        <v>6017</v>
      </c>
      <c r="N282" t="s">
        <v>5037</v>
      </c>
      <c r="O282" t="s">
        <v>5244</v>
      </c>
      <c r="P282" t="s">
        <v>5104</v>
      </c>
      <c r="Q282" t="s">
        <v>5353</v>
      </c>
      <c r="R282" t="s">
        <v>4782</v>
      </c>
      <c r="S282">
        <f t="array" ref="S282">SUM(IFERROR(IF(MATCH(I282:R282,$F$4:$Q$4,0)&gt;0,1,0),0))</f>
        <v>0</v>
      </c>
      <c r="T282">
        <f t="shared" ca="1" si="106"/>
        <v>37</v>
      </c>
      <c r="U282">
        <f ca="1">T282+COUNTIF(T$5:$T281,T282)</f>
        <v>277</v>
      </c>
      <c r="Y282" s="12" t="s">
        <v>93</v>
      </c>
      <c r="AA282">
        <f ca="1">IF(AA74=0,0,SUM(OFFSET('2.1家乡主力军'!$AF87,,,AA74)))</f>
        <v>0</v>
      </c>
      <c r="AB282">
        <f ca="1">IF(AB74=0,0,SUM(OFFSET('2.1家乡主力军'!$AF87,,,AB74)))</f>
        <v>0</v>
      </c>
      <c r="AC282">
        <f ca="1">IF(AC74=0,0,SUM(OFFSET('2.1家乡主力军'!$AF87,,,AC74)))</f>
        <v>0</v>
      </c>
      <c r="AD282">
        <f ca="1">IF(AD74=0,0,SUM(OFFSET('2.1家乡主力军'!$AF87,,,AD74)))</f>
        <v>0</v>
      </c>
      <c r="AE282">
        <f ca="1">IF(AE74=0,0,SUM(OFFSET('2.1家乡主力军'!$AF87,,,AE74)))</f>
        <v>0</v>
      </c>
      <c r="AF282">
        <f ca="1">IF(AF74=0,0,SUM(OFFSET('2.1家乡主力军'!$AF87,,,AF74)))</f>
        <v>0</v>
      </c>
      <c r="AG282">
        <f ca="1">IF(AG74=0,0,SUM(OFFSET('2.1家乡主力军'!$AF87,,,AG74)))</f>
        <v>0</v>
      </c>
      <c r="AH282">
        <f ca="1">IF(AH74=0,0,SUM(OFFSET('2.1家乡主力军'!$AF87,,,AH74)))</f>
        <v>8000</v>
      </c>
      <c r="AI282">
        <f ca="1">IF(AI74=0,0,SUM(OFFSET('2.1家乡主力军'!$AF87,,,AI74)))</f>
        <v>45000</v>
      </c>
      <c r="AJ282">
        <f ca="1">IF(AJ74=0,0,SUM(OFFSET('2.1家乡主力军'!$AF87,,,AJ74)))</f>
        <v>83000</v>
      </c>
      <c r="AK282">
        <f ca="1">IF(AK74=0,0,SUM(OFFSET('2.1家乡主力军'!$AF87,,,AK74)))</f>
        <v>146000</v>
      </c>
      <c r="AL282">
        <f ca="1">IF(AL74=0,0,SUM(OFFSET('2.1家乡主力军'!$AF87,,,AL74)))</f>
        <v>269000</v>
      </c>
      <c r="AM282">
        <f ca="1">IF(AM74=0,0,SUM(OFFSET('2.1家乡主力军'!$AF87,,,AM74)))</f>
        <v>464000</v>
      </c>
      <c r="AN282">
        <f ca="1">IF(AN74=0,0,SUM(OFFSET('2.1家乡主力军'!$AF87,,,AN74)))</f>
        <v>759000</v>
      </c>
      <c r="AO282">
        <f ca="1">IF(AO74=0,0,SUM(OFFSET('2.1家乡主力军'!$AF87,,,AO74)))</f>
        <v>759000</v>
      </c>
      <c r="AX282">
        <v>18000</v>
      </c>
      <c r="AY282" t="s">
        <v>4751</v>
      </c>
      <c r="AZ282" t="s">
        <v>4745</v>
      </c>
      <c r="BA282" t="s">
        <v>4865</v>
      </c>
      <c r="BB282">
        <v>80</v>
      </c>
      <c r="CD282" s="38">
        <v>278</v>
      </c>
      <c r="CE282" s="38">
        <f t="shared" si="99"/>
        <v>3.7955658394239351</v>
      </c>
      <c r="CF282" s="38">
        <f t="shared" si="107"/>
        <v>278.14816999999999</v>
      </c>
      <c r="CG282" s="38">
        <f t="shared" si="98"/>
        <v>279</v>
      </c>
      <c r="CP282" s="40">
        <v>16</v>
      </c>
      <c r="CQ282" s="41" t="s">
        <v>3481</v>
      </c>
      <c r="CR282" s="41" t="s">
        <v>6027</v>
      </c>
      <c r="CS282" s="41">
        <v>175</v>
      </c>
      <c r="CT282" s="41">
        <v>8</v>
      </c>
      <c r="CU282" s="41">
        <v>27</v>
      </c>
      <c r="CV282" s="41">
        <v>10</v>
      </c>
      <c r="CW282" s="41" t="s">
        <v>4706</v>
      </c>
      <c r="CX282" s="41" t="s">
        <v>4716</v>
      </c>
      <c r="CY282" s="40" t="s">
        <v>4717</v>
      </c>
    </row>
    <row r="283" spans="4:103" ht="14.6">
      <c r="Y283" s="12" t="s">
        <v>96</v>
      </c>
      <c r="AA283">
        <f ca="1">IF(AA75=0,0,SUM(OFFSET('2.1家乡主力军'!$M100,,,AA75)))</f>
        <v>0</v>
      </c>
      <c r="AB283">
        <f ca="1">IF(AB75=0,0,SUM(OFFSET('2.1家乡主力军'!$M100,,,AB75)))</f>
        <v>0</v>
      </c>
      <c r="AC283">
        <f ca="1">IF(AC75=0,0,SUM(OFFSET('2.1家乡主力军'!$M100,,,AC75)))</f>
        <v>0</v>
      </c>
      <c r="AD283">
        <f ca="1">IF(AD75=0,0,SUM(OFFSET('2.1家乡主力军'!$M100,,,AD75)))</f>
        <v>0</v>
      </c>
      <c r="AE283">
        <f ca="1">IF(AE75=0,0,SUM(OFFSET('2.1家乡主力军'!$M100,,,AE75)))</f>
        <v>0</v>
      </c>
      <c r="AF283">
        <f ca="1">IF(AF75=0,0,SUM(OFFSET('2.1家乡主力军'!$M100,,,AF75)))</f>
        <v>0</v>
      </c>
      <c r="AG283">
        <f ca="1">IF(AG75=0,0,SUM(OFFSET('2.1家乡主力军'!$M100,,,AG75)))</f>
        <v>0</v>
      </c>
      <c r="AH283">
        <f ca="1">IF(AH75=0,0,SUM(OFFSET('2.1家乡主力军'!$M100,,,AH75)))</f>
        <v>10000</v>
      </c>
      <c r="AI283">
        <f ca="1">IF(AI75=0,0,SUM(OFFSET('2.1家乡主力军'!$M100,,,AI75)))</f>
        <v>60000</v>
      </c>
      <c r="AJ283">
        <f ca="1">IF(AJ75=0,0,SUM(OFFSET('2.1家乡主力军'!$M100,,,AJ75)))</f>
        <v>103000</v>
      </c>
      <c r="AK283">
        <f ca="1">IF(AK75=0,0,SUM(OFFSET('2.1家乡主力军'!$M100,,,AK75)))</f>
        <v>233000</v>
      </c>
      <c r="AL283">
        <f ca="1">IF(AL75=0,0,SUM(OFFSET('2.1家乡主力军'!$M100,,,AL75)))</f>
        <v>485000</v>
      </c>
      <c r="AM283">
        <f ca="1">IF(AM75=0,0,SUM(OFFSET('2.1家乡主力军'!$M100,,,AM75)))</f>
        <v>685000</v>
      </c>
      <c r="AN283">
        <f ca="1">IF(AN75=0,0,SUM(OFFSET('2.1家乡主力军'!$M100,,,AN75)))</f>
        <v>985000</v>
      </c>
      <c r="AO283">
        <f ca="1">IF(AO75=0,0,SUM(OFFSET('2.1家乡主力军'!$M100,,,AO75)))</f>
        <v>985000</v>
      </c>
      <c r="AX283">
        <v>30000</v>
      </c>
      <c r="AY283" t="s">
        <v>5495</v>
      </c>
      <c r="AZ283" t="s">
        <v>5542</v>
      </c>
      <c r="BA283" t="s">
        <v>4855</v>
      </c>
      <c r="BB283">
        <v>100</v>
      </c>
      <c r="CD283" s="38">
        <v>279</v>
      </c>
      <c r="CE283" s="38">
        <f t="shared" si="99"/>
        <v>3.7973611715603806</v>
      </c>
      <c r="CF283" s="38">
        <f t="shared" si="107"/>
        <v>279.14765</v>
      </c>
      <c r="CG283" s="38">
        <f t="shared" si="98"/>
        <v>280</v>
      </c>
      <c r="CP283" s="40">
        <v>17</v>
      </c>
      <c r="CQ283" s="41" t="s">
        <v>3477</v>
      </c>
      <c r="CR283" s="41" t="s">
        <v>6028</v>
      </c>
      <c r="CS283" s="41">
        <v>175</v>
      </c>
      <c r="CT283" s="41">
        <v>8</v>
      </c>
      <c r="CU283" s="41">
        <v>27</v>
      </c>
      <c r="CV283" s="41">
        <v>10</v>
      </c>
      <c r="CW283" s="41" t="s">
        <v>4706</v>
      </c>
      <c r="CX283" s="41" t="s">
        <v>4716</v>
      </c>
      <c r="CY283" s="40" t="s">
        <v>4717</v>
      </c>
    </row>
    <row r="284" spans="4:103" ht="14.6">
      <c r="Y284" s="12" t="s">
        <v>101</v>
      </c>
      <c r="AA284">
        <f ca="1">IF(AA76=0,0,SUM(OFFSET('2.1家乡主力军'!$W100,,,AA76)))</f>
        <v>0</v>
      </c>
      <c r="AB284">
        <f ca="1">IF(AB76=0,0,SUM(OFFSET('2.1家乡主力军'!$W100,,,AB76)))</f>
        <v>0</v>
      </c>
      <c r="AC284">
        <f ca="1">IF(AC76=0,0,SUM(OFFSET('2.1家乡主力军'!$W100,,,AC76)))</f>
        <v>0</v>
      </c>
      <c r="AD284">
        <f ca="1">IF(AD76=0,0,SUM(OFFSET('2.1家乡主力军'!$W100,,,AD76)))</f>
        <v>0</v>
      </c>
      <c r="AE284">
        <f ca="1">IF(AE76=0,0,SUM(OFFSET('2.1家乡主力军'!$W100,,,AE76)))</f>
        <v>0</v>
      </c>
      <c r="AF284">
        <f ca="1">IF(AF76=0,0,SUM(OFFSET('2.1家乡主力军'!$W100,,,AF76)))</f>
        <v>0</v>
      </c>
      <c r="AG284">
        <f ca="1">IF(AG76=0,0,SUM(OFFSET('2.1家乡主力军'!$W100,,,AG76)))</f>
        <v>0</v>
      </c>
      <c r="AH284">
        <f ca="1">IF(AH76=0,0,SUM(OFFSET('2.1家乡主力军'!$W100,,,AH76)))</f>
        <v>0</v>
      </c>
      <c r="AI284">
        <f ca="1">IF(AI76=0,0,SUM(OFFSET('2.1家乡主力军'!$W100,,,AI76)))</f>
        <v>50000</v>
      </c>
      <c r="AJ284">
        <f ca="1">IF(AJ76=0,0,SUM(OFFSET('2.1家乡主力军'!$W100,,,AJ76)))</f>
        <v>118000</v>
      </c>
      <c r="AK284">
        <f ca="1">IF(AK76=0,0,SUM(OFFSET('2.1家乡主力军'!$W100,,,AK76)))</f>
        <v>208000</v>
      </c>
      <c r="AL284">
        <f ca="1">IF(AL76=0,0,SUM(OFFSET('2.1家乡主力军'!$W100,,,AL76)))</f>
        <v>348000</v>
      </c>
      <c r="AM284">
        <f ca="1">IF(AM76=0,0,SUM(OFFSET('2.1家乡主力军'!$W100,,,AM76)))</f>
        <v>348000</v>
      </c>
      <c r="AN284">
        <f ca="1">IF(AN76=0,0,SUM(OFFSET('2.1家乡主力军'!$W100,,,AN76)))</f>
        <v>348000</v>
      </c>
      <c r="AO284">
        <f ca="1">IF(AO76=0,0,SUM(OFFSET('2.1家乡主力军'!$W100,,,AO76)))</f>
        <v>688000</v>
      </c>
      <c r="AX284">
        <v>50000</v>
      </c>
      <c r="AY284" t="s">
        <v>4746</v>
      </c>
      <c r="AZ284" t="s">
        <v>4934</v>
      </c>
      <c r="BA284" t="s">
        <v>3432</v>
      </c>
      <c r="BB284">
        <v>120</v>
      </c>
      <c r="CD284" s="38">
        <v>280</v>
      </c>
      <c r="CE284" s="38">
        <f t="shared" si="99"/>
        <v>3.7991500803260334</v>
      </c>
      <c r="CF284" s="38">
        <f t="shared" si="107"/>
        <v>280.14713999999998</v>
      </c>
      <c r="CG284" s="38">
        <f t="shared" si="98"/>
        <v>281</v>
      </c>
      <c r="CP284" s="40">
        <v>18</v>
      </c>
      <c r="CQ284" s="41" t="s">
        <v>3566</v>
      </c>
      <c r="CR284" s="41" t="s">
        <v>5559</v>
      </c>
      <c r="CS284" s="41">
        <v>175</v>
      </c>
      <c r="CT284" s="41">
        <v>8</v>
      </c>
      <c r="CU284" s="41">
        <v>27</v>
      </c>
      <c r="CV284" s="41">
        <v>10</v>
      </c>
      <c r="CW284" s="41" t="s">
        <v>4706</v>
      </c>
      <c r="CX284" s="41" t="s">
        <v>4716</v>
      </c>
      <c r="CY284" s="40" t="s">
        <v>4717</v>
      </c>
    </row>
    <row r="285" spans="4:103" ht="14.6">
      <c r="Y285" s="12" t="s">
        <v>105</v>
      </c>
      <c r="AA285">
        <f ca="1">IF(AA77=0,0,SUM(OFFSET('2.1家乡主力军'!$AF100,,,AA77)))</f>
        <v>0</v>
      </c>
      <c r="AB285">
        <f ca="1">IF(AB77=0,0,SUM(OFFSET('2.1家乡主力军'!$AF100,,,AB77)))</f>
        <v>0</v>
      </c>
      <c r="AC285">
        <f ca="1">IF(AC77=0,0,SUM(OFFSET('2.1家乡主力军'!$AF100,,,AC77)))</f>
        <v>0</v>
      </c>
      <c r="AD285">
        <f ca="1">IF(AD77=0,0,SUM(OFFSET('2.1家乡主力军'!$AF100,,,AD77)))</f>
        <v>0</v>
      </c>
      <c r="AE285">
        <f ca="1">IF(AE77=0,0,SUM(OFFSET('2.1家乡主力军'!$AF100,,,AE77)))</f>
        <v>0</v>
      </c>
      <c r="AF285">
        <f ca="1">IF(AF77=0,0,SUM(OFFSET('2.1家乡主力军'!$AF100,,,AF77)))</f>
        <v>0</v>
      </c>
      <c r="AG285">
        <f ca="1">IF(AG77=0,0,SUM(OFFSET('2.1家乡主力军'!$AF100,,,AG77)))</f>
        <v>0</v>
      </c>
      <c r="AH285">
        <f ca="1">IF(AH77=0,0,SUM(OFFSET('2.1家乡主力军'!$AF100,,,AH77)))</f>
        <v>0</v>
      </c>
      <c r="AI285">
        <f ca="1">IF(AI77=0,0,SUM(OFFSET('2.1家乡主力军'!$AF100,,,AI77)))</f>
        <v>35000</v>
      </c>
      <c r="AJ285">
        <f ca="1">IF(AJ77=0,0,SUM(OFFSET('2.1家乡主力军'!$AF100,,,AJ77)))</f>
        <v>85000</v>
      </c>
      <c r="AK285">
        <f ca="1">IF(AK77=0,0,SUM(OFFSET('2.1家乡主力军'!$AF100,,,AK77)))</f>
        <v>170000</v>
      </c>
      <c r="AL285">
        <f ca="1">IF(AL77=0,0,SUM(OFFSET('2.1家乡主力军'!$AF100,,,AL77)))</f>
        <v>305000</v>
      </c>
      <c r="AM285">
        <f ca="1">IF(AM77=0,0,SUM(OFFSET('2.1家乡主力军'!$AF100,,,AM77)))</f>
        <v>505000</v>
      </c>
      <c r="AN285">
        <f ca="1">IF(AN77=0,0,SUM(OFFSET('2.1家乡主力军'!$AF100,,,AN77)))</f>
        <v>505000</v>
      </c>
      <c r="AO285">
        <f ca="1">IF(AO77=0,0,SUM(OFFSET('2.1家乡主力军'!$AF100,,,AO77)))</f>
        <v>505000</v>
      </c>
      <c r="AX285">
        <v>1500</v>
      </c>
      <c r="AY285" t="s">
        <v>5411</v>
      </c>
      <c r="AZ285" t="s">
        <v>5920</v>
      </c>
      <c r="BA285" t="s">
        <v>5921</v>
      </c>
      <c r="BB285">
        <v>10</v>
      </c>
      <c r="CD285" s="38">
        <v>281</v>
      </c>
      <c r="CE285" s="38">
        <f t="shared" si="99"/>
        <v>3.8009326115203295</v>
      </c>
      <c r="CF285" s="38">
        <f t="shared" si="107"/>
        <v>281.14661999999998</v>
      </c>
      <c r="CG285" s="38">
        <f t="shared" si="98"/>
        <v>282</v>
      </c>
      <c r="CP285" s="40">
        <v>19</v>
      </c>
      <c r="CQ285" s="41" t="s">
        <v>3493</v>
      </c>
      <c r="CR285" s="41" t="s">
        <v>6029</v>
      </c>
      <c r="CS285" s="41">
        <v>175</v>
      </c>
      <c r="CT285" s="41">
        <v>8</v>
      </c>
      <c r="CU285" s="41">
        <v>27</v>
      </c>
      <c r="CV285" s="41">
        <v>10</v>
      </c>
      <c r="CW285" s="41" t="s">
        <v>4706</v>
      </c>
      <c r="CX285" s="41" t="s">
        <v>4716</v>
      </c>
      <c r="CY285" s="40" t="s">
        <v>4717</v>
      </c>
    </row>
    <row r="286" spans="4:103" ht="14.6">
      <c r="Y286" s="12" t="s">
        <v>109</v>
      </c>
      <c r="AA286">
        <f ca="1">IF(AA78=0,0,SUM(OFFSET('2.1家乡主力军'!$L129,,,AA78)))</f>
        <v>0</v>
      </c>
      <c r="AB286">
        <f ca="1">IF(AB78=0,0,SUM(OFFSET('2.1家乡主力军'!$L129,,,AB78)))</f>
        <v>0</v>
      </c>
      <c r="AC286">
        <f ca="1">IF(AC78=0,0,SUM(OFFSET('2.1家乡主力军'!$L129,,,AC78)))</f>
        <v>0</v>
      </c>
      <c r="AD286">
        <f ca="1">IF(AD78=0,0,SUM(OFFSET('2.1家乡主力军'!$L129,,,AD78)))</f>
        <v>0</v>
      </c>
      <c r="AE286">
        <f ca="1">IF(AE78=0,0,SUM(OFFSET('2.1家乡主力军'!$L129,,,AE78)))</f>
        <v>0</v>
      </c>
      <c r="AF286">
        <f ca="1">IF(AF78=0,0,SUM(OFFSET('2.1家乡主力军'!$L129,,,AF78)))</f>
        <v>0</v>
      </c>
      <c r="AG286">
        <f ca="1">IF(AG78=0,0,SUM(OFFSET('2.1家乡主力军'!$L129,,,AG78)))</f>
        <v>0</v>
      </c>
      <c r="AH286">
        <f ca="1">IF(AH78=0,0,SUM(OFFSET('2.1家乡主力军'!$L129,,,AH78)))</f>
        <v>0</v>
      </c>
      <c r="AI286">
        <f ca="1">IF(AI78=0,0,SUM(OFFSET('2.1家乡主力军'!$L129,,,AI78)))</f>
        <v>0</v>
      </c>
      <c r="AJ286">
        <f ca="1">IF(AJ78=0,0,SUM(OFFSET('2.1家乡主力军'!$L129,,,AJ78)))</f>
        <v>65000</v>
      </c>
      <c r="AK286">
        <f ca="1">IF(AK78=0,0,SUM(OFFSET('2.1家乡主力军'!$L129,,,AK78)))</f>
        <v>153000</v>
      </c>
      <c r="AL286">
        <f ca="1">IF(AL78=0,0,SUM(OFFSET('2.1家乡主力军'!$L129,,,AL78)))</f>
        <v>293000</v>
      </c>
      <c r="AM286">
        <f ca="1">IF(AM78=0,0,SUM(OFFSET('2.1家乡主力军'!$L129,,,AM78)))</f>
        <v>503000</v>
      </c>
      <c r="AN286">
        <f ca="1">IF(AN78=0,0,SUM(OFFSET('2.1家乡主力军'!$L129,,,AN78)))</f>
        <v>808000</v>
      </c>
      <c r="AO286">
        <f ca="1">IF(AO78=0,0,SUM(OFFSET('2.1家乡主力军'!$L129,,,AO78)))</f>
        <v>808000</v>
      </c>
      <c r="AX286">
        <v>3000</v>
      </c>
      <c r="AY286" t="s">
        <v>4794</v>
      </c>
      <c r="AZ286" t="s">
        <v>4877</v>
      </c>
      <c r="BA286" t="s">
        <v>4878</v>
      </c>
      <c r="BB286">
        <v>20</v>
      </c>
      <c r="CD286" s="38">
        <v>282</v>
      </c>
      <c r="CE286" s="38">
        <f t="shared" si="99"/>
        <v>3.8027088104546101</v>
      </c>
      <c r="CF286" s="38">
        <f t="shared" si="107"/>
        <v>282.14609999999999</v>
      </c>
      <c r="CG286" s="38">
        <f t="shared" si="98"/>
        <v>283</v>
      </c>
      <c r="CP286" s="40">
        <v>20</v>
      </c>
      <c r="CQ286" s="41" t="s">
        <v>3612</v>
      </c>
      <c r="CR286" s="41" t="s">
        <v>6030</v>
      </c>
      <c r="CS286" s="41">
        <v>175</v>
      </c>
      <c r="CT286" s="41">
        <v>8</v>
      </c>
      <c r="CU286" s="41">
        <v>27</v>
      </c>
      <c r="CV286" s="41">
        <v>10</v>
      </c>
      <c r="CW286" s="41" t="s">
        <v>4706</v>
      </c>
      <c r="CX286" s="41" t="s">
        <v>4716</v>
      </c>
      <c r="CY286" s="40" t="s">
        <v>4717</v>
      </c>
    </row>
    <row r="287" spans="4:103" ht="14.6">
      <c r="Y287" s="12" t="s">
        <v>114</v>
      </c>
      <c r="AA287">
        <f ca="1">IF(AA79=0,0,SUM(OFFSET('2.1家乡主力军'!$W129,,,AA79)))</f>
        <v>0</v>
      </c>
      <c r="AB287">
        <f ca="1">IF(AB79=0,0,SUM(OFFSET('2.1家乡主力军'!$W129,,,AB79)))</f>
        <v>0</v>
      </c>
      <c r="AC287">
        <f ca="1">IF(AC79=0,0,SUM(OFFSET('2.1家乡主力军'!$W129,,,AC79)))</f>
        <v>0</v>
      </c>
      <c r="AD287">
        <f ca="1">IF(AD79=0,0,SUM(OFFSET('2.1家乡主力军'!$W129,,,AD79)))</f>
        <v>0</v>
      </c>
      <c r="AE287">
        <f ca="1">IF(AE79=0,0,SUM(OFFSET('2.1家乡主力军'!$W129,,,AE79)))</f>
        <v>0</v>
      </c>
      <c r="AF287">
        <f ca="1">IF(AF79=0,0,SUM(OFFSET('2.1家乡主力军'!$W129,,,AF79)))</f>
        <v>0</v>
      </c>
      <c r="AG287">
        <f ca="1">IF(AG79=0,0,SUM(OFFSET('2.1家乡主力军'!$W129,,,AG79)))</f>
        <v>0</v>
      </c>
      <c r="AH287">
        <f ca="1">IF(AH79=0,0,SUM(OFFSET('2.1家乡主力军'!$W129,,,AH79)))</f>
        <v>0</v>
      </c>
      <c r="AI287">
        <f ca="1">IF(AI79=0,0,SUM(OFFSET('2.1家乡主力军'!$W129,,,AI79)))</f>
        <v>0</v>
      </c>
      <c r="AJ287">
        <f ca="1">IF(AJ79=0,0,SUM(OFFSET('2.1家乡主力军'!$W129,,,AJ79)))</f>
        <v>0</v>
      </c>
      <c r="AK287">
        <f ca="1">IF(AK79=0,0,SUM(OFFSET('2.1家乡主力军'!$W129,,,AK79)))</f>
        <v>140000</v>
      </c>
      <c r="AL287">
        <f ca="1">IF(AL79=0,0,SUM(OFFSET('2.1家乡主力军'!$W129,,,AL79)))</f>
        <v>390000</v>
      </c>
      <c r="AM287">
        <f ca="1">IF(AM79=0,0,SUM(OFFSET('2.1家乡主力军'!$W129,,,AM79)))</f>
        <v>390000</v>
      </c>
      <c r="AN287">
        <f ca="1">IF(AN79=0,0,SUM(OFFSET('2.1家乡主力军'!$W129,,,AN79)))</f>
        <v>690000</v>
      </c>
      <c r="AO287">
        <f ca="1">IF(AO79=0,0,SUM(OFFSET('2.1家乡主力军'!$W129,,,AO79)))</f>
        <v>690000</v>
      </c>
      <c r="AX287">
        <v>7500</v>
      </c>
      <c r="AY287" t="s">
        <v>4739</v>
      </c>
      <c r="AZ287" t="s">
        <v>4713</v>
      </c>
      <c r="BA287" t="s">
        <v>5467</v>
      </c>
      <c r="BB287">
        <v>50</v>
      </c>
      <c r="CD287" s="38">
        <v>283</v>
      </c>
      <c r="CE287" s="38">
        <f t="shared" si="99"/>
        <v>3.8044787219590348</v>
      </c>
      <c r="CF287" s="38">
        <f t="shared" si="107"/>
        <v>283.14559000000003</v>
      </c>
      <c r="CG287" s="38">
        <f t="shared" si="98"/>
        <v>284</v>
      </c>
      <c r="CP287" s="40">
        <v>21</v>
      </c>
      <c r="CQ287" s="41" t="s">
        <v>3629</v>
      </c>
      <c r="CR287" s="41" t="s">
        <v>6031</v>
      </c>
      <c r="CS287" s="41">
        <v>175</v>
      </c>
      <c r="CT287" s="41">
        <v>8</v>
      </c>
      <c r="CU287" s="41">
        <v>27</v>
      </c>
      <c r="CV287" s="41">
        <v>10</v>
      </c>
      <c r="CW287" s="41" t="s">
        <v>4706</v>
      </c>
      <c r="CX287" s="41" t="s">
        <v>4716</v>
      </c>
      <c r="CY287" s="40" t="s">
        <v>4717</v>
      </c>
    </row>
    <row r="288" spans="4:103" ht="14.6">
      <c r="Y288" s="12" t="s">
        <v>118</v>
      </c>
      <c r="AA288">
        <f ca="1">IF(AA80=0,0,SUM(OFFSET('2.1家乡主力军'!$AH129,,,AA80)))</f>
        <v>0</v>
      </c>
      <c r="AB288">
        <f ca="1">IF(AB80=0,0,SUM(OFFSET('2.1家乡主力军'!$AH129,,,AB80)))</f>
        <v>0</v>
      </c>
      <c r="AC288">
        <f ca="1">IF(AC80=0,0,SUM(OFFSET('2.1家乡主力军'!$AH129,,,AC80)))</f>
        <v>0</v>
      </c>
      <c r="AD288">
        <f ca="1">IF(AD80=0,0,SUM(OFFSET('2.1家乡主力军'!$AH129,,,AD80)))</f>
        <v>0</v>
      </c>
      <c r="AE288">
        <f ca="1">IF(AE80=0,0,SUM(OFFSET('2.1家乡主力军'!$AH129,,,AE80)))</f>
        <v>0</v>
      </c>
      <c r="AF288">
        <f ca="1">IF(AF80=0,0,SUM(OFFSET('2.1家乡主力军'!$AH129,,,AF80)))</f>
        <v>0</v>
      </c>
      <c r="AG288">
        <f ca="1">IF(AG80=0,0,SUM(OFFSET('2.1家乡主力军'!$AH129,,,AG80)))</f>
        <v>0</v>
      </c>
      <c r="AH288">
        <f ca="1">IF(AH80=0,0,SUM(OFFSET('2.1家乡主力军'!$AH129,,,AH80)))</f>
        <v>0</v>
      </c>
      <c r="AI288">
        <f ca="1">IF(AI80=0,0,SUM(OFFSET('2.1家乡主力军'!$AH129,,,AI80)))</f>
        <v>0</v>
      </c>
      <c r="AJ288">
        <f ca="1">IF(AJ80=0,0,SUM(OFFSET('2.1家乡主力军'!$AH129,,,AJ80)))</f>
        <v>0</v>
      </c>
      <c r="AK288">
        <f ca="1">IF(AK80=0,0,SUM(OFFSET('2.1家乡主力军'!$AH129,,,AK80)))</f>
        <v>0</v>
      </c>
      <c r="AL288">
        <f ca="1">IF(AL80=0,0,SUM(OFFSET('2.1家乡主力军'!$AH129,,,AL80)))</f>
        <v>125000</v>
      </c>
      <c r="AM288">
        <f ca="1">IF(AM80=0,0,SUM(OFFSET('2.1家乡主力军'!$AH129,,,AM80)))</f>
        <v>305000</v>
      </c>
      <c r="AN288">
        <f ca="1">IF(AN80=0,0,SUM(OFFSET('2.1家乡主力军'!$AH129,,,AN80)))</f>
        <v>305000</v>
      </c>
      <c r="AO288">
        <f ca="1">IF(AO80=0,0,SUM(OFFSET('2.1家乡主力军'!$AH129,,,AO80)))</f>
        <v>305000</v>
      </c>
      <c r="AX288">
        <v>12000</v>
      </c>
      <c r="AY288" t="s">
        <v>4910</v>
      </c>
      <c r="AZ288" t="s">
        <v>4687</v>
      </c>
      <c r="BA288" t="s">
        <v>4795</v>
      </c>
      <c r="BB288">
        <v>60</v>
      </c>
      <c r="CD288" s="38">
        <v>284</v>
      </c>
      <c r="CE288" s="38">
        <f t="shared" si="99"/>
        <v>3.8062423903893698</v>
      </c>
      <c r="CF288" s="38">
        <f t="shared" si="107"/>
        <v>284.14508000000001</v>
      </c>
      <c r="CG288" s="38">
        <f t="shared" si="98"/>
        <v>285</v>
      </c>
      <c r="CP288" s="40">
        <v>22</v>
      </c>
      <c r="CQ288" s="41" t="s">
        <v>3573</v>
      </c>
      <c r="CR288" s="41" t="s">
        <v>5573</v>
      </c>
      <c r="CS288" s="41">
        <v>175</v>
      </c>
      <c r="CT288" s="41">
        <v>8</v>
      </c>
      <c r="CU288" s="41">
        <v>11</v>
      </c>
      <c r="CV288" s="41">
        <v>5</v>
      </c>
      <c r="CW288" s="41" t="s">
        <v>4706</v>
      </c>
      <c r="CX288" s="41" t="s">
        <v>4716</v>
      </c>
      <c r="CY288" s="40" t="s">
        <v>4717</v>
      </c>
    </row>
    <row r="289" spans="25:103" ht="14.6">
      <c r="AX289">
        <v>18000</v>
      </c>
      <c r="AY289" t="s">
        <v>5003</v>
      </c>
      <c r="AZ289" t="s">
        <v>4934</v>
      </c>
      <c r="BA289" t="s">
        <v>5002</v>
      </c>
      <c r="BB289">
        <v>80</v>
      </c>
      <c r="CD289" s="38">
        <v>285</v>
      </c>
      <c r="CE289" s="38">
        <f t="shared" si="99"/>
        <v>3.8079998596336582</v>
      </c>
      <c r="CF289" s="38">
        <f t="shared" si="107"/>
        <v>285.14456999999999</v>
      </c>
      <c r="CG289" s="38">
        <f t="shared" si="98"/>
        <v>286</v>
      </c>
      <c r="CP289" s="40">
        <v>23</v>
      </c>
      <c r="CQ289" s="41" t="s">
        <v>3592</v>
      </c>
      <c r="CR289" s="41" t="s">
        <v>5608</v>
      </c>
      <c r="CS289" s="41">
        <v>175</v>
      </c>
      <c r="CT289" s="41">
        <v>8</v>
      </c>
      <c r="CU289" s="41">
        <v>11</v>
      </c>
      <c r="CV289" s="41">
        <v>5</v>
      </c>
      <c r="CW289" s="41" t="s">
        <v>4706</v>
      </c>
      <c r="CX289" s="41" t="s">
        <v>4716</v>
      </c>
      <c r="CY289" s="40" t="s">
        <v>4717</v>
      </c>
    </row>
    <row r="290" spans="25:103" ht="14.6">
      <c r="AX290">
        <v>30000</v>
      </c>
      <c r="AY290" t="s">
        <v>4866</v>
      </c>
      <c r="AZ290" t="s">
        <v>4746</v>
      </c>
      <c r="BA290" t="s">
        <v>5200</v>
      </c>
      <c r="BB290">
        <v>100</v>
      </c>
      <c r="CD290" s="38">
        <v>286</v>
      </c>
      <c r="CE290" s="38">
        <f t="shared" si="99"/>
        <v>3.8097511731187721</v>
      </c>
      <c r="CF290" s="38">
        <f t="shared" si="107"/>
        <v>286.14406000000002</v>
      </c>
      <c r="CG290" s="38">
        <f t="shared" si="98"/>
        <v>287</v>
      </c>
      <c r="CP290" s="40">
        <v>24</v>
      </c>
      <c r="CQ290" s="41" t="s">
        <v>3618</v>
      </c>
      <c r="CR290" s="41" t="s">
        <v>5655</v>
      </c>
      <c r="CS290" s="41">
        <v>175</v>
      </c>
      <c r="CT290" s="41">
        <v>8</v>
      </c>
      <c r="CU290" s="41">
        <v>11</v>
      </c>
      <c r="CV290" s="41">
        <v>5</v>
      </c>
      <c r="CW290" s="41" t="s">
        <v>4706</v>
      </c>
      <c r="CX290" s="41" t="s">
        <v>4716</v>
      </c>
      <c r="CY290" s="40" t="s">
        <v>4717</v>
      </c>
    </row>
    <row r="291" spans="25:103" ht="14.6">
      <c r="Y291" s="12" t="s">
        <v>5</v>
      </c>
      <c r="AA291">
        <f ca="1">IF(AA83=0,0,SUM(OFFSET('2.2家乡支援军'!$J7,,,AA83)))</f>
        <v>0</v>
      </c>
      <c r="AB291">
        <f ca="1">IF(AB83=0,0,SUM(OFFSET('2.2家乡支援军'!$J7,,,AB83)))</f>
        <v>0</v>
      </c>
      <c r="AC291">
        <f ca="1">IF(AC83=0,0,SUM(OFFSET('2.2家乡支援军'!$J7,,,AC83)))</f>
        <v>0</v>
      </c>
      <c r="AD291">
        <f ca="1">IF(AD83=0,0,SUM(OFFSET('2.2家乡支援军'!$J7,,,AD83)))</f>
        <v>0</v>
      </c>
      <c r="AE291">
        <f ca="1">IF(AE83=0,0,SUM(OFFSET('2.2家乡支援军'!$J7,,,AE83)))</f>
        <v>350000</v>
      </c>
      <c r="AF291">
        <f ca="1">IF(AF83=0,0,SUM(OFFSET('2.2家乡支援军'!$J7,,,AF83)))</f>
        <v>350000</v>
      </c>
      <c r="AG291">
        <f ca="1">IF(AG83=0,0,SUM(OFFSET('2.2家乡支援军'!$J7,,,AG83)))</f>
        <v>350000</v>
      </c>
      <c r="AH291">
        <f ca="1">IF(AH83=0,0,SUM(OFFSET('2.2家乡支援军'!$J7,,,AH83)))</f>
        <v>950000</v>
      </c>
      <c r="AI291">
        <f ca="1">IF(AI83=0,0,SUM(OFFSET('2.2家乡支援军'!$J7,,,AI83)))</f>
        <v>2450000</v>
      </c>
      <c r="AJ291">
        <f ca="1">IF(AJ83=0,0,SUM(OFFSET('2.2家乡支援军'!$J7,,,AJ83)))</f>
        <v>4950000</v>
      </c>
      <c r="AK291">
        <f ca="1">IF(AK83=0,0,SUM(OFFSET('2.2家乡支援军'!$J7,,,AK83)))</f>
        <v>9150000</v>
      </c>
      <c r="AL291">
        <f ca="1">IF(AL83=0,0,SUM(OFFSET('2.2家乡支援军'!$J7,,,AL83)))</f>
        <v>16150000</v>
      </c>
      <c r="AM291">
        <f ca="1">IF(AM83=0,0,SUM(OFFSET('2.2家乡支援军'!$J7,,,AM83)))</f>
        <v>16150000</v>
      </c>
      <c r="AN291">
        <f ca="1">IF(AN83=0,0,SUM(OFFSET('2.2家乡支援军'!$J7,,,AN83)))</f>
        <v>16150000</v>
      </c>
      <c r="AO291">
        <f ca="1">IF(AO83=0,0,SUM(OFFSET('2.2家乡支援军'!$J7,,,AO83)))</f>
        <v>32150000</v>
      </c>
      <c r="AX291">
        <v>1500</v>
      </c>
      <c r="AY291" t="s">
        <v>5411</v>
      </c>
      <c r="AZ291" t="s">
        <v>5920</v>
      </c>
      <c r="BA291" t="s">
        <v>5921</v>
      </c>
      <c r="BB291">
        <v>10</v>
      </c>
      <c r="CD291" s="38">
        <v>287</v>
      </c>
      <c r="CE291" s="38">
        <f t="shared" si="99"/>
        <v>3.8114963738168526</v>
      </c>
      <c r="CF291" s="38">
        <f t="shared" si="107"/>
        <v>287.14355</v>
      </c>
      <c r="CG291" s="38">
        <f t="shared" si="98"/>
        <v>288</v>
      </c>
      <c r="CP291" s="40">
        <v>25</v>
      </c>
      <c r="CQ291" s="41" t="s">
        <v>4187</v>
      </c>
      <c r="CR291" s="41" t="s">
        <v>6032</v>
      </c>
      <c r="CS291" s="41">
        <v>100</v>
      </c>
      <c r="CT291" s="41">
        <v>8</v>
      </c>
      <c r="CU291" s="41">
        <v>72</v>
      </c>
      <c r="CV291" s="41">
        <v>10</v>
      </c>
      <c r="CW291" s="41" t="s">
        <v>4706</v>
      </c>
      <c r="CX291" s="41" t="s">
        <v>4716</v>
      </c>
      <c r="CY291" s="40" t="s">
        <v>4717</v>
      </c>
    </row>
    <row r="292" spans="25:103" ht="14.6">
      <c r="Y292" s="12" t="s">
        <v>12</v>
      </c>
      <c r="AA292">
        <f ca="1">IF(AA84=0,0,SUM(OFFSET('2.2家乡支援军'!$V7,,,AA84)))</f>
        <v>0</v>
      </c>
      <c r="AB292">
        <f ca="1">IF(AB84=0,0,SUM(OFFSET('2.2家乡支援军'!$V7,,,AB84)))</f>
        <v>0</v>
      </c>
      <c r="AC292">
        <f ca="1">IF(AC84=0,0,SUM(OFFSET('2.2家乡支援军'!$V7,,,AC84)))</f>
        <v>0</v>
      </c>
      <c r="AD292">
        <f ca="1">IF(AD84=0,0,SUM(OFFSET('2.2家乡支援军'!$V7,,,AD84)))</f>
        <v>0</v>
      </c>
      <c r="AE292">
        <f ca="1">IF(AE84=0,0,SUM(OFFSET('2.2家乡支援军'!$V7,,,AE84)))</f>
        <v>0</v>
      </c>
      <c r="AF292">
        <f ca="1">IF(AF84=0,0,SUM(OFFSET('2.2家乡支援军'!$V7,,,AF84)))</f>
        <v>225000</v>
      </c>
      <c r="AG292">
        <f ca="1">IF(AG84=0,0,SUM(OFFSET('2.2家乡支援军'!$V7,,,AG84)))</f>
        <v>525000</v>
      </c>
      <c r="AH292">
        <f ca="1">IF(AH84=0,0,SUM(OFFSET('2.2家乡支援军'!$V7,,,AH84)))</f>
        <v>1425000</v>
      </c>
      <c r="AI292">
        <f ca="1">IF(AI84=0,0,SUM(OFFSET('2.2家乡支援军'!$V7,,,AI84)))</f>
        <v>3225000</v>
      </c>
      <c r="AJ292">
        <f ca="1">IF(AJ84=0,0,SUM(OFFSET('2.2家乡支援军'!$V7,,,AJ84)))</f>
        <v>6225000</v>
      </c>
      <c r="AK292">
        <f ca="1">IF(AK84=0,0,SUM(OFFSET('2.2家乡支援军'!$V7,,,AK84)))</f>
        <v>6225000</v>
      </c>
      <c r="AL292">
        <f ca="1">IF(AL84=0,0,SUM(OFFSET('2.2家乡支援军'!$V7,,,AL84)))</f>
        <v>6225000</v>
      </c>
      <c r="AM292">
        <f ca="1">IF(AM84=0,0,SUM(OFFSET('2.2家乡支援军'!$V7,,,AM84)))</f>
        <v>16725000</v>
      </c>
      <c r="AN292">
        <f ca="1">IF(AN84=0,0,SUM(OFFSET('2.2家乡支援军'!$V7,,,AN84)))</f>
        <v>16725000</v>
      </c>
      <c r="AO292">
        <f ca="1">IF(AO84=0,0,SUM(OFFSET('2.2家乡支援军'!$V7,,,AO84)))</f>
        <v>33725000</v>
      </c>
      <c r="AX292">
        <v>3000</v>
      </c>
      <c r="AY292" t="s">
        <v>4769</v>
      </c>
      <c r="AZ292" t="s">
        <v>6033</v>
      </c>
      <c r="BA292" t="s">
        <v>4878</v>
      </c>
      <c r="BB292">
        <v>20</v>
      </c>
      <c r="CD292" s="38">
        <v>288</v>
      </c>
      <c r="CE292" s="38">
        <f t="shared" si="99"/>
        <v>3.8132355042516353</v>
      </c>
      <c r="CF292" s="38">
        <f t="shared" si="107"/>
        <v>288.14305000000002</v>
      </c>
      <c r="CG292" s="38">
        <f t="shared" si="98"/>
        <v>289</v>
      </c>
      <c r="CP292" s="40">
        <v>26</v>
      </c>
      <c r="CQ292" s="41" t="s">
        <v>3344</v>
      </c>
      <c r="CR292" s="41" t="s">
        <v>5205</v>
      </c>
      <c r="CS292" s="41">
        <v>200</v>
      </c>
      <c r="CT292" s="41">
        <v>8</v>
      </c>
      <c r="CU292" s="41">
        <v>72</v>
      </c>
      <c r="CV292" s="41">
        <v>20</v>
      </c>
      <c r="CW292" s="41" t="s">
        <v>4706</v>
      </c>
      <c r="CX292" s="41" t="s">
        <v>4716</v>
      </c>
      <c r="CY292" s="40" t="s">
        <v>4717</v>
      </c>
    </row>
    <row r="293" spans="25:103" ht="14.6">
      <c r="Y293" s="12" t="s">
        <v>17</v>
      </c>
      <c r="AA293">
        <f ca="1">IF(AA85=0,0,SUM(OFFSET('2.2家乡支援军'!$K21,,,AA85)))</f>
        <v>0</v>
      </c>
      <c r="AB293">
        <f ca="1">IF(AB85=0,0,SUM(OFFSET('2.2家乡支援军'!$K21,,,AB85)))</f>
        <v>0</v>
      </c>
      <c r="AC293">
        <f ca="1">IF(AC85=0,0,SUM(OFFSET('2.2家乡支援军'!$K21,,,AC85)))</f>
        <v>0</v>
      </c>
      <c r="AD293">
        <f ca="1">IF(AD85=0,0,SUM(OFFSET('2.2家乡支援军'!$K21,,,AD85)))</f>
        <v>0</v>
      </c>
      <c r="AE293">
        <f ca="1">IF(AE85=0,0,SUM(OFFSET('2.2家乡支援军'!$K21,,,AE85)))</f>
        <v>0</v>
      </c>
      <c r="AF293">
        <f ca="1">IF(AF85=0,0,SUM(OFFSET('2.2家乡支援军'!$K21,,,AF85)))</f>
        <v>0</v>
      </c>
      <c r="AG293">
        <f ca="1">IF(AG85=0,0,SUM(OFFSET('2.2家乡支援军'!$K21,,,AG85)))</f>
        <v>2800000</v>
      </c>
      <c r="AH293">
        <f ca="1">IF(AH85=0,0,SUM(OFFSET('2.2家乡支援军'!$K21,,,AH85)))</f>
        <v>5200000</v>
      </c>
      <c r="AI293">
        <f ca="1">IF(AI85=0,0,SUM(OFFSET('2.2家乡支援军'!$K21,,,AI85)))</f>
        <v>5200000</v>
      </c>
      <c r="AJ293">
        <f ca="1">IF(AJ85=0,0,SUM(OFFSET('2.2家乡支援军'!$K21,,,AJ85)))</f>
        <v>5200000</v>
      </c>
      <c r="AK293">
        <f ca="1">IF(AK85=0,0,SUM(OFFSET('2.2家乡支援军'!$K21,,,AK85)))</f>
        <v>5200000</v>
      </c>
      <c r="AL293">
        <f ca="1">IF(AL85=0,0,SUM(OFFSET('2.2家乡支援军'!$K21,,,AL85)))</f>
        <v>12900000</v>
      </c>
      <c r="AM293">
        <f ca="1">IF(AM85=0,0,SUM(OFFSET('2.2家乡支援军'!$K21,,,AM85)))</f>
        <v>12900000</v>
      </c>
      <c r="AN293">
        <f ca="1">IF(AN85=0,0,SUM(OFFSET('2.2家乡支援军'!$K21,,,AN85)))</f>
        <v>12900000</v>
      </c>
      <c r="AO293">
        <f ca="1">IF(AO85=0,0,SUM(OFFSET('2.2家乡支援军'!$K21,,,AO85)))</f>
        <v>12900000</v>
      </c>
      <c r="AX293">
        <v>7500</v>
      </c>
      <c r="AY293" t="s">
        <v>4845</v>
      </c>
      <c r="AZ293" t="s">
        <v>5467</v>
      </c>
      <c r="BA293" t="s">
        <v>4713</v>
      </c>
      <c r="BB293">
        <v>50</v>
      </c>
      <c r="CD293" s="38">
        <v>289</v>
      </c>
      <c r="CE293" s="38">
        <f t="shared" si="99"/>
        <v>3.8149686065046682</v>
      </c>
      <c r="CF293" s="38">
        <f t="shared" si="107"/>
        <v>289.14255000000003</v>
      </c>
      <c r="CG293" s="38">
        <f t="shared" si="98"/>
        <v>290</v>
      </c>
      <c r="CP293" s="40">
        <v>27</v>
      </c>
      <c r="CQ293" s="41" t="s">
        <v>3241</v>
      </c>
      <c r="CR293" s="41" t="s">
        <v>5035</v>
      </c>
      <c r="CS293" s="41">
        <v>100</v>
      </c>
      <c r="CT293" s="41">
        <v>8</v>
      </c>
      <c r="CU293" s="41">
        <v>180</v>
      </c>
      <c r="CV293" s="41">
        <v>10</v>
      </c>
      <c r="CW293" s="41" t="s">
        <v>4706</v>
      </c>
      <c r="CX293" s="41" t="s">
        <v>4716</v>
      </c>
      <c r="CY293" s="40" t="s">
        <v>4717</v>
      </c>
    </row>
    <row r="294" spans="25:103" ht="14.6">
      <c r="Y294" s="12" t="s">
        <v>23</v>
      </c>
      <c r="AA294">
        <f ca="1">IF(AA86=0,0,SUM(OFFSET('2.2家乡支援军'!$U21,,,AA86)))</f>
        <v>0</v>
      </c>
      <c r="AB294">
        <f ca="1">IF(AB86=0,0,SUM(OFFSET('2.2家乡支援军'!$U21,,,AB86)))</f>
        <v>0</v>
      </c>
      <c r="AC294">
        <f ca="1">IF(AC86=0,0,SUM(OFFSET('2.2家乡支援军'!$U21,,,AC86)))</f>
        <v>0</v>
      </c>
      <c r="AD294">
        <f ca="1">IF(AD86=0,0,SUM(OFFSET('2.2家乡支援军'!$U21,,,AD86)))</f>
        <v>0</v>
      </c>
      <c r="AE294">
        <f ca="1">IF(AE86=0,0,SUM(OFFSET('2.2家乡支援军'!$U21,,,AE86)))</f>
        <v>0</v>
      </c>
      <c r="AF294">
        <f ca="1">IF(AF86=0,0,SUM(OFFSET('2.2家乡支援军'!$U21,,,AF86)))</f>
        <v>0</v>
      </c>
      <c r="AG294">
        <f ca="1">IF(AG86=0,0,SUM(OFFSET('2.2家乡支援军'!$U21,,,AG86)))</f>
        <v>0</v>
      </c>
      <c r="AH294">
        <f ca="1">IF(AH86=0,0,SUM(OFFSET('2.2家乡支援军'!$U21,,,AH86)))</f>
        <v>0</v>
      </c>
      <c r="AI294">
        <f ca="1">IF(AI86=0,0,SUM(OFFSET('2.2家乡支援军'!$U21,,,AI86)))</f>
        <v>2000000</v>
      </c>
      <c r="AJ294">
        <f ca="1">IF(AJ86=0,0,SUM(OFFSET('2.2家乡支援军'!$U21,,,AJ86)))</f>
        <v>5400000</v>
      </c>
      <c r="AK294">
        <f ca="1">IF(AK86=0,0,SUM(OFFSET('2.2家乡支援军'!$U21,,,AK86)))</f>
        <v>5400000</v>
      </c>
      <c r="AL294">
        <f ca="1">IF(AL86=0,0,SUM(OFFSET('2.2家乡支援军'!$U21,,,AL86)))</f>
        <v>5400000</v>
      </c>
      <c r="AM294">
        <f ca="1">IF(AM86=0,0,SUM(OFFSET('2.2家乡支援军'!$U21,,,AM86)))</f>
        <v>14400000</v>
      </c>
      <c r="AN294">
        <f ca="1">IF(AN86=0,0,SUM(OFFSET('2.2家乡支援军'!$U21,,,AN86)))</f>
        <v>14400000</v>
      </c>
      <c r="AO294">
        <f ca="1">IF(AO86=0,0,SUM(OFFSET('2.2家乡支援军'!$U21,,,AO86)))</f>
        <v>30900000</v>
      </c>
      <c r="AX294">
        <v>12000</v>
      </c>
      <c r="AY294" t="s">
        <v>6034</v>
      </c>
      <c r="AZ294" t="s">
        <v>6035</v>
      </c>
      <c r="BA294" t="s">
        <v>4675</v>
      </c>
      <c r="BB294">
        <v>60</v>
      </c>
      <c r="CD294" s="38">
        <v>290</v>
      </c>
      <c r="CE294" s="38">
        <f t="shared" si="99"/>
        <v>3.8166957222214211</v>
      </c>
      <c r="CF294" s="38">
        <f t="shared" si="107"/>
        <v>290.14204999999998</v>
      </c>
      <c r="CG294" s="38">
        <f t="shared" si="98"/>
        <v>291</v>
      </c>
      <c r="CP294" s="40">
        <v>28</v>
      </c>
      <c r="CQ294" s="41" t="s">
        <v>3236</v>
      </c>
      <c r="CR294" s="41" t="s">
        <v>6036</v>
      </c>
      <c r="CS294" s="41">
        <v>100</v>
      </c>
      <c r="CT294" s="41">
        <v>8</v>
      </c>
      <c r="CU294" s="41">
        <v>180</v>
      </c>
      <c r="CV294" s="41">
        <v>10</v>
      </c>
      <c r="CW294" s="41" t="s">
        <v>4706</v>
      </c>
      <c r="CX294" s="41" t="s">
        <v>4716</v>
      </c>
      <c r="CY294" s="40" t="s">
        <v>4717</v>
      </c>
    </row>
    <row r="295" spans="25:103" ht="14.6">
      <c r="Y295" s="12" t="s">
        <v>29</v>
      </c>
      <c r="AA295">
        <f ca="1">IF(AA87=0,0,SUM(OFFSET('2.2家乡支援军'!$J34,,,AA87)))</f>
        <v>0</v>
      </c>
      <c r="AB295">
        <f ca="1">IF(AB87=0,0,SUM(OFFSET('2.2家乡支援军'!$J34,,,AB87)))</f>
        <v>0</v>
      </c>
      <c r="AC295">
        <f ca="1">IF(AC87=0,0,SUM(OFFSET('2.2家乡支援军'!$J34,,,AC87)))</f>
        <v>0</v>
      </c>
      <c r="AD295">
        <f ca="1">IF(AD87=0,0,SUM(OFFSET('2.2家乡支援军'!$J34,,,AD87)))</f>
        <v>0</v>
      </c>
      <c r="AE295">
        <f ca="1">IF(AE87=0,0,SUM(OFFSET('2.2家乡支援军'!$J34,,,AE87)))</f>
        <v>0</v>
      </c>
      <c r="AF295">
        <f ca="1">IF(AF87=0,0,SUM(OFFSET('2.2家乡支援军'!$J34,,,AF87)))</f>
        <v>0</v>
      </c>
      <c r="AG295">
        <f ca="1">IF(AG87=0,0,SUM(OFFSET('2.2家乡支援军'!$J34,,,AG87)))</f>
        <v>0</v>
      </c>
      <c r="AH295">
        <f ca="1">IF(AH87=0,0,SUM(OFFSET('2.2家乡支援军'!$J34,,,AH87)))</f>
        <v>0</v>
      </c>
      <c r="AI295">
        <f ca="1">IF(AI87=0,0,SUM(OFFSET('2.2家乡支援军'!$J34,,,AI87)))</f>
        <v>1200000</v>
      </c>
      <c r="AJ295">
        <f ca="1">IF(AJ87=0,0,SUM(OFFSET('2.2家乡支援军'!$J34,,,AJ87)))</f>
        <v>10100000</v>
      </c>
      <c r="AK295">
        <f ca="1">IF(AK87=0,0,SUM(OFFSET('2.2家乡支援军'!$J34,,,AK87)))</f>
        <v>16100000</v>
      </c>
      <c r="AL295">
        <f ca="1">IF(AL87=0,0,SUM(OFFSET('2.2家乡支援军'!$J34,,,AL87)))</f>
        <v>23800000</v>
      </c>
      <c r="AM295">
        <f ca="1">IF(AM87=0,0,SUM(OFFSET('2.2家乡支援军'!$J34,,,AM87)))</f>
        <v>23800000</v>
      </c>
      <c r="AN295">
        <f ca="1">IF(AN87=0,0,SUM(OFFSET('2.2家乡支援军'!$J34,,,AN87)))</f>
        <v>23800000</v>
      </c>
      <c r="AO295">
        <f ca="1">IF(AO87=0,0,SUM(OFFSET('2.2家乡支援军'!$J34,,,AO87)))</f>
        <v>23800000</v>
      </c>
      <c r="AX295">
        <v>18000</v>
      </c>
      <c r="AY295" t="s">
        <v>5163</v>
      </c>
      <c r="AZ295" t="s">
        <v>4751</v>
      </c>
      <c r="BA295" t="s">
        <v>4746</v>
      </c>
      <c r="BB295">
        <v>80</v>
      </c>
      <c r="CD295" s="38">
        <v>291</v>
      </c>
      <c r="CE295" s="38">
        <f t="shared" si="99"/>
        <v>3.8184168926172903</v>
      </c>
      <c r="CF295" s="38">
        <f t="shared" si="107"/>
        <v>291.14155</v>
      </c>
      <c r="CG295" s="38">
        <f t="shared" si="98"/>
        <v>292</v>
      </c>
      <c r="CP295" s="40">
        <v>29</v>
      </c>
      <c r="CQ295" s="41" t="s">
        <v>3378</v>
      </c>
      <c r="CR295" s="41" t="s">
        <v>6037</v>
      </c>
      <c r="CS295" s="41">
        <v>125</v>
      </c>
      <c r="CT295" s="41">
        <v>8</v>
      </c>
      <c r="CU295" s="41">
        <v>90</v>
      </c>
      <c r="CV295" s="41">
        <v>10</v>
      </c>
      <c r="CW295" s="41" t="s">
        <v>4706</v>
      </c>
      <c r="CX295" s="41" t="s">
        <v>4716</v>
      </c>
      <c r="CY295" s="40" t="s">
        <v>4717</v>
      </c>
    </row>
    <row r="296" spans="25:103" ht="14.6">
      <c r="Y296" s="12" t="s">
        <v>35</v>
      </c>
      <c r="AA296">
        <f ca="1">IF(AA88=0,0,SUM(OFFSET('2.2家乡支援军'!$T34,,,AA88)))</f>
        <v>0</v>
      </c>
      <c r="AB296">
        <f ca="1">IF(AB88=0,0,SUM(OFFSET('2.2家乡支援军'!$T34,,,AB88)))</f>
        <v>0</v>
      </c>
      <c r="AC296">
        <f ca="1">IF(AC88=0,0,SUM(OFFSET('2.2家乡支援军'!$T34,,,AC88)))</f>
        <v>0</v>
      </c>
      <c r="AD296">
        <f ca="1">IF(AD88=0,0,SUM(OFFSET('2.2家乡支援军'!$T34,,,AD88)))</f>
        <v>0</v>
      </c>
      <c r="AE296">
        <f ca="1">IF(AE88=0,0,SUM(OFFSET('2.2家乡支援军'!$T34,,,AE88)))</f>
        <v>0</v>
      </c>
      <c r="AF296">
        <f ca="1">IF(AF88=0,0,SUM(OFFSET('2.2家乡支援军'!$T34,,,AF88)))</f>
        <v>0</v>
      </c>
      <c r="AG296">
        <f ca="1">IF(AG88=0,0,SUM(OFFSET('2.2家乡支援军'!$T34,,,AG88)))</f>
        <v>0</v>
      </c>
      <c r="AH296">
        <f ca="1">IF(AH88=0,0,SUM(OFFSET('2.2家乡支援军'!$T34,,,AH88)))</f>
        <v>0</v>
      </c>
      <c r="AI296">
        <f ca="1">IF(AI88=0,0,SUM(OFFSET('2.2家乡支援军'!$T34,,,AI88)))</f>
        <v>0</v>
      </c>
      <c r="AJ296">
        <f ca="1">IF(AJ88=0,0,SUM(OFFSET('2.2家乡支援军'!$T34,,,AJ88)))</f>
        <v>5500000</v>
      </c>
      <c r="AK296">
        <f ca="1">IF(AK88=0,0,SUM(OFFSET('2.2家乡支援军'!$T34,,,AK88)))</f>
        <v>15300000</v>
      </c>
      <c r="AL296">
        <f ca="1">IF(AL88=0,0,SUM(OFFSET('2.2家乡支援军'!$T34,,,AL88)))</f>
        <v>15300000</v>
      </c>
      <c r="AM296">
        <f ca="1">IF(AM88=0,0,SUM(OFFSET('2.2家乡支援军'!$T34,,,AM88)))</f>
        <v>24300000</v>
      </c>
      <c r="AN296">
        <f ca="1">IF(AN88=0,0,SUM(OFFSET('2.2家乡支援军'!$T34,,,AN88)))</f>
        <v>39800000</v>
      </c>
      <c r="AO296">
        <f ca="1">IF(AO88=0,0,SUM(OFFSET('2.2家乡支援军'!$T34,,,AO88)))</f>
        <v>39800000</v>
      </c>
      <c r="AX296">
        <v>30000</v>
      </c>
      <c r="AY296" t="s">
        <v>5164</v>
      </c>
      <c r="AZ296" t="s">
        <v>4865</v>
      </c>
      <c r="BA296" t="s">
        <v>4953</v>
      </c>
      <c r="BB296">
        <v>100</v>
      </c>
      <c r="CD296" s="38">
        <v>292</v>
      </c>
      <c r="CE296" s="38">
        <f t="shared" si="99"/>
        <v>3.8201321584834997</v>
      </c>
      <c r="CF296" s="38">
        <f t="shared" si="107"/>
        <v>292.14105000000001</v>
      </c>
      <c r="CG296" s="38">
        <f t="shared" si="98"/>
        <v>293</v>
      </c>
      <c r="CP296" s="40">
        <v>30</v>
      </c>
      <c r="CQ296" s="41" t="s">
        <v>3373</v>
      </c>
      <c r="CR296" s="41" t="s">
        <v>6038</v>
      </c>
      <c r="CS296" s="41">
        <v>125</v>
      </c>
      <c r="CT296" s="41">
        <v>8</v>
      </c>
      <c r="CU296" s="41">
        <v>90</v>
      </c>
      <c r="CV296" s="41">
        <v>10</v>
      </c>
      <c r="CW296" s="41" t="s">
        <v>4706</v>
      </c>
      <c r="CX296" s="41" t="s">
        <v>4716</v>
      </c>
      <c r="CY296" s="40" t="s">
        <v>4717</v>
      </c>
    </row>
    <row r="297" spans="25:103" ht="14.6">
      <c r="Y297" s="12" t="s">
        <v>41</v>
      </c>
      <c r="AA297">
        <f ca="1">IF(AA89=0,0,SUM(OFFSET('2.2家乡支援军'!$K46,,,AA89)))</f>
        <v>0</v>
      </c>
      <c r="AB297">
        <f ca="1">IF(AB89=0,0,SUM(OFFSET('2.2家乡支援军'!$K46,,,AB89)))</f>
        <v>0</v>
      </c>
      <c r="AC297">
        <f ca="1">IF(AC89=0,0,SUM(OFFSET('2.2家乡支援军'!$K46,,,AC89)))</f>
        <v>0</v>
      </c>
      <c r="AD297">
        <f ca="1">IF(AD89=0,0,SUM(OFFSET('2.2家乡支援军'!$K46,,,AD89)))</f>
        <v>0</v>
      </c>
      <c r="AE297">
        <f ca="1">IF(AE89=0,0,SUM(OFFSET('2.2家乡支援军'!$K46,,,AE89)))</f>
        <v>0</v>
      </c>
      <c r="AF297">
        <f ca="1">IF(AF89=0,0,SUM(OFFSET('2.2家乡支援军'!$K46,,,AF89)))</f>
        <v>0</v>
      </c>
      <c r="AG297">
        <f ca="1">IF(AG89=0,0,SUM(OFFSET('2.2家乡支援军'!$K46,,,AG89)))</f>
        <v>0</v>
      </c>
      <c r="AH297">
        <f ca="1">IF(AH89=0,0,SUM(OFFSET('2.2家乡支援军'!$K46,,,AH89)))</f>
        <v>0</v>
      </c>
      <c r="AI297">
        <f ca="1">IF(AI89=0,0,SUM(OFFSET('2.2家乡支援军'!$K46,,,AI89)))</f>
        <v>0</v>
      </c>
      <c r="AJ297">
        <f ca="1">IF(AJ89=0,0,SUM(OFFSET('2.2家乡支援军'!$K46,,,AJ89)))</f>
        <v>0</v>
      </c>
      <c r="AK297">
        <f ca="1">IF(AK89=0,0,SUM(OFFSET('2.2家乡支援军'!$K46,,,AK89)))</f>
        <v>5600000</v>
      </c>
      <c r="AL297">
        <f ca="1">IF(AL89=0,0,SUM(OFFSET('2.2家乡支援军'!$K46,,,AL89)))</f>
        <v>14000000</v>
      </c>
      <c r="AM297">
        <f ca="1">IF(AM89=0,0,SUM(OFFSET('2.2家乡支援军'!$K46,,,AM89)))</f>
        <v>25300000</v>
      </c>
      <c r="AN297">
        <f ca="1">IF(AN89=0,0,SUM(OFFSET('2.2家乡支援军'!$K46,,,AN89)))</f>
        <v>25300000</v>
      </c>
      <c r="AO297">
        <f ca="1">IF(AO89=0,0,SUM(OFFSET('2.2家乡支援军'!$K46,,,AO89)))</f>
        <v>25300000</v>
      </c>
      <c r="AX297">
        <v>1500</v>
      </c>
      <c r="AY297" t="s">
        <v>5411</v>
      </c>
      <c r="AZ297" t="s">
        <v>5920</v>
      </c>
      <c r="BA297" t="s">
        <v>5921</v>
      </c>
      <c r="BB297">
        <v>10</v>
      </c>
      <c r="CD297" s="38">
        <v>293</v>
      </c>
      <c r="CE297" s="38">
        <f t="shared" si="99"/>
        <v>3.8218415601929014</v>
      </c>
      <c r="CF297" s="38">
        <f t="shared" si="107"/>
        <v>293.14055000000002</v>
      </c>
      <c r="CG297" s="38">
        <f t="shared" si="98"/>
        <v>294</v>
      </c>
      <c r="CP297" s="40">
        <v>31</v>
      </c>
      <c r="CQ297" s="41" t="s">
        <v>3367</v>
      </c>
      <c r="CR297" s="41" t="s">
        <v>6039</v>
      </c>
      <c r="CS297" s="41">
        <v>125</v>
      </c>
      <c r="CT297" s="41">
        <v>8</v>
      </c>
      <c r="CU297" s="41">
        <v>60</v>
      </c>
      <c r="CV297" s="41">
        <v>10</v>
      </c>
      <c r="CW297" s="41" t="s">
        <v>4706</v>
      </c>
      <c r="CX297" s="41" t="s">
        <v>4716</v>
      </c>
      <c r="CY297" s="40" t="s">
        <v>4717</v>
      </c>
    </row>
    <row r="298" spans="25:103" ht="14.6">
      <c r="Y298" s="12" t="s">
        <v>46</v>
      </c>
      <c r="AA298">
        <f ca="1">IF(AA90=0,0,SUM(OFFSET('2.2家乡支援军'!$T46,,,AA90)))</f>
        <v>0</v>
      </c>
      <c r="AB298">
        <f ca="1">IF(AB90=0,0,SUM(OFFSET('2.2家乡支援军'!$T46,,,AB90)))</f>
        <v>0</v>
      </c>
      <c r="AC298">
        <f ca="1">IF(AC90=0,0,SUM(OFFSET('2.2家乡支援军'!$T46,,,AC90)))</f>
        <v>0</v>
      </c>
      <c r="AD298">
        <f ca="1">IF(AD90=0,0,SUM(OFFSET('2.2家乡支援军'!$T46,,,AD90)))</f>
        <v>0</v>
      </c>
      <c r="AE298">
        <f ca="1">IF(AE90=0,0,SUM(OFFSET('2.2家乡支援军'!$T46,,,AE90)))</f>
        <v>0</v>
      </c>
      <c r="AF298">
        <f ca="1">IF(AF90=0,0,SUM(OFFSET('2.2家乡支援军'!$T46,,,AF90)))</f>
        <v>0</v>
      </c>
      <c r="AG298">
        <f ca="1">IF(AG90=0,0,SUM(OFFSET('2.2家乡支援军'!$T46,,,AG90)))</f>
        <v>0</v>
      </c>
      <c r="AH298">
        <f ca="1">IF(AH90=0,0,SUM(OFFSET('2.2家乡支援军'!$T46,,,AH90)))</f>
        <v>0</v>
      </c>
      <c r="AI298">
        <f ca="1">IF(AI90=0,0,SUM(OFFSET('2.2家乡支援军'!$T46,,,AI90)))</f>
        <v>0</v>
      </c>
      <c r="AJ298">
        <f ca="1">IF(AJ90=0,0,SUM(OFFSET('2.2家乡支援军'!$T46,,,AJ90)))</f>
        <v>0</v>
      </c>
      <c r="AK298">
        <f ca="1">IF(AK90=0,0,SUM(OFFSET('2.2家乡支援军'!$T46,,,AK90)))</f>
        <v>0</v>
      </c>
      <c r="AL298">
        <f ca="1">IF(AL90=0,0,SUM(OFFSET('2.2家乡支援军'!$T46,,,AL90)))</f>
        <v>0</v>
      </c>
      <c r="AM298">
        <f ca="1">IF(AM90=0,0,SUM(OFFSET('2.2家乡支援军'!$T46,,,AM90)))</f>
        <v>7500000</v>
      </c>
      <c r="AN298">
        <f ca="1">IF(AN90=0,0,SUM(OFFSET('2.2家乡支援军'!$T46,,,AN90)))</f>
        <v>21500000</v>
      </c>
      <c r="AO298">
        <f ca="1">IF(AO90=0,0,SUM(OFFSET('2.2家乡支援军'!$T46,,,AO90)))</f>
        <v>39000000</v>
      </c>
      <c r="AX298">
        <v>3000</v>
      </c>
      <c r="AY298" t="s">
        <v>4794</v>
      </c>
      <c r="AZ298" t="s">
        <v>4877</v>
      </c>
      <c r="BA298" t="s">
        <v>4878</v>
      </c>
      <c r="BB298">
        <v>20</v>
      </c>
      <c r="CD298" s="38">
        <v>294</v>
      </c>
      <c r="CE298" s="38">
        <f t="shared" si="99"/>
        <v>3.8235451377056782</v>
      </c>
      <c r="CF298" s="38">
        <f t="shared" si="107"/>
        <v>294.14006000000001</v>
      </c>
      <c r="CG298" s="38">
        <f t="shared" si="98"/>
        <v>295</v>
      </c>
      <c r="CP298" s="40">
        <v>32</v>
      </c>
      <c r="CQ298" s="41" t="s">
        <v>3188</v>
      </c>
      <c r="CR298" s="41" t="s">
        <v>6040</v>
      </c>
      <c r="CS298" s="41">
        <v>125</v>
      </c>
      <c r="CT298" s="41">
        <v>8</v>
      </c>
      <c r="CU298" s="41">
        <v>180</v>
      </c>
      <c r="CV298" s="41">
        <v>5</v>
      </c>
      <c r="CW298" s="41" t="s">
        <v>4706</v>
      </c>
      <c r="CX298" s="41" t="s">
        <v>4716</v>
      </c>
      <c r="CY298" s="40" t="s">
        <v>4717</v>
      </c>
    </row>
    <row r="299" spans="25:103" ht="14.6">
      <c r="AX299">
        <v>7500</v>
      </c>
      <c r="AY299" t="s">
        <v>4739</v>
      </c>
      <c r="AZ299" t="s">
        <v>4713</v>
      </c>
      <c r="BA299" t="s">
        <v>5467</v>
      </c>
      <c r="BB299">
        <v>50</v>
      </c>
      <c r="CD299" s="38">
        <v>295</v>
      </c>
      <c r="CE299" s="38">
        <f t="shared" si="99"/>
        <v>3.825242930574948</v>
      </c>
      <c r="CF299" s="38">
        <f t="shared" si="107"/>
        <v>295.13956999999999</v>
      </c>
      <c r="CG299" s="38">
        <f t="shared" si="98"/>
        <v>296</v>
      </c>
      <c r="CP299" s="40">
        <v>33</v>
      </c>
      <c r="CQ299" s="41" t="s">
        <v>3179</v>
      </c>
      <c r="CR299" s="41" t="s">
        <v>6041</v>
      </c>
      <c r="CS299" s="41">
        <v>125</v>
      </c>
      <c r="CT299" s="41">
        <v>8</v>
      </c>
      <c r="CU299" s="41">
        <v>180</v>
      </c>
      <c r="CV299" s="41">
        <v>5</v>
      </c>
      <c r="CW299" s="41" t="s">
        <v>4706</v>
      </c>
      <c r="CX299" s="41" t="s">
        <v>4716</v>
      </c>
      <c r="CY299" s="40" t="s">
        <v>4717</v>
      </c>
    </row>
    <row r="300" spans="25:103" ht="14.6">
      <c r="AX300">
        <v>12000</v>
      </c>
      <c r="AY300" t="s">
        <v>4910</v>
      </c>
      <c r="AZ300" t="s">
        <v>4909</v>
      </c>
      <c r="BA300" t="s">
        <v>4795</v>
      </c>
      <c r="BB300">
        <v>60</v>
      </c>
      <c r="CD300" s="38">
        <v>296</v>
      </c>
      <c r="CE300" s="38">
        <f t="shared" si="99"/>
        <v>3.8269349779522748</v>
      </c>
      <c r="CF300" s="38">
        <f t="shared" si="107"/>
        <v>296.13907999999998</v>
      </c>
      <c r="CG300" s="38">
        <f t="shared" si="98"/>
        <v>297</v>
      </c>
      <c r="CP300" s="40">
        <v>34</v>
      </c>
      <c r="CQ300" s="41" t="s">
        <v>3171</v>
      </c>
      <c r="CR300" s="41" t="s">
        <v>4715</v>
      </c>
      <c r="CS300" s="41">
        <v>50</v>
      </c>
      <c r="CT300" s="41">
        <v>8</v>
      </c>
      <c r="CU300" s="41">
        <v>180</v>
      </c>
      <c r="CV300" s="41">
        <v>5</v>
      </c>
      <c r="CW300" s="41" t="s">
        <v>4706</v>
      </c>
      <c r="CX300" s="41" t="s">
        <v>4716</v>
      </c>
      <c r="CY300" s="40" t="s">
        <v>4717</v>
      </c>
    </row>
    <row r="301" spans="25:103" ht="14.6">
      <c r="Y301" s="12" t="s">
        <v>57</v>
      </c>
      <c r="AA301">
        <f ca="1">IF(AA93=0,0,SUM(OFFSET('2.2家乡支援军'!$L60,,,AA93)))</f>
        <v>0</v>
      </c>
      <c r="AB301">
        <f ca="1">IF(AB93=0,0,SUM(OFFSET('2.2家乡支援军'!$L60,,,AB93)))</f>
        <v>0</v>
      </c>
      <c r="AC301">
        <f ca="1">IF(AC93=0,0,SUM(OFFSET('2.2家乡支援军'!$L60,,,AC93)))</f>
        <v>0</v>
      </c>
      <c r="AD301">
        <f ca="1">IF(AD93=0,0,SUM(OFFSET('2.2家乡支援军'!$L60,,,AD93)))</f>
        <v>0</v>
      </c>
      <c r="AE301">
        <f ca="1">IF(AE93=0,0,SUM(OFFSET('2.2家乡支援军'!$L60,,,AE93)))</f>
        <v>0</v>
      </c>
      <c r="AF301">
        <f ca="1">IF(AF93=0,0,SUM(OFFSET('2.2家乡支援军'!$L60,,,AF93)))</f>
        <v>0</v>
      </c>
      <c r="AG301">
        <f ca="1">IF(AG93=0,0,SUM(OFFSET('2.2家乡支援军'!$L60,,,AG93)))</f>
        <v>0</v>
      </c>
      <c r="AH301">
        <f ca="1">IF(AH93=0,0,SUM(OFFSET('2.2家乡支援军'!$L60,,,AH93)))</f>
        <v>12000</v>
      </c>
      <c r="AI301">
        <f ca="1">IF(AI93=0,0,SUM(OFFSET('2.2家乡支援军'!$L60,,,AI93)))</f>
        <v>37000</v>
      </c>
      <c r="AJ301">
        <f ca="1">IF(AJ93=0,0,SUM(OFFSET('2.2家乡支援军'!$L60,,,AJ93)))</f>
        <v>80000</v>
      </c>
      <c r="AK301">
        <f ca="1">IF(AK93=0,0,SUM(OFFSET('2.2家乡支援军'!$L60,,,AK93)))</f>
        <v>150000</v>
      </c>
      <c r="AL301">
        <f ca="1">IF(AL93=0,0,SUM(OFFSET('2.2家乡支援军'!$L60,,,AL93)))</f>
        <v>273000</v>
      </c>
      <c r="AM301">
        <f ca="1">IF(AM93=0,0,SUM(OFFSET('2.2家乡支援军'!$L60,,,AM93)))</f>
        <v>468000</v>
      </c>
      <c r="AN301">
        <f ca="1">IF(AN93=0,0,SUM(OFFSET('2.2家乡支援军'!$L60,,,AN93)))</f>
        <v>753000</v>
      </c>
      <c r="AO301">
        <f ca="1">IF(AO93=0,0,SUM(OFFSET('2.2家乡支援军'!$L60,,,AO93)))</f>
        <v>1073000</v>
      </c>
      <c r="AX301">
        <v>18000</v>
      </c>
      <c r="AY301" t="s">
        <v>4746</v>
      </c>
      <c r="AZ301" t="s">
        <v>4745</v>
      </c>
      <c r="BA301" t="s">
        <v>4739</v>
      </c>
      <c r="BB301">
        <v>80</v>
      </c>
      <c r="CD301" s="38">
        <v>297</v>
      </c>
      <c r="CE301" s="38">
        <f t="shared" si="99"/>
        <v>3.8286213185930844</v>
      </c>
      <c r="CF301" s="38">
        <f t="shared" si="107"/>
        <v>297.13859000000002</v>
      </c>
      <c r="CG301" s="38">
        <f t="shared" si="98"/>
        <v>298</v>
      </c>
      <c r="CP301" s="40">
        <v>35</v>
      </c>
      <c r="CQ301" s="41" t="s">
        <v>3339</v>
      </c>
      <c r="CR301" s="41" t="s">
        <v>6042</v>
      </c>
      <c r="CS301" s="41">
        <v>250</v>
      </c>
      <c r="CT301" s="41">
        <v>8</v>
      </c>
      <c r="CU301" s="41">
        <v>48</v>
      </c>
      <c r="CV301" s="41">
        <v>20</v>
      </c>
      <c r="CW301" s="41" t="s">
        <v>4706</v>
      </c>
      <c r="CX301" s="41" t="s">
        <v>5196</v>
      </c>
      <c r="CY301" s="40" t="s">
        <v>4717</v>
      </c>
    </row>
    <row r="302" spans="25:103" ht="14.6">
      <c r="Y302" s="12" t="s">
        <v>62</v>
      </c>
      <c r="AA302">
        <f ca="1">IF(AA94=0,0,SUM(OFFSET('2.2家乡支援军'!$U60,,,AA94)))</f>
        <v>0</v>
      </c>
      <c r="AB302">
        <f ca="1">IF(AB94=0,0,SUM(OFFSET('2.2家乡支援军'!$U60,,,AB94)))</f>
        <v>0</v>
      </c>
      <c r="AC302">
        <f ca="1">IF(AC94=0,0,SUM(OFFSET('2.2家乡支援军'!$U60,,,AC94)))</f>
        <v>0</v>
      </c>
      <c r="AD302">
        <f ca="1">IF(AD94=0,0,SUM(OFFSET('2.2家乡支援军'!$U60,,,AD94)))</f>
        <v>0</v>
      </c>
      <c r="AE302">
        <f ca="1">IF(AE94=0,0,SUM(OFFSET('2.2家乡支援军'!$U60,,,AE94)))</f>
        <v>0</v>
      </c>
      <c r="AF302">
        <f ca="1">IF(AF94=0,0,SUM(OFFSET('2.2家乡支援军'!$U60,,,AF94)))</f>
        <v>0</v>
      </c>
      <c r="AG302">
        <f ca="1">IF(AG94=0,0,SUM(OFFSET('2.2家乡支援军'!$U60,,,AG94)))</f>
        <v>0</v>
      </c>
      <c r="AH302">
        <f ca="1">IF(AH94=0,0,SUM(OFFSET('2.2家乡支援军'!$U60,,,AH94)))</f>
        <v>15000</v>
      </c>
      <c r="AI302">
        <f ca="1">IF(AI94=0,0,SUM(OFFSET('2.2家乡支援军'!$U60,,,AI94)))</f>
        <v>45000</v>
      </c>
      <c r="AJ302">
        <f ca="1">IF(AJ94=0,0,SUM(OFFSET('2.2家乡支援军'!$U60,,,AJ94)))</f>
        <v>96000</v>
      </c>
      <c r="AK302">
        <f ca="1">IF(AK94=0,0,SUM(OFFSET('2.2家乡支援军'!$U60,,,AK94)))</f>
        <v>180000</v>
      </c>
      <c r="AL302">
        <f ca="1">IF(AL94=0,0,SUM(OFFSET('2.2家乡支援军'!$U60,,,AL94)))</f>
        <v>180000</v>
      </c>
      <c r="AM302">
        <f ca="1">IF(AM94=0,0,SUM(OFFSET('2.2家乡支援军'!$U60,,,AM94)))</f>
        <v>180000</v>
      </c>
      <c r="AN302">
        <f ca="1">IF(AN94=0,0,SUM(OFFSET('2.2家乡支援军'!$U60,,,AN94)))</f>
        <v>180000</v>
      </c>
      <c r="AO302">
        <f ca="1">IF(AO94=0,0,SUM(OFFSET('2.2家乡支援军'!$U60,,,AO94)))</f>
        <v>180000</v>
      </c>
      <c r="AX302">
        <v>30000</v>
      </c>
      <c r="AY302" t="s">
        <v>4865</v>
      </c>
      <c r="AZ302" t="s">
        <v>5495</v>
      </c>
      <c r="BA302" t="s">
        <v>4953</v>
      </c>
      <c r="BB302">
        <v>100</v>
      </c>
      <c r="CD302" s="38">
        <v>298</v>
      </c>
      <c r="CE302" s="38">
        <f t="shared" si="99"/>
        <v>3.830301990861992</v>
      </c>
      <c r="CF302" s="38">
        <f t="shared" si="107"/>
        <v>298.13810000000001</v>
      </c>
      <c r="CG302" s="38">
        <f t="shared" si="98"/>
        <v>299</v>
      </c>
      <c r="CP302" s="40">
        <v>36</v>
      </c>
      <c r="CQ302" s="41" t="s">
        <v>3349</v>
      </c>
      <c r="CR302" s="41" t="s">
        <v>5209</v>
      </c>
      <c r="CS302" s="41">
        <v>175</v>
      </c>
      <c r="CT302" s="41">
        <v>8</v>
      </c>
      <c r="CU302" s="41">
        <v>60</v>
      </c>
      <c r="CV302" s="41">
        <v>10</v>
      </c>
      <c r="CW302" s="41" t="s">
        <v>4706</v>
      </c>
      <c r="CX302" s="41" t="s">
        <v>5210</v>
      </c>
      <c r="CY302" s="40" t="s">
        <v>4717</v>
      </c>
    </row>
    <row r="303" spans="25:103" ht="14.6">
      <c r="Y303" s="12" t="s">
        <v>66</v>
      </c>
      <c r="AA303">
        <f ca="1">IF(AA95=0,0,SUM(OFFSET('2.2家乡支援军'!$K73,,,AA95)))</f>
        <v>0</v>
      </c>
      <c r="AB303">
        <f ca="1">IF(AB95=0,0,SUM(OFFSET('2.2家乡支援军'!$K73,,,AB95)))</f>
        <v>0</v>
      </c>
      <c r="AC303">
        <f ca="1">IF(AC95=0,0,SUM(OFFSET('2.2家乡支援军'!$K73,,,AC95)))</f>
        <v>0</v>
      </c>
      <c r="AD303">
        <f ca="1">IF(AD95=0,0,SUM(OFFSET('2.2家乡支援军'!$K73,,,AD95)))</f>
        <v>0</v>
      </c>
      <c r="AE303">
        <f ca="1">IF(AE95=0,0,SUM(OFFSET('2.2家乡支援军'!$K73,,,AE95)))</f>
        <v>0</v>
      </c>
      <c r="AF303">
        <f ca="1">IF(AF95=0,0,SUM(OFFSET('2.2家乡支援军'!$K73,,,AF95)))</f>
        <v>0</v>
      </c>
      <c r="AG303">
        <f ca="1">IF(AG95=0,0,SUM(OFFSET('2.2家乡支援军'!$K73,,,AG95)))</f>
        <v>0</v>
      </c>
      <c r="AH303">
        <f ca="1">IF(AH95=0,0,SUM(OFFSET('2.2家乡支援军'!$K73,,,AH95)))</f>
        <v>0</v>
      </c>
      <c r="AI303">
        <f ca="1">IF(AI95=0,0,SUM(OFFSET('2.2家乡支援军'!$K73,,,AI95)))</f>
        <v>20000</v>
      </c>
      <c r="AJ303">
        <f ca="1">IF(AJ95=0,0,SUM(OFFSET('2.2家乡支援军'!$K73,,,AJ95)))</f>
        <v>114000</v>
      </c>
      <c r="AK303">
        <f ca="1">IF(AK95=0,0,SUM(OFFSET('2.2家乡支援军'!$K73,,,AK95)))</f>
        <v>114000</v>
      </c>
      <c r="AL303">
        <f ca="1">IF(AL95=0,0,SUM(OFFSET('2.2家乡支援军'!$K73,,,AL95)))</f>
        <v>191000</v>
      </c>
      <c r="AM303">
        <f ca="1">IF(AM95=0,0,SUM(OFFSET('2.2家乡支援军'!$K73,,,AM95)))</f>
        <v>191000</v>
      </c>
      <c r="AN303">
        <f ca="1">IF(AN95=0,0,SUM(OFFSET('2.2家乡支援军'!$K73,,,AN95)))</f>
        <v>191000</v>
      </c>
      <c r="AO303">
        <f ca="1">IF(AO95=0,0,SUM(OFFSET('2.2家乡支援军'!$K73,,,AO95)))</f>
        <v>191000</v>
      </c>
      <c r="AX303">
        <v>50000</v>
      </c>
      <c r="AY303" t="s">
        <v>4945</v>
      </c>
      <c r="AZ303" t="s">
        <v>5117</v>
      </c>
      <c r="BA303" t="s">
        <v>4739</v>
      </c>
      <c r="BB303">
        <v>120</v>
      </c>
      <c r="CD303" s="38">
        <v>299</v>
      </c>
      <c r="CE303" s="38">
        <f t="shared" si="99"/>
        <v>3.8319770327380387</v>
      </c>
      <c r="CF303" s="38">
        <f t="shared" si="107"/>
        <v>299.13762000000003</v>
      </c>
      <c r="CG303" s="38">
        <f t="shared" si="98"/>
        <v>300</v>
      </c>
      <c r="CP303" s="40">
        <v>37</v>
      </c>
      <c r="CQ303" s="41" t="s">
        <v>3362</v>
      </c>
      <c r="CR303" s="41" t="s">
        <v>5229</v>
      </c>
      <c r="CS303" s="41">
        <v>175</v>
      </c>
      <c r="CT303" s="41">
        <v>8</v>
      </c>
      <c r="CU303" s="41">
        <v>60</v>
      </c>
      <c r="CV303" s="41">
        <v>10</v>
      </c>
      <c r="CW303" s="41" t="s">
        <v>4706</v>
      </c>
      <c r="CX303" s="41" t="s">
        <v>5210</v>
      </c>
      <c r="CY303" s="40" t="s">
        <v>4717</v>
      </c>
    </row>
    <row r="304" spans="25:103" ht="14.6">
      <c r="Y304" s="12" t="s">
        <v>70</v>
      </c>
      <c r="AA304">
        <f ca="1">IF(AA96=0,0,SUM(OFFSET('2.2家乡支援军'!$U72,,,AA96)))</f>
        <v>0</v>
      </c>
      <c r="AB304">
        <f ca="1">IF(AB96=0,0,SUM(OFFSET('2.2家乡支援军'!$U72,,,AB96)))</f>
        <v>0</v>
      </c>
      <c r="AC304">
        <f ca="1">IF(AC96=0,0,SUM(OFFSET('2.2家乡支援军'!$U72,,,AC96)))</f>
        <v>0</v>
      </c>
      <c r="AD304">
        <f ca="1">IF(AD96=0,0,SUM(OFFSET('2.2家乡支援军'!$U72,,,AD96)))</f>
        <v>0</v>
      </c>
      <c r="AE304">
        <f ca="1">IF(AE96=0,0,SUM(OFFSET('2.2家乡支援军'!$U72,,,AE96)))</f>
        <v>0</v>
      </c>
      <c r="AF304">
        <f ca="1">IF(AF96=0,0,SUM(OFFSET('2.2家乡支援军'!$U72,,,AF96)))</f>
        <v>0</v>
      </c>
      <c r="AG304">
        <f ca="1">IF(AG96=0,0,SUM(OFFSET('2.2家乡支援军'!$U72,,,AG96)))</f>
        <v>0</v>
      </c>
      <c r="AH304">
        <f ca="1">IF(AH96=0,0,SUM(OFFSET('2.2家乡支援军'!$U72,,,AH96)))</f>
        <v>0</v>
      </c>
      <c r="AI304">
        <f ca="1">IF(AI96=0,0,SUM(OFFSET('2.2家乡支援军'!$U72,,,AI96)))</f>
        <v>0</v>
      </c>
      <c r="AJ304">
        <f ca="1">IF(AJ96=0,0,SUM(OFFSET('2.2家乡支援军'!$U72,,,AJ96)))</f>
        <v>56000</v>
      </c>
      <c r="AK304">
        <f ca="1">IF(AK96=0,0,SUM(OFFSET('2.2家乡支援军'!$U72,,,AK96)))</f>
        <v>106000</v>
      </c>
      <c r="AL304">
        <f ca="1">IF(AL96=0,0,SUM(OFFSET('2.2家乡支援军'!$U72,,,AL96)))</f>
        <v>298000</v>
      </c>
      <c r="AM304">
        <f ca="1">IF(AM96=0,0,SUM(OFFSET('2.2家乡支援军'!$U72,,,AM96)))</f>
        <v>485000</v>
      </c>
      <c r="AN304">
        <f ca="1">IF(AN96=0,0,SUM(OFFSET('2.2家乡支援军'!$U72,,,AN96)))</f>
        <v>485000</v>
      </c>
      <c r="AO304">
        <f ca="1">IF(AO96=0,0,SUM(OFFSET('2.2家乡支援军'!$U72,,,AO96)))</f>
        <v>485000</v>
      </c>
      <c r="AX304">
        <v>1500</v>
      </c>
      <c r="AY304" t="s">
        <v>4713</v>
      </c>
      <c r="AZ304" t="s">
        <v>5920</v>
      </c>
      <c r="BA304" t="s">
        <v>5921</v>
      </c>
      <c r="BB304">
        <v>0</v>
      </c>
      <c r="CD304" s="38">
        <v>300</v>
      </c>
      <c r="CE304" s="38">
        <f t="shared" si="99"/>
        <v>3.8336464818198417</v>
      </c>
      <c r="CF304" s="38">
        <f t="shared" si="107"/>
        <v>300.13713000000001</v>
      </c>
      <c r="CG304" s="38">
        <f t="shared" si="98"/>
        <v>301</v>
      </c>
      <c r="CP304" s="40">
        <v>38</v>
      </c>
      <c r="CQ304" s="41" t="s">
        <v>3354</v>
      </c>
      <c r="CR304" s="41" t="s">
        <v>5220</v>
      </c>
      <c r="CS304" s="41">
        <v>175</v>
      </c>
      <c r="CT304" s="41">
        <v>8</v>
      </c>
      <c r="CU304" s="41">
        <v>60</v>
      </c>
      <c r="CV304" s="41">
        <v>10</v>
      </c>
      <c r="CW304" s="41" t="s">
        <v>4706</v>
      </c>
      <c r="CX304" s="41" t="s">
        <v>5210</v>
      </c>
      <c r="CY304" s="40" t="s">
        <v>4717</v>
      </c>
    </row>
    <row r="305" spans="25:103" ht="14.6">
      <c r="Y305" s="12" t="s">
        <v>76</v>
      </c>
      <c r="AA305">
        <f ca="1">IF(AA97=0,0,SUM(OFFSET('2.2家乡支援军'!$K85,,,AA97)))</f>
        <v>0</v>
      </c>
      <c r="AB305">
        <f ca="1">IF(AB97=0,0,SUM(OFFSET('2.2家乡支援军'!$K85,,,AB97)))</f>
        <v>0</v>
      </c>
      <c r="AC305">
        <f ca="1">IF(AC97=0,0,SUM(OFFSET('2.2家乡支援军'!$K85,,,AC97)))</f>
        <v>0</v>
      </c>
      <c r="AD305">
        <f ca="1">IF(AD97=0,0,SUM(OFFSET('2.2家乡支援军'!$K85,,,AD97)))</f>
        <v>0</v>
      </c>
      <c r="AE305">
        <f ca="1">IF(AE97=0,0,SUM(OFFSET('2.2家乡支援军'!$K85,,,AE97)))</f>
        <v>0</v>
      </c>
      <c r="AF305">
        <f ca="1">IF(AF97=0,0,SUM(OFFSET('2.2家乡支援军'!$K85,,,AF97)))</f>
        <v>0</v>
      </c>
      <c r="AG305">
        <f ca="1">IF(AG97=0,0,SUM(OFFSET('2.2家乡支援军'!$K85,,,AG97)))</f>
        <v>0</v>
      </c>
      <c r="AH305">
        <f ca="1">IF(AH97=0,0,SUM(OFFSET('2.2家乡支援军'!$K85,,,AH97)))</f>
        <v>0</v>
      </c>
      <c r="AI305">
        <f ca="1">IF(AI97=0,0,SUM(OFFSET('2.2家乡支援军'!$K85,,,AI97)))</f>
        <v>0</v>
      </c>
      <c r="AJ305">
        <f ca="1">IF(AJ97=0,0,SUM(OFFSET('2.2家乡支援军'!$K85,,,AJ97)))</f>
        <v>77000</v>
      </c>
      <c r="AK305">
        <f ca="1">IF(AK97=0,0,SUM(OFFSET('2.2家乡支援军'!$K85,,,AK97)))</f>
        <v>777000</v>
      </c>
      <c r="AL305">
        <f ca="1">IF(AL97=0,0,SUM(OFFSET('2.2家乡支援军'!$K85,,,AL97)))</f>
        <v>882000</v>
      </c>
      <c r="AM305">
        <f ca="1">IF(AM97=0,0,SUM(OFFSET('2.2家乡支援军'!$K85,,,AM97)))</f>
        <v>882000</v>
      </c>
      <c r="AN305">
        <f ca="1">IF(AN97=0,0,SUM(OFFSET('2.2家乡支援军'!$K85,,,AN97)))</f>
        <v>882000</v>
      </c>
      <c r="AO305">
        <f ca="1">IF(AO97=0,0,SUM(OFFSET('2.2家乡支援军'!$K85,,,AO97)))</f>
        <v>1212000</v>
      </c>
      <c r="AX305">
        <v>3000</v>
      </c>
      <c r="AY305" t="s">
        <v>5467</v>
      </c>
      <c r="AZ305" t="s">
        <v>6043</v>
      </c>
      <c r="BA305" t="s">
        <v>4673</v>
      </c>
      <c r="BB305">
        <v>0</v>
      </c>
      <c r="CD305" s="38">
        <v>301</v>
      </c>
      <c r="CE305" s="38">
        <f t="shared" si="99"/>
        <v>3.835310375330657</v>
      </c>
      <c r="CF305" s="38">
        <f t="shared" si="107"/>
        <v>301.13664999999997</v>
      </c>
      <c r="CG305" s="38">
        <f t="shared" si="98"/>
        <v>302</v>
      </c>
      <c r="CP305" s="40">
        <v>39</v>
      </c>
      <c r="CQ305" s="41" t="s">
        <v>3799</v>
      </c>
      <c r="CR305" s="41" t="s">
        <v>6044</v>
      </c>
      <c r="CS305" s="41">
        <v>175</v>
      </c>
      <c r="CT305" s="41">
        <v>8</v>
      </c>
      <c r="CU305" s="41">
        <v>36</v>
      </c>
      <c r="CV305" s="41">
        <v>10</v>
      </c>
      <c r="CW305" s="41" t="s">
        <v>4706</v>
      </c>
      <c r="CX305" s="41" t="s">
        <v>4716</v>
      </c>
      <c r="CY305" s="40" t="s">
        <v>4717</v>
      </c>
    </row>
    <row r="306" spans="25:103" ht="14.6">
      <c r="AX306">
        <v>7500</v>
      </c>
      <c r="AY306" t="s">
        <v>4739</v>
      </c>
      <c r="AZ306" t="s">
        <v>4963</v>
      </c>
      <c r="BA306" t="s">
        <v>4675</v>
      </c>
      <c r="BB306">
        <v>0</v>
      </c>
      <c r="CP306" s="40">
        <v>40</v>
      </c>
      <c r="CQ306" s="41" t="s">
        <v>3791</v>
      </c>
      <c r="CR306" s="41" t="s">
        <v>6045</v>
      </c>
      <c r="CS306" s="41">
        <v>175</v>
      </c>
      <c r="CT306" s="41">
        <v>8</v>
      </c>
      <c r="CU306" s="41">
        <v>36</v>
      </c>
      <c r="CV306" s="41">
        <v>10</v>
      </c>
      <c r="CW306" s="41" t="s">
        <v>4706</v>
      </c>
      <c r="CX306" s="41" t="s">
        <v>4716</v>
      </c>
      <c r="CY306" s="40" t="s">
        <v>4717</v>
      </c>
    </row>
    <row r="307" spans="25:103" ht="14.6">
      <c r="AX307">
        <v>12000</v>
      </c>
      <c r="AY307" t="s">
        <v>4745</v>
      </c>
      <c r="AZ307" t="s">
        <v>4823</v>
      </c>
      <c r="BA307" t="s">
        <v>4747</v>
      </c>
      <c r="BB307">
        <v>0</v>
      </c>
      <c r="CP307" s="40">
        <v>41</v>
      </c>
      <c r="CQ307" s="41" t="s">
        <v>3814</v>
      </c>
      <c r="CR307" s="41" t="s">
        <v>6046</v>
      </c>
      <c r="CS307" s="41">
        <v>175</v>
      </c>
      <c r="CT307" s="41">
        <v>8</v>
      </c>
      <c r="CU307" s="41">
        <v>36</v>
      </c>
      <c r="CV307" s="41">
        <v>10</v>
      </c>
      <c r="CW307" s="41" t="s">
        <v>4706</v>
      </c>
      <c r="CX307" s="41" t="s">
        <v>4716</v>
      </c>
      <c r="CY307" s="40" t="s">
        <v>4717</v>
      </c>
    </row>
    <row r="308" spans="25:103" ht="14.6">
      <c r="Y308" s="12" t="s">
        <v>104</v>
      </c>
      <c r="AA308">
        <f ca="1">IF(AA100=0,0,SUM(OFFSET('2.1家乡主力军'!$AV7,,,AA100)))</f>
        <v>0</v>
      </c>
      <c r="AB308">
        <f ca="1">IF(AB100=0,0,SUM(OFFSET('2.1家乡主力军'!$AV7,,,AB100)))</f>
        <v>0</v>
      </c>
      <c r="AC308">
        <f ca="1">IF(AC100=0,0,SUM(OFFSET('2.1家乡主力军'!$AV7,,,AC100)))</f>
        <v>0</v>
      </c>
      <c r="AD308">
        <f ca="1">IF(AD100=0,0,SUM(OFFSET('2.1家乡主力军'!$AV7,,,AD100)))</f>
        <v>0</v>
      </c>
      <c r="AE308">
        <f ca="1">IF(AE100=0,0,SUM(OFFSET('2.1家乡主力军'!$AV7,,,AE100)))</f>
        <v>0</v>
      </c>
      <c r="AF308">
        <f ca="1">IF(AF100=0,0,SUM(OFFSET('2.1家乡主力军'!$AV7,,,AF100)))</f>
        <v>0</v>
      </c>
      <c r="AG308">
        <f ca="1">IF(AG100=0,0,SUM(OFFSET('2.1家乡主力军'!$AV7,,,AG100)))</f>
        <v>36000</v>
      </c>
      <c r="AH308">
        <f ca="1">IF(AH100=0,0,SUM(OFFSET('2.1家乡主力军'!$AV7,,,AH100)))</f>
        <v>101000</v>
      </c>
      <c r="AI308">
        <f ca="1">IF(AI100=0,0,SUM(OFFSET('2.1家乡主力军'!$AV7,,,AI100)))</f>
        <v>821000</v>
      </c>
      <c r="AJ308">
        <f ca="1">IF(AJ100=0,0,SUM(OFFSET('2.1家乡主力军'!$AV7,,,AJ100)))</f>
        <v>1476000</v>
      </c>
      <c r="AK308">
        <f ca="1">IF(AK100=0,0,SUM(OFFSET('2.1家乡主力军'!$AV7,,,AK100)))</f>
        <v>2492000</v>
      </c>
      <c r="AL308">
        <f ca="1">IF(AL100=0,0,SUM(OFFSET('2.1家乡主力军'!$AV7,,,AL100)))</f>
        <v>5082000</v>
      </c>
      <c r="AM308">
        <f ca="1">IF(AM100=0,0,SUM(OFFSET('2.1家乡主力军'!$AV7,,,AM100)))</f>
        <v>7686000</v>
      </c>
      <c r="AN308">
        <f ca="1">IF(AN100=0,0,SUM(OFFSET('2.1家乡主力军'!$AV7,,,AN100)))</f>
        <v>9236000</v>
      </c>
      <c r="AO308">
        <f ca="1">IF(AO100=0,0,SUM(OFFSET('2.1家乡主力军'!$AV7,,,AO100)))</f>
        <v>10936000</v>
      </c>
      <c r="AX308">
        <v>18000</v>
      </c>
      <c r="AY308" t="s">
        <v>5542</v>
      </c>
      <c r="AZ308" t="s">
        <v>5495</v>
      </c>
      <c r="BA308" t="s">
        <v>5455</v>
      </c>
      <c r="BB308">
        <v>0</v>
      </c>
      <c r="CP308" s="40">
        <v>42</v>
      </c>
      <c r="CQ308" s="41" t="s">
        <v>3819</v>
      </c>
      <c r="CR308" s="41" t="s">
        <v>6047</v>
      </c>
      <c r="CS308" s="41">
        <v>175</v>
      </c>
      <c r="CT308" s="41">
        <v>8</v>
      </c>
      <c r="CU308" s="41">
        <v>36</v>
      </c>
      <c r="CV308" s="41">
        <v>10</v>
      </c>
      <c r="CW308" s="41" t="s">
        <v>4706</v>
      </c>
      <c r="CX308" s="41" t="s">
        <v>4716</v>
      </c>
      <c r="CY308" s="40" t="s">
        <v>4717</v>
      </c>
    </row>
    <row r="309" spans="25:103" ht="14.6">
      <c r="Y309" s="12" t="s">
        <v>5475</v>
      </c>
      <c r="AA309">
        <f ca="1">IF(AA101=0,0,SUM(OFFSET('2.1家乡主力军'!$BK7,,,AA101)))</f>
        <v>0</v>
      </c>
      <c r="AB309">
        <f ca="1">IF(AB101=0,0,SUM(OFFSET('2.1家乡主力军'!$BK7,,,AB101)))</f>
        <v>0</v>
      </c>
      <c r="AC309">
        <f ca="1">IF(AC101=0,0,SUM(OFFSET('2.1家乡主力军'!$BK7,,,AC101)))</f>
        <v>0</v>
      </c>
      <c r="AD309">
        <f ca="1">IF(AD101=0,0,SUM(OFFSET('2.1家乡主力军'!$BK7,,,AD101)))</f>
        <v>0</v>
      </c>
      <c r="AE309">
        <f ca="1">IF(AE101=0,0,SUM(OFFSET('2.1家乡主力军'!$BK7,,,AE101)))</f>
        <v>0</v>
      </c>
      <c r="AF309">
        <f ca="1">IF(AF101=0,0,SUM(OFFSET('2.1家乡主力军'!$BK7,,,AF101)))</f>
        <v>0</v>
      </c>
      <c r="AG309">
        <f ca="1">IF(AG101=0,0,SUM(OFFSET('2.1家乡主力军'!$BK7,,,AG101)))</f>
        <v>0</v>
      </c>
      <c r="AH309">
        <f ca="1">IF(AH101=0,0,SUM(OFFSET('2.1家乡主力军'!$BK7,,,AH101)))</f>
        <v>0</v>
      </c>
      <c r="AI309">
        <f ca="1">IF(AI101=0,0,SUM(OFFSET('2.1家乡主力军'!$BK7,,,AI101)))</f>
        <v>971000</v>
      </c>
      <c r="AJ309">
        <f ca="1">IF(AJ101=0,0,SUM(OFFSET('2.1家乡主力军'!$BK7,,,AJ101)))</f>
        <v>1703000</v>
      </c>
      <c r="AK309">
        <f ca="1">IF(AK101=0,0,SUM(OFFSET('2.1家乡主力军'!$BK7,,,AK101)))</f>
        <v>2797000</v>
      </c>
      <c r="AL309">
        <f ca="1">IF(AL101=0,0,SUM(OFFSET('2.1家乡主力军'!$BK7,,,AL101)))</f>
        <v>5475000</v>
      </c>
      <c r="AM309">
        <f ca="1">IF(AM101=0,0,SUM(OFFSET('2.1家乡主力军'!$BK7,,,AM101)))</f>
        <v>8122000</v>
      </c>
      <c r="AN309">
        <f ca="1">IF(AN101=0,0,SUM(OFFSET('2.1家乡主力军'!$BK7,,,AN101)))</f>
        <v>9690000</v>
      </c>
      <c r="AO309">
        <f ca="1">IF(AO101=0,0,SUM(OFFSET('2.1家乡主力军'!$BK7,,,AO101)))</f>
        <v>11400000</v>
      </c>
      <c r="AX309">
        <v>30000</v>
      </c>
      <c r="AY309" t="s">
        <v>4865</v>
      </c>
      <c r="AZ309" t="s">
        <v>5527</v>
      </c>
      <c r="BA309" t="s">
        <v>4714</v>
      </c>
      <c r="BB309">
        <v>0</v>
      </c>
      <c r="CP309" s="40">
        <v>43</v>
      </c>
      <c r="CQ309" s="41" t="s">
        <v>3824</v>
      </c>
      <c r="CR309" s="41" t="s">
        <v>6048</v>
      </c>
      <c r="CS309" s="41">
        <v>175</v>
      </c>
      <c r="CT309" s="41">
        <v>8</v>
      </c>
      <c r="CU309" s="41">
        <v>36</v>
      </c>
      <c r="CV309" s="41">
        <v>10</v>
      </c>
      <c r="CW309" s="41" t="s">
        <v>4706</v>
      </c>
      <c r="CX309" s="41" t="s">
        <v>4716</v>
      </c>
      <c r="CY309" s="40" t="s">
        <v>4717</v>
      </c>
    </row>
    <row r="310" spans="25:103" ht="14.6">
      <c r="Y310" s="12" t="s">
        <v>113</v>
      </c>
      <c r="AA310">
        <f ca="1">IF(AA102=0,0,SUM(OFFSET('2.1家乡主力军'!$AV100,,,AA102)))</f>
        <v>0</v>
      </c>
      <c r="AB310">
        <f ca="1">IF(AB102=0,0,SUM(OFFSET('2.1家乡主力军'!$AV100,,,AB102)))</f>
        <v>0</v>
      </c>
      <c r="AC310">
        <f ca="1">IF(AC102=0,0,SUM(OFFSET('2.1家乡主力军'!$AV100,,,AC102)))</f>
        <v>0</v>
      </c>
      <c r="AD310">
        <f ca="1">IF(AD102=0,0,SUM(OFFSET('2.1家乡主力军'!$AV100,,,AD102)))</f>
        <v>0</v>
      </c>
      <c r="AE310">
        <f ca="1">IF(AE102=0,0,SUM(OFFSET('2.1家乡主力军'!$AV100,,,AE102)))</f>
        <v>0</v>
      </c>
      <c r="AF310">
        <f ca="1">IF(AF102=0,0,SUM(OFFSET('2.1家乡主力军'!$AV100,,,AF102)))</f>
        <v>0</v>
      </c>
      <c r="AG310">
        <f ca="1">IF(AG102=0,0,SUM(OFFSET('2.1家乡主力军'!$AV100,,,AG102)))</f>
        <v>0</v>
      </c>
      <c r="AH310">
        <f ca="1">IF(AH102=0,0,SUM(OFFSET('2.1家乡主力军'!$AV100,,,AH102)))</f>
        <v>0</v>
      </c>
      <c r="AI310">
        <f ca="1">IF(AI102=0,0,SUM(OFFSET('2.1家乡主力军'!$AV100,,,AI102)))</f>
        <v>0</v>
      </c>
      <c r="AJ310">
        <f ca="1">IF(AJ102=0,0,SUM(OFFSET('2.1家乡主力军'!$AV100,,,AJ102)))</f>
        <v>0</v>
      </c>
      <c r="AK310">
        <f ca="1">IF(AK102=0,0,SUM(OFFSET('2.1家乡主力军'!$AV100,,,AK102)))</f>
        <v>75100000</v>
      </c>
      <c r="AL310">
        <f ca="1">IF(AL102=0,0,SUM(OFFSET('2.1家乡主力军'!$AV100,,,AL102)))</f>
        <v>270100000</v>
      </c>
      <c r="AM310">
        <f ca="1">IF(AM102=0,0,SUM(OFFSET('2.1家乡主力军'!$AV100,,,AM102)))</f>
        <v>397500000</v>
      </c>
      <c r="AN310">
        <f ca="1">IF(AN102=0,0,SUM(OFFSET('2.1家乡主力军'!$AV100,,,AN102)))</f>
        <v>485500000</v>
      </c>
      <c r="AO310">
        <f ca="1">IF(AO102=0,0,SUM(OFFSET('2.1家乡主力军'!$AV100,,,AO102)))</f>
        <v>583500000</v>
      </c>
      <c r="AX310">
        <v>50000</v>
      </c>
      <c r="AY310" t="s">
        <v>4933</v>
      </c>
      <c r="AZ310" t="s">
        <v>4945</v>
      </c>
      <c r="BA310" t="s">
        <v>4771</v>
      </c>
      <c r="BB310">
        <v>0</v>
      </c>
      <c r="CP310" s="40">
        <v>44</v>
      </c>
      <c r="CQ310" s="41" t="s">
        <v>3828</v>
      </c>
      <c r="CR310" s="41" t="s">
        <v>6049</v>
      </c>
      <c r="CS310" s="41">
        <v>175</v>
      </c>
      <c r="CT310" s="41">
        <v>8</v>
      </c>
      <c r="CU310" s="41">
        <v>36</v>
      </c>
      <c r="CV310" s="41">
        <v>10</v>
      </c>
      <c r="CW310" s="41" t="s">
        <v>4706</v>
      </c>
      <c r="CX310" s="41" t="s">
        <v>4716</v>
      </c>
      <c r="CY310" s="40" t="s">
        <v>4717</v>
      </c>
    </row>
    <row r="311" spans="25:103" ht="14.6">
      <c r="Y311" s="12" t="s">
        <v>117</v>
      </c>
      <c r="AA311">
        <f ca="1">IF(AA103=0,0,SUM(OFFSET('2.1家乡主力军'!$BK100,,,AA103)))</f>
        <v>0</v>
      </c>
      <c r="AB311">
        <f ca="1">IF(AB103=0,0,SUM(OFFSET('2.1家乡主力军'!$BK100,,,AB103)))</f>
        <v>0</v>
      </c>
      <c r="AC311">
        <f ca="1">IF(AC103=0,0,SUM(OFFSET('2.1家乡主力军'!$BK100,,,AC103)))</f>
        <v>0</v>
      </c>
      <c r="AD311">
        <f ca="1">IF(AD103=0,0,SUM(OFFSET('2.1家乡主力军'!$BK100,,,AD103)))</f>
        <v>0</v>
      </c>
      <c r="AE311">
        <f ca="1">IF(AE103=0,0,SUM(OFFSET('2.1家乡主力军'!$BK100,,,AE103)))</f>
        <v>0</v>
      </c>
      <c r="AF311">
        <f ca="1">IF(AF103=0,0,SUM(OFFSET('2.1家乡主力军'!$BK100,,,AF103)))</f>
        <v>0</v>
      </c>
      <c r="AG311">
        <f ca="1">IF(AG103=0,0,SUM(OFFSET('2.1家乡主力军'!$BK100,,,AG103)))</f>
        <v>0</v>
      </c>
      <c r="AH311">
        <f ca="1">IF(AH103=0,0,SUM(OFFSET('2.1家乡主力军'!$BK100,,,AH103)))</f>
        <v>0</v>
      </c>
      <c r="AI311">
        <f ca="1">IF(AI103=0,0,SUM(OFFSET('2.1家乡主力军'!$BK100,,,AI103)))</f>
        <v>0</v>
      </c>
      <c r="AJ311">
        <f ca="1">IF(AJ103=0,0,SUM(OFFSET('2.1家乡主力军'!$BK100,,,AJ103)))</f>
        <v>0</v>
      </c>
      <c r="AK311">
        <f ca="1">IF(AK103=0,0,SUM(OFFSET('2.1家乡主力军'!$BK100,,,AK103)))</f>
        <v>0</v>
      </c>
      <c r="AL311">
        <f ca="1">IF(AL103=0,0,SUM(OFFSET('2.1家乡主力军'!$BK100,,,AL103)))</f>
        <v>0</v>
      </c>
      <c r="AM311">
        <f ca="1">IF(AM103=0,0,SUM(OFFSET('2.1家乡主力军'!$BK100,,,AM103)))</f>
        <v>4956000</v>
      </c>
      <c r="AN311">
        <f ca="1">IF(AN103=0,0,SUM(OFFSET('2.1家乡主力军'!$BK100,,,AN103)))</f>
        <v>6481000</v>
      </c>
      <c r="AO311">
        <f ca="1">IF(AO103=0,0,SUM(OFFSET('2.1家乡主力军'!$BK100,,,AO103)))</f>
        <v>8181000</v>
      </c>
      <c r="AX311">
        <v>75000</v>
      </c>
      <c r="AY311" t="s">
        <v>5376</v>
      </c>
      <c r="AZ311" t="s">
        <v>5200</v>
      </c>
      <c r="BA311" t="s">
        <v>5779</v>
      </c>
      <c r="BB311">
        <v>0</v>
      </c>
      <c r="CP311" s="40">
        <v>45</v>
      </c>
      <c r="CQ311" s="41" t="s">
        <v>3832</v>
      </c>
      <c r="CR311" s="41" t="s">
        <v>6050</v>
      </c>
      <c r="CS311" s="41">
        <v>175</v>
      </c>
      <c r="CT311" s="41">
        <v>8</v>
      </c>
      <c r="CU311" s="41">
        <v>36</v>
      </c>
      <c r="CV311" s="41">
        <v>10</v>
      </c>
      <c r="CW311" s="41" t="s">
        <v>4706</v>
      </c>
      <c r="CX311" s="41" t="s">
        <v>4716</v>
      </c>
      <c r="CY311" s="40" t="s">
        <v>4717</v>
      </c>
    </row>
    <row r="312" spans="25:103" ht="14.6">
      <c r="AX312">
        <v>1500</v>
      </c>
      <c r="AY312" t="s">
        <v>5411</v>
      </c>
      <c r="AZ312" t="s">
        <v>6051</v>
      </c>
      <c r="BA312" t="s">
        <v>6052</v>
      </c>
      <c r="BB312">
        <v>0</v>
      </c>
      <c r="CP312" s="40">
        <v>46</v>
      </c>
      <c r="CQ312" s="41" t="s">
        <v>3837</v>
      </c>
      <c r="CR312" s="41" t="s">
        <v>6053</v>
      </c>
      <c r="CS312" s="41">
        <v>175</v>
      </c>
      <c r="CT312" s="41">
        <v>8</v>
      </c>
      <c r="CU312" s="41">
        <v>36</v>
      </c>
      <c r="CV312" s="41">
        <v>10</v>
      </c>
      <c r="CW312" s="41" t="s">
        <v>4706</v>
      </c>
      <c r="CX312" s="41" t="s">
        <v>4716</v>
      </c>
      <c r="CY312" s="40" t="s">
        <v>4717</v>
      </c>
    </row>
    <row r="313" spans="25:103" ht="14.6">
      <c r="Y313" t="s">
        <v>119</v>
      </c>
      <c r="AA313">
        <f ca="1">IF(AA105=0,0,SUM(OFFSET('2.1家乡主力军'!$L151,,,AA105)))</f>
        <v>0</v>
      </c>
      <c r="AB313">
        <f ca="1">IF(AB105=0,0,SUM(OFFSET('2.1家乡主力军'!$L151,,,AB105)))</f>
        <v>0</v>
      </c>
      <c r="AC313">
        <f ca="1">IF(AC105=0,0,SUM(OFFSET('2.1家乡主力军'!$L151,,,AC105)))</f>
        <v>0</v>
      </c>
      <c r="AD313">
        <f ca="1">IF(AD105=0,0,SUM(OFFSET('2.1家乡主力军'!$L151,,,AD105)))</f>
        <v>0</v>
      </c>
      <c r="AE313">
        <f ca="1">IF(AE105=0,0,SUM(OFFSET('2.1家乡主力军'!$L151,,,AE105)))</f>
        <v>0</v>
      </c>
      <c r="AF313">
        <f ca="1">IF(AF105=0,0,SUM(OFFSET('2.1家乡主力军'!$L151,,,AF105)))</f>
        <v>0</v>
      </c>
      <c r="AG313">
        <f ca="1">IF(AG105=0,0,SUM(OFFSET('2.1家乡主力军'!$L151,,,AG105)))</f>
        <v>0</v>
      </c>
      <c r="AH313">
        <f ca="1">IF(AH105=0,0,SUM(OFFSET('2.1家乡主力军'!$L151,,,AH105)))</f>
        <v>0</v>
      </c>
      <c r="AI313">
        <f ca="1">IF(AI105=0,0,SUM(OFFSET('2.1家乡主力军'!$L151,,,AI105)))</f>
        <v>0</v>
      </c>
      <c r="AJ313">
        <f ca="1">IF(AJ105=0,0,SUM(OFFSET('2.1家乡主力军'!$L151,,,AJ105)))</f>
        <v>0</v>
      </c>
      <c r="AK313">
        <f ca="1">IF(AK105=0,0,SUM(OFFSET('2.1家乡主力军'!$L151,,,AK105)))</f>
        <v>0</v>
      </c>
      <c r="AL313">
        <f ca="1">IF(AL105=0,0,SUM(OFFSET('2.1家乡主力军'!$L151,,,AL105)))</f>
        <v>0</v>
      </c>
      <c r="AM313">
        <f ca="1">IF(AM105=0,0,SUM(OFFSET('2.1家乡主力军'!$L151,,,AM105)))</f>
        <v>0</v>
      </c>
      <c r="AN313">
        <f ca="1">IF(AN105=0,0,SUM(OFFSET('2.1家乡主力军'!$L151,,,AN105)))</f>
        <v>1575000</v>
      </c>
      <c r="AO313">
        <f ca="1">IF(AO105=0,0,SUM(OFFSET('2.1家乡主力军'!$L151,,,AO105)))</f>
        <v>1575000</v>
      </c>
      <c r="AX313">
        <v>3000</v>
      </c>
      <c r="AY313" t="s">
        <v>6043</v>
      </c>
      <c r="AZ313" t="s">
        <v>4769</v>
      </c>
      <c r="BA313" t="s">
        <v>4878</v>
      </c>
      <c r="BB313">
        <v>0</v>
      </c>
      <c r="CP313" s="40">
        <v>47</v>
      </c>
      <c r="CQ313" s="41" t="s">
        <v>3842</v>
      </c>
      <c r="CR313" s="41" t="s">
        <v>6054</v>
      </c>
      <c r="CS313" s="41">
        <v>175</v>
      </c>
      <c r="CT313" s="41">
        <v>8</v>
      </c>
      <c r="CU313" s="41">
        <v>36</v>
      </c>
      <c r="CV313" s="41">
        <v>10</v>
      </c>
      <c r="CW313" s="41" t="s">
        <v>4706</v>
      </c>
      <c r="CX313" s="41" t="s">
        <v>4716</v>
      </c>
      <c r="CY313" s="40" t="s">
        <v>4717</v>
      </c>
    </row>
    <row r="314" spans="25:103" ht="14.6">
      <c r="Y314" t="s">
        <v>122</v>
      </c>
      <c r="AA314">
        <f ca="1">IF(AA106=0,0,SUM(OFFSET('2.1家乡主力军'!$V151,,,AA106)))</f>
        <v>0</v>
      </c>
      <c r="AB314">
        <f ca="1">IF(AB106=0,0,SUM(OFFSET('2.1家乡主力军'!$V151,,,AB106)))</f>
        <v>0</v>
      </c>
      <c r="AC314">
        <f ca="1">IF(AC106=0,0,SUM(OFFSET('2.1家乡主力军'!$V151,,,AC106)))</f>
        <v>0</v>
      </c>
      <c r="AD314">
        <f ca="1">IF(AD106=0,0,SUM(OFFSET('2.1家乡主力军'!$V151,,,AD106)))</f>
        <v>0</v>
      </c>
      <c r="AE314">
        <f ca="1">IF(AE106=0,0,SUM(OFFSET('2.1家乡主力军'!$V151,,,AE106)))</f>
        <v>0</v>
      </c>
      <c r="AF314">
        <f ca="1">IF(AF106=0,0,SUM(OFFSET('2.1家乡主力军'!$V151,,,AF106)))</f>
        <v>0</v>
      </c>
      <c r="AG314">
        <f ca="1">IF(AG106=0,0,SUM(OFFSET('2.1家乡主力军'!$V151,,,AG106)))</f>
        <v>0</v>
      </c>
      <c r="AH314">
        <f ca="1">IF(AH106=0,0,SUM(OFFSET('2.1家乡主力军'!$V151,,,AH106)))</f>
        <v>0</v>
      </c>
      <c r="AI314">
        <f ca="1">IF(AI106=0,0,SUM(OFFSET('2.1家乡主力军'!$V151,,,AI106)))</f>
        <v>0</v>
      </c>
      <c r="AJ314">
        <f ca="1">IF(AJ106=0,0,SUM(OFFSET('2.1家乡主力军'!$V151,,,AJ106)))</f>
        <v>0</v>
      </c>
      <c r="AK314">
        <f ca="1">IF(AK106=0,0,SUM(OFFSET('2.1家乡主力军'!$V151,,,AK106)))</f>
        <v>0</v>
      </c>
      <c r="AL314">
        <f ca="1">IF(AL106=0,0,SUM(OFFSET('2.1家乡主力军'!$V151,,,AL106)))</f>
        <v>0</v>
      </c>
      <c r="AM314">
        <f ca="1">IF(AM106=0,0,SUM(OFFSET('2.1家乡主力军'!$V151,,,AM106)))</f>
        <v>0</v>
      </c>
      <c r="AN314">
        <f ca="1">IF(AN106=0,0,SUM(OFFSET('2.1家乡主力军'!$V151,,,AN106)))</f>
        <v>2105000</v>
      </c>
      <c r="AO314">
        <f ca="1">IF(AO106=0,0,SUM(OFFSET('2.1家乡主力军'!$V151,,,AO106)))</f>
        <v>2105000</v>
      </c>
      <c r="AX314">
        <v>7500</v>
      </c>
      <c r="AY314" t="s">
        <v>4739</v>
      </c>
      <c r="AZ314" t="s">
        <v>4713</v>
      </c>
      <c r="BA314" t="s">
        <v>5467</v>
      </c>
      <c r="BB314">
        <v>0</v>
      </c>
      <c r="CP314" s="40">
        <v>48</v>
      </c>
      <c r="CQ314" s="41" t="s">
        <v>3846</v>
      </c>
      <c r="CR314" s="41" t="s">
        <v>6055</v>
      </c>
      <c r="CS314" s="41">
        <v>175</v>
      </c>
      <c r="CT314" s="41">
        <v>8</v>
      </c>
      <c r="CU314" s="41">
        <v>36</v>
      </c>
      <c r="CV314" s="41">
        <v>10</v>
      </c>
      <c r="CW314" s="41" t="s">
        <v>4706</v>
      </c>
      <c r="CX314" s="41" t="s">
        <v>4716</v>
      </c>
      <c r="CY314" s="40" t="s">
        <v>4717</v>
      </c>
    </row>
    <row r="315" spans="25:103" ht="14.6">
      <c r="Y315" t="s">
        <v>125</v>
      </c>
      <c r="AA315">
        <f ca="1">IF(AA107=0,0,SUM(OFFSET('2.1家乡主力军'!$L164,,,AA107)))</f>
        <v>0</v>
      </c>
      <c r="AB315">
        <f ca="1">IF(AB107=0,0,SUM(OFFSET('2.1家乡主力军'!$L164,,,AB107)))</f>
        <v>0</v>
      </c>
      <c r="AC315">
        <f ca="1">IF(AC107=0,0,SUM(OFFSET('2.1家乡主力军'!$L164,,,AC107)))</f>
        <v>0</v>
      </c>
      <c r="AD315">
        <f ca="1">IF(AD107=0,0,SUM(OFFSET('2.1家乡主力军'!$L164,,,AD107)))</f>
        <v>0</v>
      </c>
      <c r="AE315">
        <f ca="1">IF(AE107=0,0,SUM(OFFSET('2.1家乡主力军'!$L164,,,AE107)))</f>
        <v>0</v>
      </c>
      <c r="AF315">
        <f ca="1">IF(AF107=0,0,SUM(OFFSET('2.1家乡主力军'!$L164,,,AF107)))</f>
        <v>0</v>
      </c>
      <c r="AG315">
        <f ca="1">IF(AG107=0,0,SUM(OFFSET('2.1家乡主力军'!$L164,,,AG107)))</f>
        <v>0</v>
      </c>
      <c r="AH315">
        <f ca="1">IF(AH107=0,0,SUM(OFFSET('2.1家乡主力军'!$L164,,,AH107)))</f>
        <v>0</v>
      </c>
      <c r="AI315">
        <f ca="1">IF(AI107=0,0,SUM(OFFSET('2.1家乡主力军'!$L164,,,AI107)))</f>
        <v>0</v>
      </c>
      <c r="AJ315">
        <f ca="1">IF(AJ107=0,0,SUM(OFFSET('2.1家乡主力军'!$L164,,,AJ107)))</f>
        <v>0</v>
      </c>
      <c r="AK315">
        <f ca="1">IF(AK107=0,0,SUM(OFFSET('2.1家乡主力军'!$L164,,,AK107)))</f>
        <v>0</v>
      </c>
      <c r="AL315">
        <f ca="1">IF(AL107=0,0,SUM(OFFSET('2.1家乡主力军'!$L164,,,AL107)))</f>
        <v>0</v>
      </c>
      <c r="AM315">
        <f ca="1">IF(AM107=0,0,SUM(OFFSET('2.1家乡主力军'!$L164,,,AM107)))</f>
        <v>0</v>
      </c>
      <c r="AN315">
        <f ca="1">IF(AN107=0,0,SUM(OFFSET('2.1家乡主力军'!$L164,,,AN107)))</f>
        <v>1575000</v>
      </c>
      <c r="AO315">
        <f ca="1">IF(AO107=0,0,SUM(OFFSET('2.1家乡主力军'!$L164,,,AO107)))</f>
        <v>1575000</v>
      </c>
      <c r="AX315">
        <v>12000</v>
      </c>
      <c r="AY315" t="s">
        <v>6056</v>
      </c>
      <c r="AZ315" t="s">
        <v>6035</v>
      </c>
      <c r="BA315" t="s">
        <v>4795</v>
      </c>
      <c r="BB315">
        <v>0</v>
      </c>
      <c r="CP315" s="40">
        <v>49</v>
      </c>
      <c r="CQ315" s="41" t="s">
        <v>3808</v>
      </c>
      <c r="CR315" s="41" t="s">
        <v>6057</v>
      </c>
      <c r="CS315" s="41">
        <v>175</v>
      </c>
      <c r="CT315" s="41">
        <v>8</v>
      </c>
      <c r="CU315" s="41">
        <v>36</v>
      </c>
      <c r="CV315" s="41">
        <v>10</v>
      </c>
      <c r="CW315" s="41" t="s">
        <v>4706</v>
      </c>
      <c r="CX315" s="41" t="s">
        <v>4716</v>
      </c>
      <c r="CY315" s="40" t="s">
        <v>4717</v>
      </c>
    </row>
    <row r="316" spans="25:103" ht="14.6">
      <c r="Y316" t="s">
        <v>128</v>
      </c>
      <c r="AA316">
        <f ca="1">IF(AA108=0,0,SUM(OFFSET('2.1家乡主力军'!$T164,,,AA108)))</f>
        <v>0</v>
      </c>
      <c r="AB316">
        <f ca="1">IF(AB108=0,0,SUM(OFFSET('2.1家乡主力军'!$T164,,,AB108)))</f>
        <v>0</v>
      </c>
      <c r="AC316">
        <f ca="1">IF(AC108=0,0,SUM(OFFSET('2.1家乡主力军'!$T164,,,AC108)))</f>
        <v>0</v>
      </c>
      <c r="AD316">
        <f ca="1">IF(AD108=0,0,SUM(OFFSET('2.1家乡主力军'!$T164,,,AD108)))</f>
        <v>0</v>
      </c>
      <c r="AE316">
        <f ca="1">IF(AE108=0,0,SUM(OFFSET('2.1家乡主力军'!$T164,,,AE108)))</f>
        <v>0</v>
      </c>
      <c r="AF316">
        <f ca="1">IF(AF108=0,0,SUM(OFFSET('2.1家乡主力军'!$T164,,,AF108)))</f>
        <v>0</v>
      </c>
      <c r="AG316">
        <f ca="1">IF(AG108=0,0,SUM(OFFSET('2.1家乡主力军'!$T164,,,AG108)))</f>
        <v>0</v>
      </c>
      <c r="AH316">
        <f ca="1">IF(AH108=0,0,SUM(OFFSET('2.1家乡主力军'!$T164,,,AH108)))</f>
        <v>0</v>
      </c>
      <c r="AI316">
        <f ca="1">IF(AI108=0,0,SUM(OFFSET('2.1家乡主力军'!$T164,,,AI108)))</f>
        <v>0</v>
      </c>
      <c r="AJ316">
        <f ca="1">IF(AJ108=0,0,SUM(OFFSET('2.1家乡主力军'!$T164,,,AJ108)))</f>
        <v>0</v>
      </c>
      <c r="AK316">
        <f ca="1">IF(AK108=0,0,SUM(OFFSET('2.1家乡主力军'!$T164,,,AK108)))</f>
        <v>0</v>
      </c>
      <c r="AL316">
        <f ca="1">IF(AL108=0,0,SUM(OFFSET('2.1家乡主力军'!$T164,,,AL108)))</f>
        <v>0</v>
      </c>
      <c r="AM316">
        <f ca="1">IF(AM108=0,0,SUM(OFFSET('2.1家乡主力军'!$T164,,,AM108)))</f>
        <v>0</v>
      </c>
      <c r="AN316">
        <f ca="1">IF(AN108=0,0,SUM(OFFSET('2.1家乡主力军'!$T164,,,AN108)))</f>
        <v>2250000</v>
      </c>
      <c r="AO316">
        <f ca="1">IF(AO108=0,0,SUM(OFFSET('2.1家乡主力军'!$T164,,,AO108)))</f>
        <v>2250000</v>
      </c>
      <c r="AX316">
        <v>18000</v>
      </c>
      <c r="AY316" t="s">
        <v>4865</v>
      </c>
      <c r="AZ316" t="s">
        <v>4737</v>
      </c>
      <c r="BA316" t="s">
        <v>4823</v>
      </c>
      <c r="BB316">
        <v>0</v>
      </c>
      <c r="CP316" s="40">
        <v>50</v>
      </c>
      <c r="CQ316" s="41" t="s">
        <v>3854</v>
      </c>
      <c r="CR316" s="41" t="s">
        <v>6058</v>
      </c>
      <c r="CS316" s="41">
        <v>175</v>
      </c>
      <c r="CT316" s="41">
        <v>8</v>
      </c>
      <c r="CU316" s="41">
        <v>36</v>
      </c>
      <c r="CV316" s="41">
        <v>10</v>
      </c>
      <c r="CW316" s="41" t="s">
        <v>4706</v>
      </c>
      <c r="CX316" s="41" t="s">
        <v>4716</v>
      </c>
      <c r="CY316" s="40" t="s">
        <v>4717</v>
      </c>
    </row>
    <row r="317" spans="25:103" ht="14.6">
      <c r="Y317" t="s">
        <v>129</v>
      </c>
      <c r="AA317">
        <f ca="1">IF(AA109=0,0,SUM(OFFSET('2.1家乡主力军'!$AG151,,,AA109)))</f>
        <v>0</v>
      </c>
      <c r="AB317">
        <f ca="1">IF(AB109=0,0,SUM(OFFSET('2.1家乡主力军'!$AG151,,,AB109)))</f>
        <v>0</v>
      </c>
      <c r="AC317">
        <f ca="1">IF(AC109=0,0,SUM(OFFSET('2.1家乡主力军'!$AG151,,,AC109)))</f>
        <v>0</v>
      </c>
      <c r="AD317">
        <f ca="1">IF(AD109=0,0,SUM(OFFSET('2.1家乡主力军'!$AG151,,,AD109)))</f>
        <v>0</v>
      </c>
      <c r="AE317">
        <f ca="1">IF(AE109=0,0,SUM(OFFSET('2.1家乡主力军'!$AG151,,,AE109)))</f>
        <v>0</v>
      </c>
      <c r="AF317">
        <f ca="1">IF(AF109=0,0,SUM(OFFSET('2.1家乡主力军'!$AG151,,,AF109)))</f>
        <v>0</v>
      </c>
      <c r="AG317">
        <f ca="1">IF(AG109=0,0,SUM(OFFSET('2.1家乡主力军'!$AG151,,,AG109)))</f>
        <v>0</v>
      </c>
      <c r="AH317">
        <f ca="1">IF(AH109=0,0,SUM(OFFSET('2.1家乡主力军'!$AG151,,,AH109)))</f>
        <v>0</v>
      </c>
      <c r="AI317">
        <f ca="1">IF(AI109=0,0,SUM(OFFSET('2.1家乡主力军'!$AG151,,,AI109)))</f>
        <v>0</v>
      </c>
      <c r="AJ317">
        <f ca="1">IF(AJ109=0,0,SUM(OFFSET('2.1家乡主力军'!$AG151,,,AJ109)))</f>
        <v>0</v>
      </c>
      <c r="AK317">
        <f ca="1">IF(AK109=0,0,SUM(OFFSET('2.1家乡主力军'!$AG151,,,AK109)))</f>
        <v>0</v>
      </c>
      <c r="AL317">
        <f ca="1">IF(AL109=0,0,SUM(OFFSET('2.1家乡主力军'!$AG151,,,AL109)))</f>
        <v>0</v>
      </c>
      <c r="AM317">
        <f ca="1">IF(AM109=0,0,SUM(OFFSET('2.1家乡主力军'!$AG151,,,AM109)))</f>
        <v>0</v>
      </c>
      <c r="AN317">
        <f ca="1">IF(AN109=0,0,SUM(OFFSET('2.1家乡主力军'!$AG151,,,AN109)))</f>
        <v>0</v>
      </c>
      <c r="AO317">
        <f ca="1">IF(AO109=0,0,SUM(OFFSET('2.1家乡主力军'!$AG151,,,AO109)))</f>
        <v>2295000</v>
      </c>
      <c r="AX317">
        <v>30000</v>
      </c>
      <c r="AY317" t="s">
        <v>4751</v>
      </c>
      <c r="AZ317" t="s">
        <v>4745</v>
      </c>
      <c r="BA317" t="s">
        <v>4953</v>
      </c>
      <c r="BB317">
        <v>0</v>
      </c>
      <c r="CP317" s="40">
        <v>51</v>
      </c>
      <c r="CQ317" s="41" t="s">
        <v>3859</v>
      </c>
      <c r="CR317" s="41" t="s">
        <v>6059</v>
      </c>
      <c r="CS317" s="41">
        <v>175</v>
      </c>
      <c r="CT317" s="41">
        <v>8</v>
      </c>
      <c r="CU317" s="41">
        <v>36</v>
      </c>
      <c r="CV317" s="41">
        <v>10</v>
      </c>
      <c r="CW317" s="41" t="s">
        <v>4706</v>
      </c>
      <c r="CX317" s="41" t="s">
        <v>4716</v>
      </c>
      <c r="CY317" s="40" t="s">
        <v>4717</v>
      </c>
    </row>
    <row r="318" spans="25:103" ht="14.6">
      <c r="Y318" t="s">
        <v>131</v>
      </c>
      <c r="AA318">
        <f ca="1">IF(AA110=0,0,SUM(OFFSET('2.1家乡主力军'!$AF167,,,AA110)))</f>
        <v>0</v>
      </c>
      <c r="AB318">
        <f ca="1">IF(AB110=0,0,SUM(OFFSET('2.1家乡主力军'!$AF167,,,AB110)))</f>
        <v>0</v>
      </c>
      <c r="AC318">
        <f ca="1">IF(AC110=0,0,SUM(OFFSET('2.1家乡主力军'!$AF167,,,AC110)))</f>
        <v>0</v>
      </c>
      <c r="AD318">
        <f ca="1">IF(AD110=0,0,SUM(OFFSET('2.1家乡主力军'!$AF167,,,AD110)))</f>
        <v>0</v>
      </c>
      <c r="AE318">
        <f ca="1">IF(AE110=0,0,SUM(OFFSET('2.1家乡主力军'!$AF167,,,AE110)))</f>
        <v>0</v>
      </c>
      <c r="AF318">
        <f ca="1">IF(AF110=0,0,SUM(OFFSET('2.1家乡主力军'!$AF167,,,AF110)))</f>
        <v>0</v>
      </c>
      <c r="AG318">
        <f ca="1">IF(AG110=0,0,SUM(OFFSET('2.1家乡主力军'!$AF167,,,AG110)))</f>
        <v>0</v>
      </c>
      <c r="AH318">
        <f ca="1">IF(AH110=0,0,SUM(OFFSET('2.1家乡主力军'!$AF167,,,AH110)))</f>
        <v>0</v>
      </c>
      <c r="AI318">
        <f ca="1">IF(AI110=0,0,SUM(OFFSET('2.1家乡主力军'!$AF167,,,AI110)))</f>
        <v>0</v>
      </c>
      <c r="AJ318">
        <f ca="1">IF(AJ110=0,0,SUM(OFFSET('2.1家乡主力军'!$AF167,,,AJ110)))</f>
        <v>0</v>
      </c>
      <c r="AK318">
        <f ca="1">IF(AK110=0,0,SUM(OFFSET('2.1家乡主力军'!$AF167,,,AK110)))</f>
        <v>0</v>
      </c>
      <c r="AL318">
        <f ca="1">IF(AL110=0,0,SUM(OFFSET('2.1家乡主力军'!$AF167,,,AL110)))</f>
        <v>0</v>
      </c>
      <c r="AM318">
        <f ca="1">IF(AM110=0,0,SUM(OFFSET('2.1家乡主力军'!$AF167,,,AM110)))</f>
        <v>0</v>
      </c>
      <c r="AN318">
        <f ca="1">IF(AN110=0,0,SUM(OFFSET('2.1家乡主力军'!$AF167,,,AN110)))</f>
        <v>0</v>
      </c>
      <c r="AO318">
        <f ca="1">IF(AO110=0,0,SUM(OFFSET('2.1家乡主力军'!$AF167,,,AO110)))</f>
        <v>2340000</v>
      </c>
      <c r="AX318">
        <v>50000</v>
      </c>
      <c r="AY318" t="s">
        <v>4737</v>
      </c>
      <c r="AZ318" t="s">
        <v>4747</v>
      </c>
      <c r="BA318" t="s">
        <v>5467</v>
      </c>
      <c r="BB318">
        <v>0</v>
      </c>
      <c r="CP318" s="40">
        <v>52</v>
      </c>
      <c r="CQ318" s="41" t="s">
        <v>3833</v>
      </c>
      <c r="CR318" s="41" t="s">
        <v>6060</v>
      </c>
      <c r="CS318" s="41">
        <v>175</v>
      </c>
      <c r="CT318" s="41">
        <v>8</v>
      </c>
      <c r="CU318" s="41">
        <v>36</v>
      </c>
      <c r="CV318" s="41">
        <v>10</v>
      </c>
      <c r="CW318" s="41" t="s">
        <v>4706</v>
      </c>
      <c r="CX318" s="41" t="s">
        <v>4716</v>
      </c>
      <c r="CY318" s="40" t="s">
        <v>4717</v>
      </c>
    </row>
    <row r="319" spans="25:103" ht="14.6">
      <c r="Y319" t="s">
        <v>133</v>
      </c>
      <c r="AA319">
        <f ca="1">IF(AA111=0,0,SUM(OFFSET('2.1家乡主力军'!$N178,,,AA111)))</f>
        <v>0</v>
      </c>
      <c r="AB319">
        <f ca="1">IF(AB111=0,0,SUM(OFFSET('2.1家乡主力军'!$N178,,,AB111)))</f>
        <v>0</v>
      </c>
      <c r="AC319">
        <f ca="1">IF(AC111=0,0,SUM(OFFSET('2.1家乡主力军'!$N178,,,AC111)))</f>
        <v>0</v>
      </c>
      <c r="AD319">
        <f ca="1">IF(AD111=0,0,SUM(OFFSET('2.1家乡主力军'!$N178,,,AD111)))</f>
        <v>0</v>
      </c>
      <c r="AE319">
        <f ca="1">IF(AE111=0,0,SUM(OFFSET('2.1家乡主力军'!$N178,,,AE111)))</f>
        <v>0</v>
      </c>
      <c r="AF319">
        <f ca="1">IF(AF111=0,0,SUM(OFFSET('2.1家乡主力军'!$N178,,,AF111)))</f>
        <v>0</v>
      </c>
      <c r="AG319">
        <f ca="1">IF(AG111=0,0,SUM(OFFSET('2.1家乡主力军'!$N178,,,AG111)))</f>
        <v>0</v>
      </c>
      <c r="AH319">
        <f ca="1">IF(AH111=0,0,SUM(OFFSET('2.1家乡主力军'!$N178,,,AH111)))</f>
        <v>0</v>
      </c>
      <c r="AI319">
        <f ca="1">IF(AI111=0,0,SUM(OFFSET('2.1家乡主力军'!$N178,,,AI111)))</f>
        <v>0</v>
      </c>
      <c r="AJ319">
        <f ca="1">IF(AJ111=0,0,SUM(OFFSET('2.1家乡主力军'!$N178,,,AJ111)))</f>
        <v>0</v>
      </c>
      <c r="AK319">
        <f ca="1">IF(AK111=0,0,SUM(OFFSET('2.1家乡主力军'!$N178,,,AK111)))</f>
        <v>0</v>
      </c>
      <c r="AL319">
        <f ca="1">IF(AL111=0,0,SUM(OFFSET('2.1家乡主力军'!$N178,,,AL111)))</f>
        <v>0</v>
      </c>
      <c r="AM319">
        <f ca="1">IF(AM111=0,0,SUM(OFFSET('2.1家乡主力军'!$N178,,,AM111)))</f>
        <v>0</v>
      </c>
      <c r="AN319">
        <f ca="1">IF(AN111=0,0,SUM(OFFSET('2.1家乡主力军'!$N178,,,AN111)))</f>
        <v>0</v>
      </c>
      <c r="AO319">
        <f ca="1">IF(AO111=0,0,SUM(OFFSET('2.1家乡主力军'!$N178,,,AO111)))</f>
        <v>2385000</v>
      </c>
      <c r="AX319">
        <v>1500</v>
      </c>
      <c r="AY319" t="s">
        <v>5411</v>
      </c>
      <c r="AZ319" t="s">
        <v>6051</v>
      </c>
      <c r="BA319" t="s">
        <v>6052</v>
      </c>
      <c r="BB319">
        <v>0</v>
      </c>
      <c r="CP319" s="40">
        <v>53</v>
      </c>
      <c r="CQ319" s="41" t="s">
        <v>3868</v>
      </c>
      <c r="CR319" s="41" t="s">
        <v>6061</v>
      </c>
      <c r="CS319" s="41">
        <v>175</v>
      </c>
      <c r="CT319" s="41">
        <v>8</v>
      </c>
      <c r="CU319" s="41">
        <v>36</v>
      </c>
      <c r="CV319" s="41">
        <v>10</v>
      </c>
      <c r="CW319" s="41" t="s">
        <v>4706</v>
      </c>
      <c r="CX319" s="41" t="s">
        <v>4716</v>
      </c>
      <c r="CY319" s="40" t="s">
        <v>4717</v>
      </c>
    </row>
    <row r="320" spans="25:103" ht="14.6">
      <c r="Y320" t="s">
        <v>135</v>
      </c>
      <c r="AA320">
        <f ca="1">IF(AA112=0,0,SUM(OFFSET('2.1家乡主力军'!$M193,,,AA112)))</f>
        <v>0</v>
      </c>
      <c r="AB320">
        <f ca="1">IF(AB112=0,0,SUM(OFFSET('2.1家乡主力军'!$M193,,,AB112)))</f>
        <v>0</v>
      </c>
      <c r="AC320">
        <f ca="1">IF(AC112=0,0,SUM(OFFSET('2.1家乡主力军'!$M193,,,AC112)))</f>
        <v>0</v>
      </c>
      <c r="AD320">
        <f ca="1">IF(AD112=0,0,SUM(OFFSET('2.1家乡主力军'!$M193,,,AD112)))</f>
        <v>0</v>
      </c>
      <c r="AE320">
        <f ca="1">IF(AE112=0,0,SUM(OFFSET('2.1家乡主力军'!$M193,,,AE112)))</f>
        <v>0</v>
      </c>
      <c r="AF320">
        <f ca="1">IF(AF112=0,0,SUM(OFFSET('2.1家乡主力军'!$M193,,,AF112)))</f>
        <v>0</v>
      </c>
      <c r="AG320">
        <f ca="1">IF(AG112=0,0,SUM(OFFSET('2.1家乡主力军'!$M193,,,AG112)))</f>
        <v>0</v>
      </c>
      <c r="AH320">
        <f ca="1">IF(AH112=0,0,SUM(OFFSET('2.1家乡主力军'!$M193,,,AH112)))</f>
        <v>0</v>
      </c>
      <c r="AI320">
        <f ca="1">IF(AI112=0,0,SUM(OFFSET('2.1家乡主力军'!$M193,,,AI112)))</f>
        <v>0</v>
      </c>
      <c r="AJ320">
        <f ca="1">IF(AJ112=0,0,SUM(OFFSET('2.1家乡主力军'!$M193,,,AJ112)))</f>
        <v>0</v>
      </c>
      <c r="AK320">
        <f ca="1">IF(AK112=0,0,SUM(OFFSET('2.1家乡主力军'!$M193,,,AK112)))</f>
        <v>0</v>
      </c>
      <c r="AL320">
        <f ca="1">IF(AL112=0,0,SUM(OFFSET('2.1家乡主力军'!$M193,,,AL112)))</f>
        <v>0</v>
      </c>
      <c r="AM320">
        <f ca="1">IF(AM112=0,0,SUM(OFFSET('2.1家乡主力军'!$M193,,,AM112)))</f>
        <v>0</v>
      </c>
      <c r="AN320">
        <f ca="1">IF(AN112=0,0,SUM(OFFSET('2.1家乡主力军'!$M193,,,AN112)))</f>
        <v>0</v>
      </c>
      <c r="AO320">
        <f ca="1">IF(AO112=0,0,SUM(OFFSET('2.1家乡主力军'!$M193,,,AO112)))</f>
        <v>2430000</v>
      </c>
      <c r="AX320">
        <v>3000</v>
      </c>
      <c r="AY320" t="s">
        <v>6043</v>
      </c>
      <c r="AZ320" t="s">
        <v>4769</v>
      </c>
      <c r="BA320" t="s">
        <v>4878</v>
      </c>
      <c r="BB320">
        <v>0</v>
      </c>
      <c r="CP320" s="40">
        <v>54</v>
      </c>
      <c r="CQ320" s="41" t="s">
        <v>3855</v>
      </c>
      <c r="CR320" s="41" t="s">
        <v>6062</v>
      </c>
      <c r="CS320" s="41">
        <v>175</v>
      </c>
      <c r="CT320" s="41">
        <v>8</v>
      </c>
      <c r="CU320" s="41">
        <v>36</v>
      </c>
      <c r="CV320" s="41">
        <v>10</v>
      </c>
      <c r="CW320" s="41" t="s">
        <v>4706</v>
      </c>
      <c r="CX320" s="41" t="s">
        <v>4716</v>
      </c>
      <c r="CY320" s="40" t="s">
        <v>4717</v>
      </c>
    </row>
    <row r="321" spans="25:103" ht="14.6">
      <c r="AX321">
        <v>7500</v>
      </c>
      <c r="AY321" t="s">
        <v>4739</v>
      </c>
      <c r="AZ321" t="s">
        <v>4713</v>
      </c>
      <c r="BA321" t="s">
        <v>5467</v>
      </c>
      <c r="BB321">
        <v>0</v>
      </c>
      <c r="CP321" s="40">
        <v>55</v>
      </c>
      <c r="CQ321" s="41" t="s">
        <v>3795</v>
      </c>
      <c r="CR321" s="41" t="s">
        <v>6063</v>
      </c>
      <c r="CS321" s="41">
        <v>175</v>
      </c>
      <c r="CT321" s="41">
        <v>8</v>
      </c>
      <c r="CU321" s="41">
        <v>36</v>
      </c>
      <c r="CV321" s="41">
        <v>10</v>
      </c>
      <c r="CW321" s="41" t="s">
        <v>4706</v>
      </c>
      <c r="CX321" s="41" t="s">
        <v>4716</v>
      </c>
      <c r="CY321" s="40" t="s">
        <v>4717</v>
      </c>
    </row>
    <row r="322" spans="25:103" ht="14.6">
      <c r="Y322" s="12" t="s">
        <v>88</v>
      </c>
      <c r="AA322">
        <f ca="1">IF(AA114=0,0,SUM(OFFSET('2.2家乡支援军'!$AK6,,,AA114)))</f>
        <v>0</v>
      </c>
      <c r="AB322">
        <f ca="1">IF(AB114=0,0,SUM(OFFSET('2.2家乡支援军'!$AK6,,,AB114)))</f>
        <v>0</v>
      </c>
      <c r="AC322">
        <f ca="1">IF(AC114=0,0,SUM(OFFSET('2.2家乡支援军'!$AK6,,,AC114)))</f>
        <v>0</v>
      </c>
      <c r="AD322">
        <f ca="1">IF(AD114=0,0,SUM(OFFSET('2.2家乡支援军'!$AK6,,,AD114)))</f>
        <v>0</v>
      </c>
      <c r="AE322">
        <f ca="1">IF(AE114=0,0,SUM(OFFSET('2.2家乡支援军'!$AK6,,,AE114)))</f>
        <v>0</v>
      </c>
      <c r="AF322">
        <f ca="1">IF(AF114=0,0,SUM(OFFSET('2.2家乡支援军'!$AK6,,,AF114)))</f>
        <v>0</v>
      </c>
      <c r="AG322">
        <f ca="1">IF(AG114=0,0,SUM(OFFSET('2.2家乡支援军'!$AK6,,,AG114)))</f>
        <v>0</v>
      </c>
      <c r="AH322">
        <f ca="1">IF(AH114=0,0,SUM(OFFSET('2.2家乡支援军'!$AK6,,,AH114)))</f>
        <v>0</v>
      </c>
      <c r="AI322">
        <f ca="1">IF(AI114=0,0,SUM(OFFSET('2.2家乡支援军'!$AK6,,,AI114)))</f>
        <v>0</v>
      </c>
      <c r="AJ322">
        <f ca="1">IF(AJ114=0,0,SUM(OFFSET('2.2家乡支援军'!$AK6,,,AJ114)))</f>
        <v>0</v>
      </c>
      <c r="AK322">
        <f ca="1">IF(AK114=0,0,SUM(OFFSET('2.2家乡支援军'!$AK6,,,AK114)))</f>
        <v>0</v>
      </c>
      <c r="AL322">
        <f ca="1">IF(AL114=0,0,SUM(OFFSET('2.2家乡支援军'!$AK6,,,AL114)))</f>
        <v>9800000</v>
      </c>
      <c r="AM322">
        <f ca="1">IF(AM114=0,0,SUM(OFFSET('2.2家乡支援军'!$AK6,,,AM114)))</f>
        <v>20300000</v>
      </c>
      <c r="AN322">
        <f ca="1">IF(AN114=0,0,SUM(OFFSET('2.2家乡支援军'!$AK6,,,AN114)))</f>
        <v>20300000</v>
      </c>
      <c r="AO322">
        <f ca="1">IF(AO114=0,0,SUM(OFFSET('2.2家乡支援军'!$AK6,,,AO114)))</f>
        <v>20300000</v>
      </c>
      <c r="AX322">
        <v>12000</v>
      </c>
      <c r="AY322" t="s">
        <v>6056</v>
      </c>
      <c r="AZ322" t="s">
        <v>6035</v>
      </c>
      <c r="BA322" t="s">
        <v>4795</v>
      </c>
      <c r="BB322">
        <v>0</v>
      </c>
      <c r="CP322" s="40">
        <v>56</v>
      </c>
      <c r="CQ322" s="41" t="s">
        <v>3804</v>
      </c>
      <c r="CR322" s="41" t="s">
        <v>6064</v>
      </c>
      <c r="CS322" s="41">
        <v>175</v>
      </c>
      <c r="CT322" s="41">
        <v>8</v>
      </c>
      <c r="CU322" s="41">
        <v>36</v>
      </c>
      <c r="CV322" s="41">
        <v>10</v>
      </c>
      <c r="CW322" s="41" t="s">
        <v>4706</v>
      </c>
      <c r="CX322" s="41" t="s">
        <v>4716</v>
      </c>
      <c r="CY322" s="40" t="s">
        <v>4717</v>
      </c>
    </row>
    <row r="323" spans="25:103" ht="14.6">
      <c r="Y323" s="12" t="s">
        <v>91</v>
      </c>
      <c r="AA323">
        <f ca="1">IF(AA115=0,0,SUM(OFFSET('2.2家乡支援军'!$AS6,,,AA115)))</f>
        <v>0</v>
      </c>
      <c r="AB323">
        <f ca="1">IF(AB115=0,0,SUM(OFFSET('2.2家乡支援军'!$AS6,,,AB115)))</f>
        <v>0</v>
      </c>
      <c r="AC323">
        <f ca="1">IF(AC115=0,0,SUM(OFFSET('2.2家乡支援军'!$AS6,,,AC115)))</f>
        <v>0</v>
      </c>
      <c r="AD323">
        <f ca="1">IF(AD115=0,0,SUM(OFFSET('2.2家乡支援军'!$AS6,,,AD115)))</f>
        <v>0</v>
      </c>
      <c r="AE323">
        <f ca="1">IF(AE115=0,0,SUM(OFFSET('2.2家乡支援军'!$AS6,,,AE115)))</f>
        <v>0</v>
      </c>
      <c r="AF323">
        <f ca="1">IF(AF115=0,0,SUM(OFFSET('2.2家乡支援军'!$AS6,,,AF115)))</f>
        <v>0</v>
      </c>
      <c r="AG323">
        <f ca="1">IF(AG115=0,0,SUM(OFFSET('2.2家乡支援军'!$AS6,,,AG115)))</f>
        <v>0</v>
      </c>
      <c r="AH323">
        <f ca="1">IF(AH115=0,0,SUM(OFFSET('2.2家乡支援军'!$AS6,,,AH115)))</f>
        <v>0</v>
      </c>
      <c r="AI323">
        <f ca="1">IF(AI115=0,0,SUM(OFFSET('2.2家乡支援军'!$AS6,,,AI115)))</f>
        <v>0</v>
      </c>
      <c r="AJ323">
        <f ca="1">IF(AJ115=0,0,SUM(OFFSET('2.2家乡支援军'!$AS6,,,AJ115)))</f>
        <v>0</v>
      </c>
      <c r="AK323">
        <f ca="1">IF(AK115=0,0,SUM(OFFSET('2.2家乡支援军'!$AS6,,,AK115)))</f>
        <v>0</v>
      </c>
      <c r="AL323">
        <f ca="1">IF(AL115=0,0,SUM(OFFSET('2.2家乡支援军'!$AS6,,,AL115)))</f>
        <v>9800000</v>
      </c>
      <c r="AM323">
        <f ca="1">IF(AM115=0,0,SUM(OFFSET('2.2家乡支援军'!$AS6,,,AM115)))</f>
        <v>20300000</v>
      </c>
      <c r="AN323">
        <f ca="1">IF(AN115=0,0,SUM(OFFSET('2.2家乡支援军'!$AS6,,,AN115)))</f>
        <v>20300000</v>
      </c>
      <c r="AO323">
        <f ca="1">IF(AO115=0,0,SUM(OFFSET('2.2家乡支援军'!$AS6,,,AO115)))</f>
        <v>20300000</v>
      </c>
      <c r="AX323">
        <v>18000</v>
      </c>
      <c r="AY323" t="s">
        <v>4746</v>
      </c>
      <c r="AZ323" t="s">
        <v>4865</v>
      </c>
      <c r="BA323" t="s">
        <v>5002</v>
      </c>
      <c r="BB323">
        <v>0</v>
      </c>
      <c r="CP323" s="40">
        <v>57</v>
      </c>
      <c r="CQ323" s="41" t="s">
        <v>3863</v>
      </c>
      <c r="CR323" s="41" t="s">
        <v>6065</v>
      </c>
      <c r="CS323" s="41">
        <v>175</v>
      </c>
      <c r="CT323" s="41">
        <v>8</v>
      </c>
      <c r="CU323" s="41">
        <v>36</v>
      </c>
      <c r="CV323" s="41">
        <v>10</v>
      </c>
      <c r="CW323" s="41" t="s">
        <v>4706</v>
      </c>
      <c r="CX323" s="41" t="s">
        <v>4716</v>
      </c>
      <c r="CY323" s="40" t="s">
        <v>4717</v>
      </c>
    </row>
    <row r="324" spans="25:103" ht="14.6">
      <c r="Y324" s="12" t="s">
        <v>94</v>
      </c>
      <c r="AA324">
        <f ca="1">IF(AA116=0,0,SUM(OFFSET('2.2家乡支援军'!$AK15,,,AA116)))</f>
        <v>0</v>
      </c>
      <c r="AB324">
        <f ca="1">IF(AB116=0,0,SUM(OFFSET('2.2家乡支援军'!$AK15,,,AB116)))</f>
        <v>0</v>
      </c>
      <c r="AC324">
        <f ca="1">IF(AC116=0,0,SUM(OFFSET('2.2家乡支援军'!$AK15,,,AC116)))</f>
        <v>0</v>
      </c>
      <c r="AD324">
        <f ca="1">IF(AD116=0,0,SUM(OFFSET('2.2家乡支援军'!$AK15,,,AD116)))</f>
        <v>0</v>
      </c>
      <c r="AE324">
        <f ca="1">IF(AE116=0,0,SUM(OFFSET('2.2家乡支援军'!$AK15,,,AE116)))</f>
        <v>0</v>
      </c>
      <c r="AF324">
        <f ca="1">IF(AF116=0,0,SUM(OFFSET('2.2家乡支援军'!$AK15,,,AF116)))</f>
        <v>0</v>
      </c>
      <c r="AG324">
        <f ca="1">IF(AG116=0,0,SUM(OFFSET('2.2家乡支援军'!$AK15,,,AG116)))</f>
        <v>0</v>
      </c>
      <c r="AH324">
        <f ca="1">IF(AH116=0,0,SUM(OFFSET('2.2家乡支援军'!$AK15,,,AH116)))</f>
        <v>0</v>
      </c>
      <c r="AI324">
        <f ca="1">IF(AI116=0,0,SUM(OFFSET('2.2家乡支援军'!$AK15,,,AI116)))</f>
        <v>0</v>
      </c>
      <c r="AJ324">
        <f ca="1">IF(AJ116=0,0,SUM(OFFSET('2.2家乡支援军'!$AK15,,,AJ116)))</f>
        <v>0</v>
      </c>
      <c r="AK324">
        <f ca="1">IF(AK116=0,0,SUM(OFFSET('2.2家乡支援军'!$AK15,,,AK116)))</f>
        <v>0</v>
      </c>
      <c r="AL324">
        <f ca="1">IF(AL116=0,0,SUM(OFFSET('2.2家乡支援军'!$AK15,,,AL116)))</f>
        <v>9800000</v>
      </c>
      <c r="AM324">
        <f ca="1">IF(AM116=0,0,SUM(OFFSET('2.2家乡支援军'!$AK15,,,AM116)))</f>
        <v>20300000</v>
      </c>
      <c r="AN324">
        <f ca="1">IF(AN116=0,0,SUM(OFFSET('2.2家乡支援军'!$AK15,,,AN116)))</f>
        <v>20300000</v>
      </c>
      <c r="AO324">
        <f ca="1">IF(AO116=0,0,SUM(OFFSET('2.2家乡支援军'!$AK15,,,AO116)))</f>
        <v>20300000</v>
      </c>
      <c r="AX324">
        <v>30000</v>
      </c>
      <c r="AY324" t="s">
        <v>4745</v>
      </c>
      <c r="AZ324" t="s">
        <v>4737</v>
      </c>
      <c r="BA324" t="s">
        <v>4953</v>
      </c>
      <c r="BB324">
        <v>0</v>
      </c>
      <c r="CP324" s="40">
        <v>58</v>
      </c>
      <c r="CQ324" s="41" t="s">
        <v>3888</v>
      </c>
      <c r="CR324" s="41" t="s">
        <v>6066</v>
      </c>
      <c r="CS324" s="41">
        <v>100</v>
      </c>
      <c r="CT324" s="41">
        <v>8</v>
      </c>
      <c r="CU324" s="41">
        <v>54</v>
      </c>
      <c r="CV324" s="41">
        <v>10</v>
      </c>
      <c r="CW324" s="41" t="s">
        <v>4706</v>
      </c>
      <c r="CX324" s="41" t="s">
        <v>4716</v>
      </c>
      <c r="CY324" s="40" t="s">
        <v>4717</v>
      </c>
    </row>
    <row r="325" spans="25:103" ht="14.6">
      <c r="Y325" s="12" t="s">
        <v>97</v>
      </c>
      <c r="AA325">
        <f ca="1">IF(AA117=0,0,SUM(OFFSET('2.2家乡支援军'!$AT15,,,AA117)))</f>
        <v>0</v>
      </c>
      <c r="AB325">
        <f ca="1">IF(AB117=0,0,SUM(OFFSET('2.2家乡支援军'!$AT15,,,AB117)))</f>
        <v>0</v>
      </c>
      <c r="AC325">
        <f ca="1">IF(AC117=0,0,SUM(OFFSET('2.2家乡支援军'!$AT15,,,AC117)))</f>
        <v>0</v>
      </c>
      <c r="AD325">
        <f ca="1">IF(AD117=0,0,SUM(OFFSET('2.2家乡支援军'!$AT15,,,AD117)))</f>
        <v>0</v>
      </c>
      <c r="AE325">
        <f ca="1">IF(AE117=0,0,SUM(OFFSET('2.2家乡支援军'!$AT15,,,AE117)))</f>
        <v>0</v>
      </c>
      <c r="AF325">
        <f ca="1">IF(AF117=0,0,SUM(OFFSET('2.2家乡支援军'!$AT15,,,AF117)))</f>
        <v>0</v>
      </c>
      <c r="AG325">
        <f ca="1">IF(AG117=0,0,SUM(OFFSET('2.2家乡支援军'!$AT15,,,AG117)))</f>
        <v>0</v>
      </c>
      <c r="AH325">
        <f ca="1">IF(AH117=0,0,SUM(OFFSET('2.2家乡支援军'!$AT15,,,AH117)))</f>
        <v>0</v>
      </c>
      <c r="AI325">
        <f ca="1">IF(AI117=0,0,SUM(OFFSET('2.2家乡支援军'!$AT15,,,AI117)))</f>
        <v>0</v>
      </c>
      <c r="AJ325">
        <f ca="1">IF(AJ117=0,0,SUM(OFFSET('2.2家乡支援军'!$AT15,,,AJ117)))</f>
        <v>0</v>
      </c>
      <c r="AK325">
        <f ca="1">IF(AK117=0,0,SUM(OFFSET('2.2家乡支援军'!$AT15,,,AK117)))</f>
        <v>0</v>
      </c>
      <c r="AL325">
        <f ca="1">IF(AL117=0,0,SUM(OFFSET('2.2家乡支援军'!$AT15,,,AL117)))</f>
        <v>0</v>
      </c>
      <c r="AM325">
        <f ca="1">IF(AM117=0,0,SUM(OFFSET('2.2家乡支援军'!$AT15,,,AM117)))</f>
        <v>23800000</v>
      </c>
      <c r="AN325">
        <f ca="1">IF(AN117=0,0,SUM(OFFSET('2.2家乡支援军'!$AT15,,,AN117)))</f>
        <v>23800000</v>
      </c>
      <c r="AO325">
        <f ca="1">IF(AO117=0,0,SUM(OFFSET('2.2家乡支援军'!$AT15,,,AO117)))</f>
        <v>23800000</v>
      </c>
      <c r="AX325">
        <v>50000</v>
      </c>
      <c r="AY325" t="s">
        <v>4737</v>
      </c>
      <c r="AZ325" t="s">
        <v>4747</v>
      </c>
      <c r="BA325" t="s">
        <v>5467</v>
      </c>
      <c r="BB325">
        <v>0</v>
      </c>
      <c r="CP325" s="40">
        <v>59</v>
      </c>
      <c r="CQ325" s="41" t="s">
        <v>3892</v>
      </c>
      <c r="CR325" s="41" t="s">
        <v>6067</v>
      </c>
      <c r="CS325" s="41">
        <v>100</v>
      </c>
      <c r="CT325" s="41">
        <v>8</v>
      </c>
      <c r="CU325" s="41">
        <v>54</v>
      </c>
      <c r="CV325" s="41">
        <v>10</v>
      </c>
      <c r="CW325" s="41" t="s">
        <v>4706</v>
      </c>
      <c r="CX325" s="41" t="s">
        <v>4716</v>
      </c>
      <c r="CY325" s="40" t="s">
        <v>4717</v>
      </c>
    </row>
    <row r="326" spans="25:103" ht="14.6">
      <c r="Y326" s="12" t="s">
        <v>102</v>
      </c>
      <c r="AA326">
        <f ca="1">IF(AA118=0,0,SUM(OFFSET('2.2家乡支援军'!$AK26,,,AA118)))</f>
        <v>0</v>
      </c>
      <c r="AB326">
        <f ca="1">IF(AB118=0,0,SUM(OFFSET('2.2家乡支援军'!$AK26,,,AB118)))</f>
        <v>0</v>
      </c>
      <c r="AC326">
        <f ca="1">IF(AC118=0,0,SUM(OFFSET('2.2家乡支援军'!$AK26,,,AC118)))</f>
        <v>0</v>
      </c>
      <c r="AD326">
        <f ca="1">IF(AD118=0,0,SUM(OFFSET('2.2家乡支援军'!$AK26,,,AD118)))</f>
        <v>0</v>
      </c>
      <c r="AE326">
        <f ca="1">IF(AE118=0,0,SUM(OFFSET('2.2家乡支援军'!$AK26,,,AE118)))</f>
        <v>0</v>
      </c>
      <c r="AF326">
        <f ca="1">IF(AF118=0,0,SUM(OFFSET('2.2家乡支援军'!$AK26,,,AF118)))</f>
        <v>0</v>
      </c>
      <c r="AG326">
        <f ca="1">IF(AG118=0,0,SUM(OFFSET('2.2家乡支援军'!$AK26,,,AG118)))</f>
        <v>0</v>
      </c>
      <c r="AH326">
        <f ca="1">IF(AH118=0,0,SUM(OFFSET('2.2家乡支援军'!$AK26,,,AH118)))</f>
        <v>0</v>
      </c>
      <c r="AI326">
        <f ca="1">IF(AI118=0,0,SUM(OFFSET('2.2家乡支援军'!$AK26,,,AI118)))</f>
        <v>0</v>
      </c>
      <c r="AJ326">
        <f ca="1">IF(AJ118=0,0,SUM(OFFSET('2.2家乡支援军'!$AK26,,,AJ118)))</f>
        <v>0</v>
      </c>
      <c r="AK326">
        <f ca="1">IF(AK118=0,0,SUM(OFFSET('2.2家乡支援军'!$AK26,,,AK118)))</f>
        <v>0</v>
      </c>
      <c r="AL326">
        <f ca="1">IF(AL118=0,0,SUM(OFFSET('2.2家乡支援军'!$AK26,,,AL118)))</f>
        <v>0</v>
      </c>
      <c r="AM326">
        <f ca="1">IF(AM118=0,0,SUM(OFFSET('2.2家乡支援军'!$AK26,,,AM118)))</f>
        <v>24700000</v>
      </c>
      <c r="AN326">
        <f ca="1">IF(AN118=0,0,SUM(OFFSET('2.2家乡支援军'!$AK26,,,AN118)))</f>
        <v>24700000</v>
      </c>
      <c r="AO326">
        <f ca="1">IF(AO118=0,0,SUM(OFFSET('2.2家乡支援军'!$AK26,,,AO118)))</f>
        <v>24700000</v>
      </c>
      <c r="AX326">
        <v>500</v>
      </c>
      <c r="AY326" t="s">
        <v>4713</v>
      </c>
      <c r="AZ326" t="s">
        <v>6051</v>
      </c>
      <c r="BA326" t="s">
        <v>6052</v>
      </c>
      <c r="BB326">
        <v>0</v>
      </c>
      <c r="CP326" s="40">
        <v>60</v>
      </c>
      <c r="CQ326" s="41" t="s">
        <v>3897</v>
      </c>
      <c r="CR326" s="41" t="s">
        <v>6068</v>
      </c>
      <c r="CS326" s="41">
        <v>100</v>
      </c>
      <c r="CT326" s="41">
        <v>8</v>
      </c>
      <c r="CU326" s="41">
        <v>54</v>
      </c>
      <c r="CV326" s="41">
        <v>10</v>
      </c>
      <c r="CW326" s="41" t="s">
        <v>4706</v>
      </c>
      <c r="CX326" s="41" t="s">
        <v>4716</v>
      </c>
      <c r="CY326" s="40" t="s">
        <v>4717</v>
      </c>
    </row>
    <row r="327" spans="25:103" ht="14.6">
      <c r="Y327" s="12" t="s">
        <v>106</v>
      </c>
      <c r="AA327">
        <f ca="1">IF(AA119=0,0,SUM(OFFSET('2.2家乡支援军'!$AV26,,,AA119)))</f>
        <v>0</v>
      </c>
      <c r="AB327">
        <f ca="1">IF(AB119=0,0,SUM(OFFSET('2.2家乡支援军'!$AV26,,,AB119)))</f>
        <v>0</v>
      </c>
      <c r="AC327">
        <f ca="1">IF(AC119=0,0,SUM(OFFSET('2.2家乡支援军'!$AV26,,,AC119)))</f>
        <v>0</v>
      </c>
      <c r="AD327">
        <f ca="1">IF(AD119=0,0,SUM(OFFSET('2.2家乡支援军'!$AV26,,,AD119)))</f>
        <v>0</v>
      </c>
      <c r="AE327">
        <f ca="1">IF(AE119=0,0,SUM(OFFSET('2.2家乡支援军'!$AV26,,,AE119)))</f>
        <v>0</v>
      </c>
      <c r="AF327">
        <f ca="1">IF(AF119=0,0,SUM(OFFSET('2.2家乡支援军'!$AV26,,,AF119)))</f>
        <v>0</v>
      </c>
      <c r="AG327">
        <f ca="1">IF(AG119=0,0,SUM(OFFSET('2.2家乡支援军'!$AV26,,,AG119)))</f>
        <v>0</v>
      </c>
      <c r="AH327">
        <f ca="1">IF(AH119=0,0,SUM(OFFSET('2.2家乡支援军'!$AV26,,,AH119)))</f>
        <v>0</v>
      </c>
      <c r="AI327">
        <f ca="1">IF(AI119=0,0,SUM(OFFSET('2.2家乡支援军'!$AV26,,,AI119)))</f>
        <v>0</v>
      </c>
      <c r="AJ327">
        <f ca="1">IF(AJ119=0,0,SUM(OFFSET('2.2家乡支援军'!$AV26,,,AJ119)))</f>
        <v>0</v>
      </c>
      <c r="AK327">
        <f ca="1">IF(AK119=0,0,SUM(OFFSET('2.2家乡支援军'!$AV26,,,AK119)))</f>
        <v>0</v>
      </c>
      <c r="AL327">
        <f ca="1">IF(AL119=0,0,SUM(OFFSET('2.2家乡支援军'!$AV26,,,AL119)))</f>
        <v>0</v>
      </c>
      <c r="AM327">
        <f ca="1">IF(AM119=0,0,SUM(OFFSET('2.2家乡支援军'!$AV26,,,AM119)))</f>
        <v>0</v>
      </c>
      <c r="AN327">
        <f ca="1">IF(AN119=0,0,SUM(OFFSET('2.2家乡支援军'!$AV26,,,AN119)))</f>
        <v>31400000</v>
      </c>
      <c r="AO327">
        <f ca="1">IF(AO119=0,0,SUM(OFFSET('2.2家乡支援军'!$AV26,,,AO119)))</f>
        <v>31400000</v>
      </c>
      <c r="AX327">
        <v>1000</v>
      </c>
      <c r="AY327" t="s">
        <v>5467</v>
      </c>
      <c r="AZ327" t="s">
        <v>5921</v>
      </c>
      <c r="BA327" t="s">
        <v>6069</v>
      </c>
      <c r="BB327">
        <v>0</v>
      </c>
      <c r="CP327" s="40">
        <v>61</v>
      </c>
      <c r="CQ327" s="41" t="s">
        <v>3902</v>
      </c>
      <c r="CR327" s="41" t="s">
        <v>6070</v>
      </c>
      <c r="CS327" s="41">
        <v>100</v>
      </c>
      <c r="CT327" s="41">
        <v>8</v>
      </c>
      <c r="CU327" s="41">
        <v>54</v>
      </c>
      <c r="CV327" s="41">
        <v>10</v>
      </c>
      <c r="CW327" s="41" t="s">
        <v>4706</v>
      </c>
      <c r="CX327" s="41" t="s">
        <v>4716</v>
      </c>
      <c r="CY327" s="40" t="s">
        <v>4717</v>
      </c>
    </row>
    <row r="328" spans="25:103" ht="14.6">
      <c r="Y328" s="12" t="s">
        <v>5541</v>
      </c>
      <c r="AA328">
        <f ca="1">IF(AA120=0,0,SUM(OFFSET('2.2家乡支援军'!$AJ36,,,AA120)))</f>
        <v>0</v>
      </c>
      <c r="AB328">
        <f ca="1">IF(AB120=0,0,SUM(OFFSET('2.2家乡支援军'!$AJ36,,,AB120)))</f>
        <v>0</v>
      </c>
      <c r="AC328">
        <f ca="1">IF(AC120=0,0,SUM(OFFSET('2.2家乡支援军'!$AJ36,,,AC120)))</f>
        <v>0</v>
      </c>
      <c r="AD328">
        <f ca="1">IF(AD120=0,0,SUM(OFFSET('2.2家乡支援军'!$AJ36,,,AD120)))</f>
        <v>0</v>
      </c>
      <c r="AE328">
        <f ca="1">IF(AE120=0,0,SUM(OFFSET('2.2家乡支援军'!$AJ36,,,AE120)))</f>
        <v>0</v>
      </c>
      <c r="AF328">
        <f ca="1">IF(AF120=0,0,SUM(OFFSET('2.2家乡支援军'!$AJ36,,,AF120)))</f>
        <v>0</v>
      </c>
      <c r="AG328">
        <f ca="1">IF(AG120=0,0,SUM(OFFSET('2.2家乡支援军'!$AJ36,,,AG120)))</f>
        <v>0</v>
      </c>
      <c r="AH328">
        <f ca="1">IF(AH120=0,0,SUM(OFFSET('2.2家乡支援军'!$AJ36,,,AH120)))</f>
        <v>0</v>
      </c>
      <c r="AI328">
        <f ca="1">IF(AI120=0,0,SUM(OFFSET('2.2家乡支援军'!$AJ36,,,AI120)))</f>
        <v>0</v>
      </c>
      <c r="AJ328">
        <f ca="1">IF(AJ120=0,0,SUM(OFFSET('2.2家乡支援军'!$AJ36,,,AJ120)))</f>
        <v>0</v>
      </c>
      <c r="AK328">
        <f ca="1">IF(AK120=0,0,SUM(OFFSET('2.2家乡支援军'!$AJ36,,,AK120)))</f>
        <v>0</v>
      </c>
      <c r="AL328">
        <f ca="1">IF(AL120=0,0,SUM(OFFSET('2.2家乡支援军'!$AJ36,,,AL120)))</f>
        <v>0</v>
      </c>
      <c r="AM328">
        <f ca="1">IF(AM120=0,0,SUM(OFFSET('2.2家乡支援军'!$AJ36,,,AM120)))</f>
        <v>0</v>
      </c>
      <c r="AN328">
        <f ca="1">IF(AN120=0,0,SUM(OFFSET('2.2家乡支援军'!$AJ36,,,AN120)))</f>
        <v>0</v>
      </c>
      <c r="AO328">
        <f ca="1">IF(AO120=0,0,SUM(OFFSET('2.2家乡支援军'!$AJ36,,,AO120)))</f>
        <v>33100000</v>
      </c>
      <c r="AX328">
        <v>2000</v>
      </c>
      <c r="AY328" t="s">
        <v>6033</v>
      </c>
      <c r="AZ328" t="s">
        <v>4769</v>
      </c>
      <c r="BA328" t="s">
        <v>4675</v>
      </c>
      <c r="BB328">
        <v>0</v>
      </c>
      <c r="CP328" s="40">
        <v>62</v>
      </c>
      <c r="CQ328" s="41" t="s">
        <v>3907</v>
      </c>
      <c r="CR328" s="41" t="s">
        <v>6071</v>
      </c>
      <c r="CS328" s="41">
        <v>100</v>
      </c>
      <c r="CT328" s="41">
        <v>8</v>
      </c>
      <c r="CU328" s="41">
        <v>54</v>
      </c>
      <c r="CV328" s="41">
        <v>10</v>
      </c>
      <c r="CW328" s="41" t="s">
        <v>4706</v>
      </c>
      <c r="CX328" s="41" t="s">
        <v>4716</v>
      </c>
      <c r="CY328" s="40" t="s">
        <v>4717</v>
      </c>
    </row>
    <row r="329" spans="25:103" ht="14.6">
      <c r="AX329">
        <v>3500</v>
      </c>
      <c r="AY329" t="s">
        <v>6035</v>
      </c>
      <c r="AZ329" t="s">
        <v>6034</v>
      </c>
      <c r="BA329" t="s">
        <v>4739</v>
      </c>
      <c r="BB329">
        <v>0</v>
      </c>
      <c r="CP329" s="40">
        <v>63</v>
      </c>
      <c r="CQ329" s="41" t="s">
        <v>3911</v>
      </c>
      <c r="CR329" s="41" t="s">
        <v>6072</v>
      </c>
      <c r="CS329" s="41">
        <v>100</v>
      </c>
      <c r="CT329" s="41">
        <v>8</v>
      </c>
      <c r="CU329" s="41">
        <v>36</v>
      </c>
      <c r="CV329" s="41">
        <v>10</v>
      </c>
      <c r="CW329" s="41" t="s">
        <v>4706</v>
      </c>
      <c r="CX329" s="41" t="s">
        <v>4716</v>
      </c>
      <c r="CY329" s="40" t="s">
        <v>4717</v>
      </c>
    </row>
    <row r="330" spans="25:103" ht="14.6">
      <c r="Y330" s="46" t="s">
        <v>6073</v>
      </c>
      <c r="AX330">
        <v>5000</v>
      </c>
      <c r="AY330" t="s">
        <v>4746</v>
      </c>
      <c r="AZ330" t="s">
        <v>4823</v>
      </c>
      <c r="BA330" t="s">
        <v>4747</v>
      </c>
      <c r="BB330">
        <v>0</v>
      </c>
      <c r="CP330" s="40">
        <v>64</v>
      </c>
      <c r="CQ330" s="41" t="s">
        <v>3916</v>
      </c>
      <c r="CR330" s="41" t="s">
        <v>6074</v>
      </c>
      <c r="CS330" s="41">
        <v>100</v>
      </c>
      <c r="CT330" s="41">
        <v>8</v>
      </c>
      <c r="CU330" s="41">
        <v>18</v>
      </c>
      <c r="CV330" s="41">
        <v>10</v>
      </c>
      <c r="CW330" s="41" t="s">
        <v>4706</v>
      </c>
      <c r="CX330" s="41" t="s">
        <v>4716</v>
      </c>
      <c r="CY330" s="40" t="s">
        <v>4717</v>
      </c>
    </row>
    <row r="331" spans="25:103" ht="14.6">
      <c r="Y331" s="12" t="s">
        <v>2</v>
      </c>
      <c r="AA331">
        <f ca="1">IF(VALUE(RIGHT(AA8,3)),VALUE(RIGHT(AA8,3))*SUM(OFFSET('2.3家乡建筑'!$N7,,,VALUE(LEFT(AA8,2)))),)</f>
        <v>3.0092592592592619E-3</v>
      </c>
      <c r="AB331">
        <f ca="1">IF(VALUE(RIGHT(AB8,3)),VALUE(RIGHT(AB8,3))*SUM(OFFSET('2.3家乡建筑'!$N7,,,VALUE(LEFT(AB8,2)))),)</f>
        <v>1.6898148148148141E-2</v>
      </c>
      <c r="AC331">
        <f ca="1">IF(VALUE(RIGHT(AC8,3)),VALUE(RIGHT(AC8,3))*SUM(OFFSET('2.3家乡建筑'!$N7,,,VALUE(LEFT(AC8,2)))),)</f>
        <v>7.9398148148148134E-2</v>
      </c>
      <c r="AD331">
        <f ca="1">IF(VALUE(RIGHT(AD8,3)),VALUE(RIGHT(AD8,3))*SUM(OFFSET('2.3家乡建筑'!$N7,,,VALUE(LEFT(AD8,2)))),)</f>
        <v>0.24606481481481474</v>
      </c>
      <c r="AE331">
        <f ca="1">IF(VALUE(RIGHT(AE8,3)),VALUE(RIGHT(AE8,3))*SUM(OFFSET('2.3家乡建筑'!$N7,,,VALUE(LEFT(AE8,2)))),)</f>
        <v>0.86909722222222308</v>
      </c>
      <c r="AF331">
        <f ca="1">IF(VALUE(RIGHT(AF8,3)),VALUE(RIGHT(AF8,3))*SUM(OFFSET('2.3家乡建筑'!$N7,,,VALUE(LEFT(AF8,2)))),)</f>
        <v>1.8690972222222222</v>
      </c>
      <c r="AG331">
        <f ca="1">IF(VALUE(RIGHT(AG8,3)),VALUE(RIGHT(AG8,3))*SUM(OFFSET('2.3家乡建筑'!$N7,,,VALUE(LEFT(AG8,2)))),)</f>
        <v>5.198495370370372</v>
      </c>
      <c r="AH331">
        <f ca="1">IF(VALUE(RIGHT(AH8,3)),VALUE(RIGHT(AH8,3))*SUM(OFFSET('2.3家乡建筑'!$N7,,,VALUE(LEFT(AH8,2)))),)</f>
        <v>11.448495370370374</v>
      </c>
      <c r="AI331">
        <f ca="1">IF(VALUE(RIGHT(AI8,3)),VALUE(RIGHT(AI8,3))*SUM(OFFSET('2.3家乡建筑'!$N7,,,VALUE(LEFT(AI8,2)))),)</f>
        <v>16.448495370370374</v>
      </c>
      <c r="AJ331">
        <f ca="1">IF(VALUE(RIGHT(AJ8,3)),VALUE(RIGHT(AJ8,3))*SUM(OFFSET('2.3家乡建筑'!$N7,,,VALUE(LEFT(AJ8,2)))),)</f>
        <v>40.738194444444446</v>
      </c>
      <c r="AK331">
        <f ca="1">IF(VALUE(RIGHT(AK8,3)),VALUE(RIGHT(AK8,3))*SUM(OFFSET('2.3家乡建筑'!$N7,,,VALUE(LEFT(AK8,2)))),)</f>
        <v>98.277893518518525</v>
      </c>
      <c r="AL331">
        <f ca="1">IF(VALUE(RIGHT(AL8,3)),VALUE(RIGHT(AL8,3))*SUM(OFFSET('2.3家乡建筑'!$N7,,,VALUE(LEFT(AL8,2)))),)</f>
        <v>201.52789351851854</v>
      </c>
      <c r="AM331">
        <f ca="1">IF(VALUE(RIGHT(AM8,3)),VALUE(RIGHT(AM8,3))*SUM(OFFSET('2.3家乡建筑'!$N7,,,VALUE(LEFT(AM8,2)))),)</f>
        <v>364.27789351851857</v>
      </c>
      <c r="AN331">
        <f ca="1">IF(VALUE(RIGHT(AN8,3)),VALUE(RIGHT(AN8,3))*SUM(OFFSET('2.3家乡建筑'!$N7,,,VALUE(LEFT(AN8,2)))),)</f>
        <v>478.02789351851857</v>
      </c>
      <c r="AO331">
        <f ca="1">IF(VALUE(RIGHT(AO8,3)),VALUE(RIGHT(AO8,3))*SUM(OFFSET('2.3家乡建筑'!$N7,,,VALUE(LEFT(AO8,2)))),)</f>
        <v>597.02789351851857</v>
      </c>
      <c r="AX331">
        <v>1000</v>
      </c>
      <c r="AY331" t="s">
        <v>5411</v>
      </c>
      <c r="AZ331" t="s">
        <v>5920</v>
      </c>
      <c r="BA331" t="s">
        <v>5921</v>
      </c>
      <c r="BB331">
        <v>0</v>
      </c>
      <c r="CP331" s="40">
        <v>65</v>
      </c>
      <c r="CQ331" s="41" t="s">
        <v>3898</v>
      </c>
      <c r="CR331" s="41" t="s">
        <v>6075</v>
      </c>
      <c r="CS331" s="41">
        <v>100</v>
      </c>
      <c r="CT331" s="41">
        <v>8</v>
      </c>
      <c r="CU331" s="41">
        <v>36</v>
      </c>
      <c r="CV331" s="41">
        <v>10</v>
      </c>
      <c r="CW331" s="41" t="s">
        <v>4706</v>
      </c>
      <c r="CX331" s="41" t="s">
        <v>4716</v>
      </c>
      <c r="CY331" s="40" t="s">
        <v>4717</v>
      </c>
    </row>
    <row r="332" spans="25:103" ht="14.6">
      <c r="Y332" s="12" t="s">
        <v>9</v>
      </c>
      <c r="AA332">
        <f ca="1">IF(VALUE(RIGHT(AA9,3)),VALUE(RIGHT(AA9,3))*SUM(OFFSET('2.3家乡建筑'!$X7,,,VALUE(LEFT(AA9,2)))),)</f>
        <v>0</v>
      </c>
      <c r="AB332">
        <f ca="1">IF(VALUE(RIGHT(AB9,3)),VALUE(RIGHT(AB9,3))*SUM(OFFSET('2.3家乡建筑'!$X7,,,VALUE(LEFT(AB9,2)))),)</f>
        <v>1.1111111111111144E-2</v>
      </c>
      <c r="AC332">
        <f ca="1">IF(VALUE(RIGHT(AC9,3)),VALUE(RIGHT(AC9,3))*SUM(OFFSET('2.3家乡建筑'!$X7,,,VALUE(LEFT(AC9,2)))),)</f>
        <v>4.2361111111111141E-2</v>
      </c>
      <c r="AD332">
        <f ca="1">IF(VALUE(RIGHT(AD9,3)),VALUE(RIGHT(AD9,3))*SUM(OFFSET('2.3家乡建筑'!$X7,,,VALUE(LEFT(AD9,2)))),)</f>
        <v>0.33472222222222225</v>
      </c>
      <c r="AE332">
        <f ca="1">IF(VALUE(RIGHT(AE9,3)),VALUE(RIGHT(AE9,3))*SUM(OFFSET('2.3家乡建筑'!$X7,,,VALUE(LEFT(AE9,2)))),)</f>
        <v>2.1270833333333314</v>
      </c>
      <c r="AF332">
        <f ca="1">IF(VALUE(RIGHT(AF9,3)),VALUE(RIGHT(AF9,3))*SUM(OFFSET('2.3家乡建筑'!$X7,,,VALUE(LEFT(AF9,2)))),)</f>
        <v>3.3770833333333323</v>
      </c>
      <c r="AG332">
        <f ca="1">IF(VALUE(RIGHT(AG9,3)),VALUE(RIGHT(AG9,3))*SUM(OFFSET('2.3家乡建筑'!$X7,,,VALUE(LEFT(AG9,2)))),)</f>
        <v>6.5027777777777764</v>
      </c>
      <c r="AH332">
        <f ca="1">IF(VALUE(RIGHT(AH9,3)),VALUE(RIGHT(AH9,3))*SUM(OFFSET('2.3家乡建筑'!$X7,,,VALUE(LEFT(AH9,2)))),)</f>
        <v>14.795138888888886</v>
      </c>
      <c r="AI332">
        <f ca="1">IF(VALUE(RIGHT(AI9,3)),VALUE(RIGHT(AI9,3))*SUM(OFFSET('2.3家乡建筑'!$X7,,,VALUE(LEFT(AI9,2)))),)</f>
        <v>23.754166666666663</v>
      </c>
      <c r="AJ332">
        <f ca="1">IF(VALUE(RIGHT(AJ9,3)),VALUE(RIGHT(AJ9,3))*SUM(OFFSET('2.3家乡建筑'!$X7,,,VALUE(LEFT(AJ9,2)))),)</f>
        <v>52.21319444444444</v>
      </c>
      <c r="AK332">
        <f ca="1">IF(VALUE(RIGHT(AK9,3)),VALUE(RIGHT(AK9,3))*SUM(OFFSET('2.3家乡建筑'!$X7,,,VALUE(LEFT(AK9,2)))),)</f>
        <v>127.67222222222222</v>
      </c>
      <c r="AL332">
        <f ca="1">IF(VALUE(RIGHT(AL9,3)),VALUE(RIGHT(AL9,3))*SUM(OFFSET('2.3家乡建筑'!$X7,,,VALUE(LEFT(AL9,2)))),)</f>
        <v>245.67222222222222</v>
      </c>
      <c r="AM332">
        <f ca="1">IF(VALUE(RIGHT(AM9,3)),VALUE(RIGHT(AM9,3))*SUM(OFFSET('2.3家乡建筑'!$X7,,,VALUE(LEFT(AM9,2)))),)</f>
        <v>431.67222222222222</v>
      </c>
      <c r="AN332">
        <f ca="1">IF(VALUE(RIGHT(AN9,3)),VALUE(RIGHT(AN9,3))*SUM(OFFSET('2.3家乡建筑'!$X7,,,VALUE(LEFT(AN9,2)))),)</f>
        <v>561.67222222222222</v>
      </c>
      <c r="AO332">
        <f ca="1">IF(VALUE(RIGHT(AO9,3)),VALUE(RIGHT(AO9,3))*SUM(OFFSET('2.3家乡建筑'!$X7,,,VALUE(LEFT(AO9,2)))),)</f>
        <v>697.67222222222222</v>
      </c>
      <c r="AX332">
        <v>2000</v>
      </c>
      <c r="AY332" t="s">
        <v>6043</v>
      </c>
      <c r="AZ332" t="s">
        <v>4769</v>
      </c>
      <c r="BA332" t="s">
        <v>4878</v>
      </c>
      <c r="BB332">
        <v>0</v>
      </c>
      <c r="CP332" s="40">
        <v>66</v>
      </c>
      <c r="CQ332" s="41" t="s">
        <v>3924</v>
      </c>
      <c r="CR332" s="41" t="s">
        <v>6076</v>
      </c>
      <c r="CS332" s="41">
        <v>100</v>
      </c>
      <c r="CT332" s="41">
        <v>8</v>
      </c>
      <c r="CU332" s="41">
        <v>36</v>
      </c>
      <c r="CV332" s="41">
        <v>10</v>
      </c>
      <c r="CW332" s="41" t="s">
        <v>4706</v>
      </c>
      <c r="CX332" s="41" t="s">
        <v>4716</v>
      </c>
      <c r="CY332" s="40" t="s">
        <v>4717</v>
      </c>
    </row>
    <row r="333" spans="25:103" ht="14.6">
      <c r="Y333" s="12"/>
      <c r="AX333">
        <v>5000</v>
      </c>
      <c r="AY333" t="s">
        <v>4844</v>
      </c>
      <c r="AZ333" t="s">
        <v>5455</v>
      </c>
      <c r="BA333" t="s">
        <v>4771</v>
      </c>
      <c r="BB333">
        <v>0</v>
      </c>
      <c r="CP333" s="40">
        <v>67</v>
      </c>
      <c r="CQ333" s="41" t="s">
        <v>4257</v>
      </c>
      <c r="CR333" s="41" t="s">
        <v>6077</v>
      </c>
      <c r="CS333" s="41">
        <v>100</v>
      </c>
      <c r="CT333" s="41">
        <v>8</v>
      </c>
      <c r="CU333" s="41">
        <v>270</v>
      </c>
      <c r="CV333" s="41">
        <v>10</v>
      </c>
      <c r="CW333" s="41" t="s">
        <v>4706</v>
      </c>
      <c r="CX333" s="41" t="s">
        <v>4716</v>
      </c>
      <c r="CY333" s="40" t="s">
        <v>4717</v>
      </c>
    </row>
    <row r="334" spans="25:103" ht="14.6">
      <c r="Y334" s="12" t="s">
        <v>20</v>
      </c>
      <c r="AA334">
        <f ca="1">IF(VALUE(RIGHT(AA11,3)),VALUE(RIGHT(AA11,3))*SUM(OFFSET('2.3家乡建筑'!$N32,,,VALUE(LEFT(AA11,2)))),)</f>
        <v>0</v>
      </c>
      <c r="AB334">
        <f ca="1">IF(VALUE(RIGHT(AB11,3)),VALUE(RIGHT(AB11,3))*SUM(OFFSET('2.3家乡建筑'!$N32,,,VALUE(LEFT(AB11,2)))),)</f>
        <v>0</v>
      </c>
      <c r="AC334">
        <f ca="1">IF(VALUE(RIGHT(AC11,3)),VALUE(RIGHT(AC11,3))*SUM(OFFSET('2.3家乡建筑'!$N32,,,VALUE(LEFT(AC11,2)))),)</f>
        <v>0.125</v>
      </c>
      <c r="AD334">
        <f ca="1">IF(VALUE(RIGHT(AD11,3)),VALUE(RIGHT(AD11,3))*SUM(OFFSET('2.3家乡建筑'!$N32,,,VALUE(LEFT(AD11,2)))),)</f>
        <v>0.375</v>
      </c>
      <c r="AE334">
        <f ca="1">IF(VALUE(RIGHT(AE11,3)),VALUE(RIGHT(AE11,3))*SUM(OFFSET('2.3家乡建筑'!$N32,,,VALUE(LEFT(AE11,2)))),)</f>
        <v>0.875</v>
      </c>
      <c r="AF334">
        <f ca="1">IF(VALUE(RIGHT(AF11,3)),VALUE(RIGHT(AF11,3))*SUM(OFFSET('2.3家乡建筑'!$N32,,,VALUE(LEFT(AF11,2)))),)</f>
        <v>3.75</v>
      </c>
      <c r="AG334">
        <f ca="1">IF(VALUE(RIGHT(AG11,3)),VALUE(RIGHT(AG11,3))*SUM(OFFSET('2.3家乡建筑'!$N32,,,VALUE(LEFT(AG11,2)))),)</f>
        <v>11.625</v>
      </c>
      <c r="AH334">
        <f ca="1">IF(VALUE(RIGHT(AH11,3)),VALUE(RIGHT(AH11,3))*SUM(OFFSET('2.3家乡建筑'!$N32,,,VALUE(LEFT(AH11,2)))),)</f>
        <v>25.5</v>
      </c>
      <c r="AI334">
        <f ca="1">IF(VALUE(RIGHT(AI11,3)),VALUE(RIGHT(AI11,3))*SUM(OFFSET('2.3家乡建筑'!$N32,,,VALUE(LEFT(AI11,2)))),)</f>
        <v>37.5</v>
      </c>
      <c r="AJ334">
        <f ca="1">IF(VALUE(RIGHT(AJ11,3)),VALUE(RIGHT(AJ11,3))*SUM(OFFSET('2.3家乡建筑'!$N32,,,VALUE(LEFT(AJ11,2)))),)</f>
        <v>50.5</v>
      </c>
      <c r="AK334">
        <f ca="1">IF(VALUE(RIGHT(AK11,3)),VALUE(RIGHT(AK11,3))*SUM(OFFSET('2.3家乡建筑'!$N32,,,VALUE(LEFT(AK11,2)))),)</f>
        <v>89.5</v>
      </c>
      <c r="AL334">
        <f ca="1">IF(VALUE(RIGHT(AL11,3)),VALUE(RIGHT(AL11,3))*SUM(OFFSET('2.3家乡建筑'!$N32,,,VALUE(LEFT(AL11,2)))),)</f>
        <v>162.5</v>
      </c>
      <c r="AM334">
        <f ca="1">IF(VALUE(RIGHT(AM11,3)),VALUE(RIGHT(AM11,3))*SUM(OFFSET('2.3家乡建筑'!$N32,,,VALUE(LEFT(AM11,2)))),)</f>
        <v>210.5</v>
      </c>
      <c r="AN334">
        <f ca="1">IF(VALUE(RIGHT(AN11,3)),VALUE(RIGHT(AN11,3))*SUM(OFFSET('2.3家乡建筑'!$N32,,,VALUE(LEFT(AN11,2)))),)</f>
        <v>274.5</v>
      </c>
      <c r="AO334">
        <f ca="1">IF(VALUE(RIGHT(AO11,3)),VALUE(RIGHT(AO11,3))*SUM(OFFSET('2.3家乡建筑'!$N32,,,VALUE(LEFT(AO11,2)))),)</f>
        <v>346.5</v>
      </c>
      <c r="AX334">
        <v>12000</v>
      </c>
      <c r="AY334" t="s">
        <v>4751</v>
      </c>
      <c r="AZ334" t="s">
        <v>6035</v>
      </c>
      <c r="BA334" t="s">
        <v>2953</v>
      </c>
      <c r="BB334">
        <v>0</v>
      </c>
      <c r="CP334" s="40">
        <v>68</v>
      </c>
      <c r="CQ334" s="41" t="s">
        <v>3215</v>
      </c>
      <c r="CR334" s="41" t="s">
        <v>6078</v>
      </c>
      <c r="CS334" s="41">
        <v>100</v>
      </c>
      <c r="CT334" s="41">
        <v>8</v>
      </c>
      <c r="CU334" s="41">
        <v>270</v>
      </c>
      <c r="CV334" s="41">
        <v>10</v>
      </c>
      <c r="CW334" s="41" t="s">
        <v>4706</v>
      </c>
      <c r="CX334" s="41" t="s">
        <v>4716</v>
      </c>
      <c r="CY334" s="40" t="s">
        <v>4717</v>
      </c>
    </row>
    <row r="335" spans="25:103" ht="14.6">
      <c r="Y335" s="12" t="s">
        <v>26</v>
      </c>
      <c r="AA335">
        <f ca="1">IF(VALUE(RIGHT(AA12,3)),VALUE(RIGHT(AA12,3))*SUM(OFFSET('2.3家乡建筑'!$W31,,,VALUE(LEFT(AA12,2)))),)</f>
        <v>0</v>
      </c>
      <c r="AB335">
        <f ca="1">IF(VALUE(RIGHT(AB12,3)),VALUE(RIGHT(AB12,3))*SUM(OFFSET('2.3家乡建筑'!$W31,,,VALUE(LEFT(AB12,2)))),)</f>
        <v>0</v>
      </c>
      <c r="AC335">
        <f ca="1">IF(VALUE(RIGHT(AC12,3)),VALUE(RIGHT(AC12,3))*SUM(OFFSET('2.3家乡建筑'!$W31,,,VALUE(LEFT(AC12,2)))),)</f>
        <v>0</v>
      </c>
      <c r="AD335">
        <f ca="1">IF(VALUE(RIGHT(AD12,3)),VALUE(RIGHT(AD12,3))*SUM(OFFSET('2.3家乡建筑'!$W31,,,VALUE(LEFT(AD12,2)))),)</f>
        <v>0.625</v>
      </c>
      <c r="AE335">
        <f ca="1">IF(VALUE(RIGHT(AE12,3)),VALUE(RIGHT(AE12,3))*SUM(OFFSET('2.3家乡建筑'!$W31,,,VALUE(LEFT(AE12,2)))),)</f>
        <v>1.291666666666667</v>
      </c>
      <c r="AF335">
        <f ca="1">IF(VALUE(RIGHT(AF12,3)),VALUE(RIGHT(AF12,3))*SUM(OFFSET('2.3家乡建筑'!$W31,,,VALUE(LEFT(AF12,2)))),)</f>
        <v>4.5833333333333339</v>
      </c>
      <c r="AG335">
        <f ca="1">IF(VALUE(RIGHT(AG12,3)),VALUE(RIGHT(AG12,3))*SUM(OFFSET('2.3家乡建筑'!$W31,,,VALUE(LEFT(AG12,2)))),)</f>
        <v>11.375</v>
      </c>
      <c r="AH335">
        <f ca="1">IF(VALUE(RIGHT(AH12,3)),VALUE(RIGHT(AH12,3))*SUM(OFFSET('2.3家乡建筑'!$W31,,,VALUE(LEFT(AH12,2)))),)</f>
        <v>17.375</v>
      </c>
      <c r="AI335">
        <f ca="1">IF(VALUE(RIGHT(AI12,3)),VALUE(RIGHT(AI12,3))*SUM(OFFSET('2.3家乡建筑'!$W31,,,VALUE(LEFT(AI12,2)))),)</f>
        <v>35.166666666666671</v>
      </c>
      <c r="AJ335">
        <f ca="1">IF(VALUE(RIGHT(AJ12,3)),VALUE(RIGHT(AJ12,3))*SUM(OFFSET('2.3家乡建筑'!$W31,,,VALUE(LEFT(AJ12,2)))),)</f>
        <v>52.166666666666671</v>
      </c>
      <c r="AK335">
        <f ca="1">IF(VALUE(RIGHT(AK12,3)),VALUE(RIGHT(AK12,3))*SUM(OFFSET('2.3家乡建筑'!$W31,,,VALUE(LEFT(AK12,2)))),)</f>
        <v>77.166666666666671</v>
      </c>
      <c r="AL335">
        <f ca="1">IF(VALUE(RIGHT(AL12,3)),VALUE(RIGHT(AL12,3))*SUM(OFFSET('2.3家乡建筑'!$W31,,,VALUE(LEFT(AL12,2)))),)</f>
        <v>116.16666666666667</v>
      </c>
      <c r="AM335">
        <f ca="1">IF(VALUE(RIGHT(AM12,3)),VALUE(RIGHT(AM12,3))*SUM(OFFSET('2.3家乡建筑'!$W31,,,VALUE(LEFT(AM12,2)))),)</f>
        <v>164.16666666666669</v>
      </c>
      <c r="AN335">
        <f ca="1">IF(VALUE(RIGHT(AN12,3)),VALUE(RIGHT(AN12,3))*SUM(OFFSET('2.3家乡建筑'!$W31,,,VALUE(LEFT(AN12,2)))),)</f>
        <v>232.16666666666669</v>
      </c>
      <c r="AO335">
        <f ca="1">IF(VALUE(RIGHT(AO12,3)),VALUE(RIGHT(AO12,3))*SUM(OFFSET('2.3家乡建筑'!$W31,,,VALUE(LEFT(AO12,2)))),)</f>
        <v>304.16666666666669</v>
      </c>
      <c r="AX335">
        <v>20000</v>
      </c>
      <c r="AY335" t="s">
        <v>4865</v>
      </c>
      <c r="AZ335" t="s">
        <v>4747</v>
      </c>
      <c r="BA335" t="s">
        <v>4823</v>
      </c>
      <c r="BB335">
        <v>0</v>
      </c>
      <c r="CP335" s="40">
        <v>69</v>
      </c>
      <c r="CQ335" s="41" t="s">
        <v>3208</v>
      </c>
      <c r="CR335" s="41" t="s">
        <v>6079</v>
      </c>
      <c r="CS335" s="41">
        <v>100</v>
      </c>
      <c r="CT335" s="41">
        <v>8</v>
      </c>
      <c r="CU335" s="41">
        <v>270</v>
      </c>
      <c r="CV335" s="41">
        <v>10</v>
      </c>
      <c r="CW335" s="41" t="s">
        <v>4706</v>
      </c>
      <c r="CX335" s="41" t="s">
        <v>4716</v>
      </c>
      <c r="CY335" s="40" t="s">
        <v>4717</v>
      </c>
    </row>
    <row r="336" spans="25:103" ht="14.6">
      <c r="Y336" s="12" t="s">
        <v>32</v>
      </c>
      <c r="AA336">
        <f ca="1">IF(VALUE(RIGHT(AA13,3)),VALUE(RIGHT(AA13,3))*SUM(OFFSET('2.3家乡建筑'!$AH30,,,VALUE(LEFT(AA13,2)))),)</f>
        <v>0</v>
      </c>
      <c r="AB336">
        <f ca="1">IF(VALUE(RIGHT(AB13,3)),VALUE(RIGHT(AB13,3))*SUM(OFFSET('2.3家乡建筑'!$AH30,,,VALUE(LEFT(AB13,2)))),)</f>
        <v>0</v>
      </c>
      <c r="AC336">
        <f ca="1">IF(VALUE(RIGHT(AC13,3)),VALUE(RIGHT(AC13,3))*SUM(OFFSET('2.3家乡建筑'!$AH30,,,VALUE(LEFT(AC13,2)))),)</f>
        <v>0</v>
      </c>
      <c r="AD336">
        <f ca="1">IF(VALUE(RIGHT(AD13,3)),VALUE(RIGHT(AD13,3))*SUM(OFFSET('2.3家乡建筑'!$AH30,,,VALUE(LEFT(AD13,2)))),)</f>
        <v>0</v>
      </c>
      <c r="AE336">
        <f ca="1">IF(VALUE(RIGHT(AE13,3)),VALUE(RIGHT(AE13,3))*SUM(OFFSET('2.3家乡建筑'!$AH30,,,VALUE(LEFT(AE13,2)))),)</f>
        <v>0.45833333333333298</v>
      </c>
      <c r="AF336">
        <f ca="1">IF(VALUE(RIGHT(AF13,3)),VALUE(RIGHT(AF13,3))*SUM(OFFSET('2.3家乡建筑'!$AH30,,,VALUE(LEFT(AF13,2)))),)</f>
        <v>1.9166666666666661</v>
      </c>
      <c r="AG336">
        <f ca="1">IF(VALUE(RIGHT(AG13,3)),VALUE(RIGHT(AG13,3))*SUM(OFFSET('2.3家乡建筑'!$AH30,,,VALUE(LEFT(AG13,2)))),)</f>
        <v>3.4166666666666661</v>
      </c>
      <c r="AH336">
        <f ca="1">IF(VALUE(RIGHT(AH13,3)),VALUE(RIGHT(AH13,3))*SUM(OFFSET('2.3家乡建筑'!$AH30,,,VALUE(LEFT(AH13,2)))),)</f>
        <v>12.625</v>
      </c>
      <c r="AI336">
        <f ca="1">IF(VALUE(RIGHT(AI13,3)),VALUE(RIGHT(AI13,3))*SUM(OFFSET('2.3家乡建筑'!$AH30,,,VALUE(LEFT(AI13,2)))),)</f>
        <v>24.833333333333332</v>
      </c>
      <c r="AJ336">
        <f ca="1">IF(VALUE(RIGHT(AJ13,3)),VALUE(RIGHT(AJ13,3))*SUM(OFFSET('2.3家乡建筑'!$AH30,,,VALUE(LEFT(AJ13,2)))),)</f>
        <v>57.833333333333329</v>
      </c>
      <c r="AK336">
        <f ca="1">IF(VALUE(RIGHT(AK13,3)),VALUE(RIGHT(AK13,3))*SUM(OFFSET('2.3家乡建筑'!$AH30,,,VALUE(LEFT(AK13,2)))),)</f>
        <v>104.79166666666666</v>
      </c>
      <c r="AL336">
        <f ca="1">IF(VALUE(RIGHT(AL13,3)),VALUE(RIGHT(AL13,3))*SUM(OFFSET('2.3家乡建筑'!$AH30,,,VALUE(LEFT(AL13,2)))),)</f>
        <v>153.54166666666666</v>
      </c>
      <c r="AM336">
        <f ca="1">IF(VALUE(RIGHT(AM13,3)),VALUE(RIGHT(AM13,3))*SUM(OFFSET('2.3家乡建筑'!$AH30,,,VALUE(LEFT(AM13,2)))),)</f>
        <v>277.29166666666663</v>
      </c>
      <c r="AN336">
        <f ca="1">IF(VALUE(RIGHT(AN13,3)),VALUE(RIGHT(AN13,3))*SUM(OFFSET('2.3家乡建筑'!$AH30,,,VALUE(LEFT(AN13,2)))),)</f>
        <v>362.29166666666663</v>
      </c>
      <c r="AO336">
        <f ca="1">IF(VALUE(RIGHT(AO13,3)),VALUE(RIGHT(AO13,3))*SUM(OFFSET('2.3家乡建筑'!$AH30,,,VALUE(LEFT(AO13,2)))),)</f>
        <v>452.29166666666663</v>
      </c>
      <c r="AX336">
        <v>500</v>
      </c>
      <c r="AY336" t="s">
        <v>5920</v>
      </c>
      <c r="AZ336" t="s">
        <v>6069</v>
      </c>
      <c r="BA336" t="s">
        <v>5411</v>
      </c>
      <c r="BB336">
        <v>0</v>
      </c>
      <c r="CP336" s="40">
        <v>70</v>
      </c>
      <c r="CQ336" s="41" t="s">
        <v>3799</v>
      </c>
      <c r="CR336" s="41" t="s">
        <v>6080</v>
      </c>
      <c r="CS336" s="41">
        <v>75</v>
      </c>
      <c r="CT336" s="41">
        <v>3</v>
      </c>
      <c r="CU336" s="41">
        <v>6</v>
      </c>
      <c r="CV336" s="41">
        <v>5</v>
      </c>
      <c r="CW336" s="41" t="s">
        <v>4706</v>
      </c>
      <c r="CX336" s="41" t="s">
        <v>4716</v>
      </c>
      <c r="CY336" s="40" t="s">
        <v>3096</v>
      </c>
    </row>
    <row r="337" spans="25:103" ht="14.6">
      <c r="Y337" s="12" t="s">
        <v>38</v>
      </c>
      <c r="AA337">
        <f ca="1">IF(VALUE(RIGHT(AA14,3)),VALUE(RIGHT(AA14,3))*SUM(OFFSET('2.3家乡建筑'!$L51,,,VALUE(LEFT(AA14,2)))),)</f>
        <v>0</v>
      </c>
      <c r="AB337">
        <f ca="1">IF(VALUE(RIGHT(AB14,3)),VALUE(RIGHT(AB14,3))*SUM(OFFSET('2.3家乡建筑'!$L51,,,VALUE(LEFT(AB14,2)))),)</f>
        <v>0</v>
      </c>
      <c r="AC337">
        <f ca="1">IF(VALUE(RIGHT(AC14,3)),VALUE(RIGHT(AC14,3))*SUM(OFFSET('2.3家乡建筑'!$L51,,,VALUE(LEFT(AC14,2)))),)</f>
        <v>0</v>
      </c>
      <c r="AD337">
        <f ca="1">IF(VALUE(RIGHT(AD14,3)),VALUE(RIGHT(AD14,3))*SUM(OFFSET('2.3家乡建筑'!$L51,,,VALUE(LEFT(AD14,2)))),)</f>
        <v>0</v>
      </c>
      <c r="AE337">
        <f ca="1">IF(VALUE(RIGHT(AE14,3)),VALUE(RIGHT(AE14,3))*SUM(OFFSET('2.3家乡建筑'!$L51,,,VALUE(LEFT(AE14,2)))),)</f>
        <v>0</v>
      </c>
      <c r="AF337">
        <f ca="1">IF(VALUE(RIGHT(AF14,3)),VALUE(RIGHT(AF14,3))*SUM(OFFSET('2.3家乡建筑'!$L51,,,VALUE(LEFT(AF14,2)))),)</f>
        <v>0.75</v>
      </c>
      <c r="AG337">
        <f ca="1">IF(VALUE(RIGHT(AG14,3)),VALUE(RIGHT(AG14,3))*SUM(OFFSET('2.3家乡建筑'!$L51,,,VALUE(LEFT(AG14,2)))),)</f>
        <v>1.5</v>
      </c>
      <c r="AH337">
        <f ca="1">IF(VALUE(RIGHT(AH14,3)),VALUE(RIGHT(AH14,3))*SUM(OFFSET('2.3家乡建筑'!$L51,,,VALUE(LEFT(AH14,2)))),)</f>
        <v>2.5</v>
      </c>
      <c r="AI337">
        <f ca="1">IF(VALUE(RIGHT(AI14,3)),VALUE(RIGHT(AI14,3))*SUM(OFFSET('2.3家乡建筑'!$L51,,,VALUE(LEFT(AI14,2)))),)</f>
        <v>9</v>
      </c>
      <c r="AJ337">
        <f ca="1">IF(VALUE(RIGHT(AJ14,3)),VALUE(RIGHT(AJ14,3))*SUM(OFFSET('2.3家乡建筑'!$L51,,,VALUE(LEFT(AJ14,2)))),)</f>
        <v>14</v>
      </c>
      <c r="AK337">
        <f ca="1">IF(VALUE(RIGHT(AK14,3)),VALUE(RIGHT(AK14,3))*SUM(OFFSET('2.3家乡建筑'!$L51,,,VALUE(LEFT(AK14,2)))),)</f>
        <v>21</v>
      </c>
      <c r="AL337">
        <f ca="1">IF(VALUE(RIGHT(AL14,3)),VALUE(RIGHT(AL14,3))*SUM(OFFSET('2.3家乡建筑'!$L51,,,VALUE(LEFT(AL14,2)))),)</f>
        <v>21</v>
      </c>
      <c r="AM337">
        <f ca="1">IF(VALUE(RIGHT(AM14,3)),VALUE(RIGHT(AM14,3))*SUM(OFFSET('2.3家乡建筑'!$L51,,,VALUE(LEFT(AM14,2)))),)</f>
        <v>21</v>
      </c>
      <c r="AN337">
        <f ca="1">IF(VALUE(RIGHT(AN14,3)),VALUE(RIGHT(AN14,3))*SUM(OFFSET('2.3家乡建筑'!$L51,,,VALUE(LEFT(AN14,2)))),)</f>
        <v>21</v>
      </c>
      <c r="AO337">
        <f ca="1">IF(VALUE(RIGHT(AO14,3)),VALUE(RIGHT(AO14,3))*SUM(OFFSET('2.3家乡建筑'!$L51,,,VALUE(LEFT(AO14,2)))),)</f>
        <v>21</v>
      </c>
      <c r="AX337">
        <v>1000</v>
      </c>
      <c r="AY337" t="s">
        <v>6033</v>
      </c>
      <c r="AZ337" t="s">
        <v>4769</v>
      </c>
      <c r="BA337" t="s">
        <v>4878</v>
      </c>
      <c r="BB337">
        <v>0</v>
      </c>
      <c r="CP337" s="40">
        <v>71</v>
      </c>
      <c r="CQ337" s="41" t="s">
        <v>3791</v>
      </c>
      <c r="CR337" s="41" t="s">
        <v>6081</v>
      </c>
      <c r="CS337" s="41">
        <v>75</v>
      </c>
      <c r="CT337" s="41">
        <v>3</v>
      </c>
      <c r="CU337" s="41">
        <v>6</v>
      </c>
      <c r="CV337" s="41">
        <v>5</v>
      </c>
      <c r="CW337" s="41" t="s">
        <v>4706</v>
      </c>
      <c r="CX337" s="41" t="s">
        <v>4716</v>
      </c>
      <c r="CY337" s="40" t="s">
        <v>3096</v>
      </c>
    </row>
    <row r="338" spans="25:103" ht="14.6">
      <c r="Y338" s="12" t="s">
        <v>43</v>
      </c>
      <c r="AA338">
        <f ca="1">IF(VALUE(RIGHT(AA15,3)),VALUE(RIGHT(AA15,3))*SUM(OFFSET('2.3家乡建筑'!$W47,,,VALUE(LEFT(AA15,2)))),)</f>
        <v>0</v>
      </c>
      <c r="AB338">
        <f ca="1">IF(VALUE(RIGHT(AB15,3)),VALUE(RIGHT(AB15,3))*SUM(OFFSET('2.3家乡建筑'!$W47,,,VALUE(LEFT(AB15,2)))),)</f>
        <v>0</v>
      </c>
      <c r="AC338">
        <f ca="1">IF(VALUE(RIGHT(AC15,3)),VALUE(RIGHT(AC15,3))*SUM(OFFSET('2.3家乡建筑'!$W47,,,VALUE(LEFT(AC15,2)))),)</f>
        <v>0</v>
      </c>
      <c r="AD338">
        <f ca="1">IF(VALUE(RIGHT(AD15,3)),VALUE(RIGHT(AD15,3))*SUM(OFFSET('2.3家乡建筑'!$W47,,,VALUE(LEFT(AD15,2)))),)</f>
        <v>0</v>
      </c>
      <c r="AE338">
        <f ca="1">IF(VALUE(RIGHT(AE15,3)),VALUE(RIGHT(AE15,3))*SUM(OFFSET('2.3家乡建筑'!$W47,,,VALUE(LEFT(AE15,2)))),)</f>
        <v>0</v>
      </c>
      <c r="AF338">
        <f ca="1">IF(VALUE(RIGHT(AF15,3)),VALUE(RIGHT(AF15,3))*SUM(OFFSET('2.3家乡建筑'!$W47,,,VALUE(LEFT(AF15,2)))),)</f>
        <v>0</v>
      </c>
      <c r="AG338">
        <f ca="1">IF(VALUE(RIGHT(AG15,3)),VALUE(RIGHT(AG15,3))*SUM(OFFSET('2.3家乡建筑'!$W47,,,VALUE(LEFT(AG15,2)))),)</f>
        <v>1.4166666666666665</v>
      </c>
      <c r="AH338">
        <f ca="1">IF(VALUE(RIGHT(AH15,3)),VALUE(RIGHT(AH15,3))*SUM(OFFSET('2.3家乡建筑'!$W47,,,VALUE(LEFT(AH15,2)))),)</f>
        <v>13.375</v>
      </c>
      <c r="AI338">
        <f ca="1">IF(VALUE(RIGHT(AI15,3)),VALUE(RIGHT(AI15,3))*SUM(OFFSET('2.3家乡建筑'!$W47,,,VALUE(LEFT(AI15,2)))),)</f>
        <v>29.833333333333332</v>
      </c>
      <c r="AJ338">
        <f ca="1">IF(VALUE(RIGHT(AJ15,3)),VALUE(RIGHT(AJ15,3))*SUM(OFFSET('2.3家乡建筑'!$W47,,,VALUE(LEFT(AJ15,2)))),)</f>
        <v>56.500000000000014</v>
      </c>
      <c r="AK338">
        <f ca="1">IF(VALUE(RIGHT(AK15,3)),VALUE(RIGHT(AK15,3))*SUM(OFFSET('2.3家乡建筑'!$W47,,,VALUE(LEFT(AK15,2)))),)</f>
        <v>78.500000000000014</v>
      </c>
      <c r="AL338">
        <f ca="1">IF(VALUE(RIGHT(AL15,3)),VALUE(RIGHT(AL15,3))*SUM(OFFSET('2.3家乡建筑'!$W47,,,VALUE(LEFT(AL15,2)))),)</f>
        <v>146.87500000000003</v>
      </c>
      <c r="AM338">
        <f ca="1">IF(VALUE(RIGHT(AM15,3)),VALUE(RIGHT(AM15,3))*SUM(OFFSET('2.3家乡建筑'!$W47,,,VALUE(LEFT(AM15,2)))),)</f>
        <v>270.625</v>
      </c>
      <c r="AN338">
        <f ca="1">IF(VALUE(RIGHT(AN15,3)),VALUE(RIGHT(AN15,3))*SUM(OFFSET('2.3家乡建筑'!$W47,,,VALUE(LEFT(AN15,2)))),)</f>
        <v>355.625</v>
      </c>
      <c r="AO338">
        <f ca="1">IF(VALUE(RIGHT(AO15,3)),VALUE(RIGHT(AO15,3))*SUM(OFFSET('2.3家乡建筑'!$W47,,,VALUE(LEFT(AO15,2)))),)</f>
        <v>355.625</v>
      </c>
      <c r="AX338">
        <v>2000</v>
      </c>
      <c r="AY338" t="s">
        <v>4713</v>
      </c>
      <c r="AZ338" t="s">
        <v>5467</v>
      </c>
      <c r="BA338" t="s">
        <v>4739</v>
      </c>
      <c r="BB338">
        <v>0</v>
      </c>
      <c r="CP338" s="40">
        <v>72</v>
      </c>
      <c r="CQ338" s="41" t="s">
        <v>3814</v>
      </c>
      <c r="CR338" s="41" t="s">
        <v>6082</v>
      </c>
      <c r="CS338" s="41">
        <v>75</v>
      </c>
      <c r="CT338" s="41">
        <v>3</v>
      </c>
      <c r="CU338" s="41">
        <v>6</v>
      </c>
      <c r="CV338" s="41">
        <v>5</v>
      </c>
      <c r="CW338" s="41" t="s">
        <v>4706</v>
      </c>
      <c r="CX338" s="41" t="s">
        <v>4716</v>
      </c>
      <c r="CY338" s="40" t="s">
        <v>3096</v>
      </c>
    </row>
    <row r="339" spans="25:103" ht="14.6">
      <c r="Y339" s="12" t="s">
        <v>49</v>
      </c>
      <c r="AA339">
        <f ca="1">IF(VALUE(RIGHT(AA16,3)),VALUE(RIGHT(AA16,3))*SUM(OFFSET('2.3家乡建筑'!$AI47,,,VALUE(LEFT(AA16,2)))),)</f>
        <v>0</v>
      </c>
      <c r="AB339">
        <f ca="1">IF(VALUE(RIGHT(AB16,3)),VALUE(RIGHT(AB16,3))*SUM(OFFSET('2.3家乡建筑'!$AI47,,,VALUE(LEFT(AB16,2)))),)</f>
        <v>0</v>
      </c>
      <c r="AC339">
        <f ca="1">IF(VALUE(RIGHT(AC16,3)),VALUE(RIGHT(AC16,3))*SUM(OFFSET('2.3家乡建筑'!$AI47,,,VALUE(LEFT(AC16,2)))),)</f>
        <v>0</v>
      </c>
      <c r="AD339">
        <f ca="1">IF(VALUE(RIGHT(AD16,3)),VALUE(RIGHT(AD16,3))*SUM(OFFSET('2.3家乡建筑'!$AI47,,,VALUE(LEFT(AD16,2)))),)</f>
        <v>0</v>
      </c>
      <c r="AE339">
        <f ca="1">IF(VALUE(RIGHT(AE16,3)),VALUE(RIGHT(AE16,3))*SUM(OFFSET('2.3家乡建筑'!$AI47,,,VALUE(LEFT(AE16,2)))),)</f>
        <v>0</v>
      </c>
      <c r="AF339">
        <f ca="1">IF(VALUE(RIGHT(AF16,3)),VALUE(RIGHT(AF16,3))*SUM(OFFSET('2.3家乡建筑'!$AI47,,,VALUE(LEFT(AF16,2)))),)</f>
        <v>0</v>
      </c>
      <c r="AG339">
        <f ca="1">IF(VALUE(RIGHT(AG16,3)),VALUE(RIGHT(AG16,3))*SUM(OFFSET('2.3家乡建筑'!$AI47,,,VALUE(LEFT(AG16,2)))),)</f>
        <v>0</v>
      </c>
      <c r="AH339">
        <f ca="1">IF(VALUE(RIGHT(AH16,3)),VALUE(RIGHT(AH16,3))*SUM(OFFSET('2.3家乡建筑'!$AI47,,,VALUE(LEFT(AH16,2)))),)</f>
        <v>2.5</v>
      </c>
      <c r="AI339">
        <f ca="1">IF(VALUE(RIGHT(AI16,3)),VALUE(RIGHT(AI16,3))*SUM(OFFSET('2.3家乡建筑'!$AI47,,,VALUE(LEFT(AI16,2)))),)</f>
        <v>4.5</v>
      </c>
      <c r="AJ339">
        <f ca="1">IF(VALUE(RIGHT(AJ16,3)),VALUE(RIGHT(AJ16,3))*SUM(OFFSET('2.3家乡建筑'!$AI47,,,VALUE(LEFT(AJ16,2)))),)</f>
        <v>16</v>
      </c>
      <c r="AK339">
        <f ca="1">IF(VALUE(RIGHT(AK16,3)),VALUE(RIGHT(AK16,3))*SUM(OFFSET('2.3家乡建筑'!$AI47,,,VALUE(LEFT(AK16,2)))),)</f>
        <v>37</v>
      </c>
      <c r="AL339">
        <f ca="1">IF(VALUE(RIGHT(AL16,3)),VALUE(RIGHT(AL16,3))*SUM(OFFSET('2.3家乡建筑'!$AI47,,,VALUE(LEFT(AL16,2)))),)</f>
        <v>56.5</v>
      </c>
      <c r="AM339">
        <f ca="1">IF(VALUE(RIGHT(AM16,3)),VALUE(RIGHT(AM16,3))*SUM(OFFSET('2.3家乡建筑'!$AI47,,,VALUE(LEFT(AM16,2)))),)</f>
        <v>80.5</v>
      </c>
      <c r="AN339">
        <f ca="1">IF(VALUE(RIGHT(AN16,3)),VALUE(RIGHT(AN16,3))*SUM(OFFSET('2.3家乡建筑'!$AI47,,,VALUE(LEFT(AN16,2)))),)</f>
        <v>114.5</v>
      </c>
      <c r="AO339">
        <f ca="1">IF(VALUE(RIGHT(AO16,3)),VALUE(RIGHT(AO16,3))*SUM(OFFSET('2.3家乡建筑'!$AI47,,,VALUE(LEFT(AO16,2)))),)</f>
        <v>150.5</v>
      </c>
      <c r="AX339">
        <v>3500</v>
      </c>
      <c r="AY339" t="s">
        <v>6035</v>
      </c>
      <c r="AZ339" t="s">
        <v>6034</v>
      </c>
      <c r="BA339" t="s">
        <v>4795</v>
      </c>
      <c r="BB339">
        <v>0</v>
      </c>
      <c r="CP339" s="40">
        <v>73</v>
      </c>
      <c r="CQ339" s="41" t="s">
        <v>3819</v>
      </c>
      <c r="CR339" s="41" t="s">
        <v>6083</v>
      </c>
      <c r="CS339" s="41">
        <v>75</v>
      </c>
      <c r="CT339" s="41">
        <v>3</v>
      </c>
      <c r="CU339" s="41">
        <v>6</v>
      </c>
      <c r="CV339" s="41">
        <v>5</v>
      </c>
      <c r="CW339" s="41" t="s">
        <v>4706</v>
      </c>
      <c r="CX339" s="41" t="s">
        <v>4716</v>
      </c>
      <c r="CY339" s="40" t="s">
        <v>3096</v>
      </c>
    </row>
    <row r="340" spans="25:103" ht="14.6">
      <c r="Y340" s="12" t="s">
        <v>54</v>
      </c>
      <c r="AA340">
        <f ca="1">IF(VALUE(RIGHT(AA17,3)),VALUE(RIGHT(AA17,3))*SUM(OFFSET('2.3家乡建筑'!$M64,,,VALUE(LEFT(AA17,2)))),)</f>
        <v>0</v>
      </c>
      <c r="AB340">
        <f ca="1">IF(VALUE(RIGHT(AB17,3)),VALUE(RIGHT(AB17,3))*SUM(OFFSET('2.3家乡建筑'!$M64,,,VALUE(LEFT(AB17,2)))),)</f>
        <v>0</v>
      </c>
      <c r="AC340">
        <f ca="1">IF(VALUE(RIGHT(AC17,3)),VALUE(RIGHT(AC17,3))*SUM(OFFSET('2.3家乡建筑'!$M64,,,VALUE(LEFT(AC17,2)))),)</f>
        <v>0</v>
      </c>
      <c r="AD340">
        <f ca="1">IF(VALUE(RIGHT(AD17,3)),VALUE(RIGHT(AD17,3))*SUM(OFFSET('2.3家乡建筑'!$M64,,,VALUE(LEFT(AD17,2)))),)</f>
        <v>0</v>
      </c>
      <c r="AE340">
        <f ca="1">IF(VALUE(RIGHT(AE17,3)),VALUE(RIGHT(AE17,3))*SUM(OFFSET('2.3家乡建筑'!$M64,,,VALUE(LEFT(AE17,2)))),)</f>
        <v>0</v>
      </c>
      <c r="AF340">
        <f ca="1">IF(VALUE(RIGHT(AF17,3)),VALUE(RIGHT(AF17,3))*SUM(OFFSET('2.3家乡建筑'!$M64,,,VALUE(LEFT(AF17,2)))),)</f>
        <v>0</v>
      </c>
      <c r="AG340">
        <f ca="1">IF(VALUE(RIGHT(AG17,3)),VALUE(RIGHT(AG17,3))*SUM(OFFSET('2.3家乡建筑'!$M64,,,VALUE(LEFT(AG17,2)))),)</f>
        <v>0</v>
      </c>
      <c r="AH340">
        <f ca="1">IF(VALUE(RIGHT(AH17,3)),VALUE(RIGHT(AH17,3))*SUM(OFFSET('2.3家乡建筑'!$M64,,,VALUE(LEFT(AH17,2)))),)</f>
        <v>0</v>
      </c>
      <c r="AI340">
        <f ca="1">IF(VALUE(RIGHT(AI17,3)),VALUE(RIGHT(AI17,3))*SUM(OFFSET('2.3家乡建筑'!$M64,,,VALUE(LEFT(AI17,2)))),)</f>
        <v>22</v>
      </c>
      <c r="AJ340">
        <f ca="1">IF(VALUE(RIGHT(AJ17,3)),VALUE(RIGHT(AJ17,3))*SUM(OFFSET('2.3家乡建筑'!$M64,,,VALUE(LEFT(AJ17,2)))),)</f>
        <v>48.75</v>
      </c>
      <c r="AK340">
        <f ca="1">IF(VALUE(RIGHT(AK17,3)),VALUE(RIGHT(AK17,3))*SUM(OFFSET('2.3家乡建筑'!$M64,,,VALUE(LEFT(AK17,2)))),)</f>
        <v>90</v>
      </c>
      <c r="AL340">
        <f ca="1">IF(VALUE(RIGHT(AL17,3)),VALUE(RIGHT(AL17,3))*SUM(OFFSET('2.3家乡建筑'!$M64,,,VALUE(LEFT(AL17,2)))),)</f>
        <v>129</v>
      </c>
      <c r="AM340">
        <f ca="1">IF(VALUE(RIGHT(AM17,3)),VALUE(RIGHT(AM17,3))*SUM(OFFSET('2.3家乡建筑'!$M64,,,VALUE(LEFT(AM17,2)))),)</f>
        <v>228</v>
      </c>
      <c r="AN340">
        <f ca="1">IF(VALUE(RIGHT(AN17,3)),VALUE(RIGHT(AN17,3))*SUM(OFFSET('2.3家乡建筑'!$M64,,,VALUE(LEFT(AN17,2)))),)</f>
        <v>300</v>
      </c>
      <c r="AO340">
        <f ca="1">IF(VALUE(RIGHT(AO17,3)),VALUE(RIGHT(AO17,3))*SUM(OFFSET('2.3家乡建筑'!$M64,,,VALUE(LEFT(AO17,2)))),)</f>
        <v>376</v>
      </c>
      <c r="AX340">
        <v>5000</v>
      </c>
      <c r="AY340" t="s">
        <v>4865</v>
      </c>
      <c r="AZ340" t="s">
        <v>4737</v>
      </c>
      <c r="BA340" t="s">
        <v>4747</v>
      </c>
      <c r="BB340">
        <v>0</v>
      </c>
      <c r="CP340" s="40">
        <v>74</v>
      </c>
      <c r="CQ340" s="41" t="s">
        <v>3824</v>
      </c>
      <c r="CR340" s="41" t="s">
        <v>6084</v>
      </c>
      <c r="CS340" s="41">
        <v>75</v>
      </c>
      <c r="CT340" s="41">
        <v>3</v>
      </c>
      <c r="CU340" s="41">
        <v>6</v>
      </c>
      <c r="CV340" s="41">
        <v>5</v>
      </c>
      <c r="CW340" s="41" t="s">
        <v>4706</v>
      </c>
      <c r="CX340" s="41" t="s">
        <v>4716</v>
      </c>
      <c r="CY340" s="40" t="s">
        <v>3096</v>
      </c>
    </row>
    <row r="341" spans="25:103" ht="14.6">
      <c r="Y341" s="12" t="s">
        <v>59</v>
      </c>
      <c r="AA341">
        <f ca="1">IF(VALUE(RIGHT(AA18,3)),VALUE(RIGHT(AA18,3))*SUM(OFFSET('2.3家乡建筑'!$Y64,,,VALUE(LEFT(AA18,2)))),)</f>
        <v>0</v>
      </c>
      <c r="AB341">
        <f ca="1">IF(VALUE(RIGHT(AB18,3)),VALUE(RIGHT(AB18,3))*SUM(OFFSET('2.3家乡建筑'!$Y64,,,VALUE(LEFT(AB18,2)))),)</f>
        <v>0</v>
      </c>
      <c r="AC341">
        <f ca="1">IF(VALUE(RIGHT(AC18,3)),VALUE(RIGHT(AC18,3))*SUM(OFFSET('2.3家乡建筑'!$Y64,,,VALUE(LEFT(AC18,2)))),)</f>
        <v>0</v>
      </c>
      <c r="AD341">
        <f ca="1">IF(VALUE(RIGHT(AD18,3)),VALUE(RIGHT(AD18,3))*SUM(OFFSET('2.3家乡建筑'!$Y64,,,VALUE(LEFT(AD18,2)))),)</f>
        <v>0</v>
      </c>
      <c r="AE341">
        <f ca="1">IF(VALUE(RIGHT(AE18,3)),VALUE(RIGHT(AE18,3))*SUM(OFFSET('2.3家乡建筑'!$Y64,,,VALUE(LEFT(AE18,2)))),)</f>
        <v>0</v>
      </c>
      <c r="AF341">
        <f ca="1">IF(VALUE(RIGHT(AF18,3)),VALUE(RIGHT(AF18,3))*SUM(OFFSET('2.3家乡建筑'!$Y64,,,VALUE(LEFT(AF18,2)))),)</f>
        <v>0</v>
      </c>
      <c r="AG341">
        <f ca="1">IF(VALUE(RIGHT(AG18,3)),VALUE(RIGHT(AG18,3))*SUM(OFFSET('2.3家乡建筑'!$Y64,,,VALUE(LEFT(AG18,2)))),)</f>
        <v>0</v>
      </c>
      <c r="AH341">
        <f ca="1">IF(VALUE(RIGHT(AH18,3)),VALUE(RIGHT(AH18,3))*SUM(OFFSET('2.3家乡建筑'!$Y64,,,VALUE(LEFT(AH18,2)))),)</f>
        <v>0</v>
      </c>
      <c r="AI341">
        <f ca="1">IF(VALUE(RIGHT(AI18,3)),VALUE(RIGHT(AI18,3))*SUM(OFFSET('2.3家乡建筑'!$Y64,,,VALUE(LEFT(AI18,2)))),)</f>
        <v>0</v>
      </c>
      <c r="AJ341">
        <f ca="1">IF(VALUE(RIGHT(AJ18,3)),VALUE(RIGHT(AJ18,3))*SUM(OFFSET('2.3家乡建筑'!$Y64,,,VALUE(LEFT(AJ18,2)))),)</f>
        <v>20</v>
      </c>
      <c r="AK341">
        <f ca="1">IF(VALUE(RIGHT(AK18,3)),VALUE(RIGHT(AK18,3))*SUM(OFFSET('2.3家乡建筑'!$Y64,,,VALUE(LEFT(AK18,2)))),)</f>
        <v>42.5</v>
      </c>
      <c r="AL341">
        <f ca="1">IF(VALUE(RIGHT(AL18,3)),VALUE(RIGHT(AL18,3))*SUM(OFFSET('2.3家乡建筑'!$Y64,,,VALUE(LEFT(AL18,2)))),)</f>
        <v>93</v>
      </c>
      <c r="AM341">
        <f ca="1">IF(VALUE(RIGHT(AM18,3)),VALUE(RIGHT(AM18,3))*SUM(OFFSET('2.3家乡建筑'!$Y64,,,VALUE(LEFT(AM18,2)))),)</f>
        <v>131.25</v>
      </c>
      <c r="AN341">
        <f ca="1">IF(VALUE(RIGHT(AN18,3)),VALUE(RIGHT(AN18,3))*SUM(OFFSET('2.3家乡建筑'!$Y64,,,VALUE(LEFT(AN18,2)))),)</f>
        <v>185.25</v>
      </c>
      <c r="AO341">
        <f ca="1">IF(VALUE(RIGHT(AO18,3)),VALUE(RIGHT(AO18,3))*SUM(OFFSET('2.3家乡建筑'!$Y64,,,VALUE(LEFT(AO18,2)))),)</f>
        <v>242.25</v>
      </c>
      <c r="AX341">
        <v>2500</v>
      </c>
      <c r="AY341" t="s">
        <v>4737</v>
      </c>
      <c r="AZ341" t="s">
        <v>4769</v>
      </c>
      <c r="BA341" t="s">
        <v>5411</v>
      </c>
      <c r="BB341">
        <v>0</v>
      </c>
      <c r="CP341" s="40">
        <v>75</v>
      </c>
      <c r="CQ341" s="41" t="s">
        <v>3828</v>
      </c>
      <c r="CR341" s="41" t="s">
        <v>6085</v>
      </c>
      <c r="CS341" s="41">
        <v>75</v>
      </c>
      <c r="CT341" s="41">
        <v>3</v>
      </c>
      <c r="CU341" s="41">
        <v>6</v>
      </c>
      <c r="CV341" s="41">
        <v>5</v>
      </c>
      <c r="CW341" s="41" t="s">
        <v>4706</v>
      </c>
      <c r="CX341" s="41" t="s">
        <v>4716</v>
      </c>
      <c r="CY341" s="40" t="s">
        <v>3096</v>
      </c>
    </row>
    <row r="342" spans="25:103" ht="14.6">
      <c r="Y342" s="12" t="s">
        <v>63</v>
      </c>
      <c r="AA342">
        <f ca="1">IF(VALUE(RIGHT(AA19,3)),VALUE(RIGHT(AA19,3))*SUM(OFFSET('2.3家乡建筑'!$AH64,,,VALUE(LEFT(AA19,2)))),)</f>
        <v>0</v>
      </c>
      <c r="AB342">
        <f ca="1">IF(VALUE(RIGHT(AB19,3)),VALUE(RIGHT(AB19,3))*SUM(OFFSET('2.3家乡建筑'!$AH64,,,VALUE(LEFT(AB19,2)))),)</f>
        <v>0</v>
      </c>
      <c r="AC342">
        <f ca="1">IF(VALUE(RIGHT(AC19,3)),VALUE(RIGHT(AC19,3))*SUM(OFFSET('2.3家乡建筑'!$AH64,,,VALUE(LEFT(AC19,2)))),)</f>
        <v>0</v>
      </c>
      <c r="AD342">
        <f ca="1">IF(VALUE(RIGHT(AD19,3)),VALUE(RIGHT(AD19,3))*SUM(OFFSET('2.3家乡建筑'!$AH64,,,VALUE(LEFT(AD19,2)))),)</f>
        <v>0</v>
      </c>
      <c r="AE342">
        <f ca="1">IF(VALUE(RIGHT(AE19,3)),VALUE(RIGHT(AE19,3))*SUM(OFFSET('2.3家乡建筑'!$AH64,,,VALUE(LEFT(AE19,2)))),)</f>
        <v>0</v>
      </c>
      <c r="AF342">
        <f ca="1">IF(VALUE(RIGHT(AF19,3)),VALUE(RIGHT(AF19,3))*SUM(OFFSET('2.3家乡建筑'!$AH64,,,VALUE(LEFT(AF19,2)))),)</f>
        <v>0</v>
      </c>
      <c r="AG342">
        <f ca="1">IF(VALUE(RIGHT(AG19,3)),VALUE(RIGHT(AG19,3))*SUM(OFFSET('2.3家乡建筑'!$AH64,,,VALUE(LEFT(AG19,2)))),)</f>
        <v>0</v>
      </c>
      <c r="AH342">
        <f ca="1">IF(VALUE(RIGHT(AH19,3)),VALUE(RIGHT(AH19,3))*SUM(OFFSET('2.3家乡建筑'!$AH64,,,VALUE(LEFT(AH19,2)))),)</f>
        <v>0</v>
      </c>
      <c r="AI342">
        <f ca="1">IF(VALUE(RIGHT(AI19,3)),VALUE(RIGHT(AI19,3))*SUM(OFFSET('2.3家乡建筑'!$AH64,,,VALUE(LEFT(AI19,2)))),)</f>
        <v>0</v>
      </c>
      <c r="AJ342">
        <f ca="1">IF(VALUE(RIGHT(AJ19,3)),VALUE(RIGHT(AJ19,3))*SUM(OFFSET('2.3家乡建筑'!$AH64,,,VALUE(LEFT(AJ19,2)))),)</f>
        <v>0</v>
      </c>
      <c r="AK342">
        <f ca="1">IF(VALUE(RIGHT(AK19,3)),VALUE(RIGHT(AK19,3))*SUM(OFFSET('2.3家乡建筑'!$AH64,,,VALUE(LEFT(AK19,2)))),)</f>
        <v>13.5</v>
      </c>
      <c r="AL342">
        <f ca="1">IF(VALUE(RIGHT(AL19,3)),VALUE(RIGHT(AL19,3))*SUM(OFFSET('2.3家乡建筑'!$AH64,,,VALUE(LEFT(AL19,2)))),)</f>
        <v>24.5</v>
      </c>
      <c r="AM342">
        <f ca="1">IF(VALUE(RIGHT(AM19,3)),VALUE(RIGHT(AM19,3))*SUM(OFFSET('2.3家乡建筑'!$AH64,,,VALUE(LEFT(AM19,2)))),)</f>
        <v>39.5</v>
      </c>
      <c r="AN342">
        <f ca="1">IF(VALUE(RIGHT(AN19,3)),VALUE(RIGHT(AN19,3))*SUM(OFFSET('2.3家乡建筑'!$AH64,,,VALUE(LEFT(AN19,2)))),)</f>
        <v>58.5</v>
      </c>
      <c r="AO342">
        <f ca="1">IF(VALUE(RIGHT(AO19,3)),VALUE(RIGHT(AO19,3))*SUM(OFFSET('2.3家乡建筑'!$AH64,,,VALUE(LEFT(AO19,2)))),)</f>
        <v>58.5</v>
      </c>
      <c r="AX342">
        <v>5000</v>
      </c>
      <c r="AY342" t="s">
        <v>4823</v>
      </c>
      <c r="AZ342" t="s">
        <v>6043</v>
      </c>
      <c r="BA342" t="s">
        <v>4878</v>
      </c>
      <c r="BB342">
        <v>0</v>
      </c>
      <c r="CP342" s="40">
        <v>76</v>
      </c>
      <c r="CQ342" s="41" t="s">
        <v>3832</v>
      </c>
      <c r="CR342" s="41" t="s">
        <v>6086</v>
      </c>
      <c r="CS342" s="41">
        <v>75</v>
      </c>
      <c r="CT342" s="41">
        <v>3</v>
      </c>
      <c r="CU342" s="41">
        <v>6</v>
      </c>
      <c r="CV342" s="41">
        <v>5</v>
      </c>
      <c r="CW342" s="41" t="s">
        <v>4706</v>
      </c>
      <c r="CX342" s="41" t="s">
        <v>4716</v>
      </c>
      <c r="CY342" s="40" t="s">
        <v>3096</v>
      </c>
    </row>
    <row r="343" spans="25:103" ht="14.6">
      <c r="Y343" s="12" t="s">
        <v>73</v>
      </c>
      <c r="AA343">
        <f ca="1">IF(VALUE(RIGHT(AA20,3)),VALUE(RIGHT(AA20,3))*SUM(OFFSET('2.3家乡建筑'!$AI79,,,VALUE(LEFT(AA20,2)))),)</f>
        <v>0</v>
      </c>
      <c r="AB343">
        <f ca="1">IF(VALUE(RIGHT(AB20,3)),VALUE(RIGHT(AB20,3))*SUM(OFFSET('2.3家乡建筑'!$AI79,,,VALUE(LEFT(AB20,2)))),)</f>
        <v>0</v>
      </c>
      <c r="AC343">
        <f ca="1">IF(VALUE(RIGHT(AC20,3)),VALUE(RIGHT(AC20,3))*SUM(OFFSET('2.3家乡建筑'!$AI79,,,VALUE(LEFT(AC20,2)))),)</f>
        <v>0</v>
      </c>
      <c r="AD343">
        <f ca="1">IF(VALUE(RIGHT(AD20,3)),VALUE(RIGHT(AD20,3))*SUM(OFFSET('2.3家乡建筑'!$AI79,,,VALUE(LEFT(AD20,2)))),)</f>
        <v>0</v>
      </c>
      <c r="AE343">
        <f ca="1">IF(VALUE(RIGHT(AE20,3)),VALUE(RIGHT(AE20,3))*SUM(OFFSET('2.3家乡建筑'!$AI79,,,VALUE(LEFT(AE20,2)))),)</f>
        <v>0</v>
      </c>
      <c r="AF343">
        <f ca="1">IF(VALUE(RIGHT(AF20,3)),VALUE(RIGHT(AF20,3))*SUM(OFFSET('2.3家乡建筑'!$AI79,,,VALUE(LEFT(AF20,2)))),)</f>
        <v>0</v>
      </c>
      <c r="AG343">
        <f ca="1">IF(VALUE(RIGHT(AG20,3)),VALUE(RIGHT(AG20,3))*SUM(OFFSET('2.3家乡建筑'!$AI79,,,VALUE(LEFT(AG20,2)))),)</f>
        <v>0</v>
      </c>
      <c r="AH343">
        <f ca="1">IF(VALUE(RIGHT(AH20,3)),VALUE(RIGHT(AH20,3))*SUM(OFFSET('2.3家乡建筑'!$AI79,,,VALUE(LEFT(AH20,2)))),)</f>
        <v>0</v>
      </c>
      <c r="AI343">
        <f ca="1">IF(VALUE(RIGHT(AI20,3)),VALUE(RIGHT(AI20,3))*SUM(OFFSET('2.3家乡建筑'!$AI79,,,VALUE(LEFT(AI20,2)))),)</f>
        <v>0</v>
      </c>
      <c r="AJ343">
        <f ca="1">IF(VALUE(RIGHT(AJ20,3)),VALUE(RIGHT(AJ20,3))*SUM(OFFSET('2.3家乡建筑'!$AI79,,,VALUE(LEFT(AJ20,2)))),)</f>
        <v>0</v>
      </c>
      <c r="AK343">
        <f ca="1">IF(VALUE(RIGHT(AK20,3)),VALUE(RIGHT(AK20,3))*SUM(OFFSET('2.3家乡建筑'!$AI79,,,VALUE(LEFT(AK20,2)))),)</f>
        <v>0</v>
      </c>
      <c r="AL343">
        <f ca="1">IF(VALUE(RIGHT(AL20,3)),VALUE(RIGHT(AL20,3))*SUM(OFFSET('2.3家乡建筑'!$AI79,,,VALUE(LEFT(AL20,2)))),)</f>
        <v>0</v>
      </c>
      <c r="AM343">
        <f ca="1">IF(VALUE(RIGHT(AM20,3)),VALUE(RIGHT(AM20,3))*SUM(OFFSET('2.3家乡建筑'!$AI79,,,VALUE(LEFT(AM20,2)))),)</f>
        <v>56.5</v>
      </c>
      <c r="AN343">
        <f ca="1">IF(VALUE(RIGHT(AN20,3)),VALUE(RIGHT(AN20,3))*SUM(OFFSET('2.3家乡建筑'!$AI79,,,VALUE(LEFT(AN20,2)))),)</f>
        <v>94.5</v>
      </c>
      <c r="AO343">
        <f ca="1">IF(VALUE(RIGHT(AO20,3)),VALUE(RIGHT(AO20,3))*SUM(OFFSET('2.3家乡建筑'!$AI79,,,VALUE(LEFT(AO20,2)))),)</f>
        <v>94.5</v>
      </c>
      <c r="AX343">
        <v>7500</v>
      </c>
      <c r="AY343" t="s">
        <v>4747</v>
      </c>
      <c r="AZ343" t="s">
        <v>6033</v>
      </c>
      <c r="BA343" t="s">
        <v>4675</v>
      </c>
      <c r="BB343">
        <v>0</v>
      </c>
      <c r="CP343" s="40">
        <v>77</v>
      </c>
      <c r="CQ343" s="41" t="s">
        <v>3837</v>
      </c>
      <c r="CR343" s="41" t="s">
        <v>6087</v>
      </c>
      <c r="CS343" s="41">
        <v>75</v>
      </c>
      <c r="CT343" s="41">
        <v>3</v>
      </c>
      <c r="CU343" s="41">
        <v>6</v>
      </c>
      <c r="CV343" s="41">
        <v>5</v>
      </c>
      <c r="CW343" s="41" t="s">
        <v>4706</v>
      </c>
      <c r="CX343" s="41" t="s">
        <v>4716</v>
      </c>
      <c r="CY343" s="40" t="s">
        <v>3096</v>
      </c>
    </row>
    <row r="344" spans="25:103" ht="14.6">
      <c r="Y344" t="s">
        <v>4959</v>
      </c>
      <c r="AA344">
        <f ca="1">IF(VALUE(RIGHT(AA21,3)),VALUE(RIGHT(AA21,3))*SUM(OFFSET('2.3家乡建筑'!$AJ89,,,VALUE(LEFT(AA21,2)))),)</f>
        <v>0</v>
      </c>
      <c r="AB344">
        <f ca="1">IF(VALUE(RIGHT(AB21,3)),VALUE(RIGHT(AB21,3))*SUM(OFFSET('2.3家乡建筑'!$AJ89,,,VALUE(LEFT(AB21,2)))),)</f>
        <v>0</v>
      </c>
      <c r="AC344">
        <f ca="1">IF(VALUE(RIGHT(AC21,3)),VALUE(RIGHT(AC21,3))*SUM(OFFSET('2.3家乡建筑'!$AJ89,,,VALUE(LEFT(AC21,2)))),)</f>
        <v>0</v>
      </c>
      <c r="AD344">
        <f ca="1">IF(VALUE(RIGHT(AD21,3)),VALUE(RIGHT(AD21,3))*SUM(OFFSET('2.3家乡建筑'!$AJ89,,,VALUE(LEFT(AD21,2)))),)</f>
        <v>0</v>
      </c>
      <c r="AE344">
        <f ca="1">IF(VALUE(RIGHT(AE21,3)),VALUE(RIGHT(AE21,3))*SUM(OFFSET('2.3家乡建筑'!$AJ89,,,VALUE(LEFT(AE21,2)))),)</f>
        <v>0</v>
      </c>
      <c r="AF344">
        <f ca="1">IF(VALUE(RIGHT(AF21,3)),VALUE(RIGHT(AF21,3))*SUM(OFFSET('2.3家乡建筑'!$AJ89,,,VALUE(LEFT(AF21,2)))),)</f>
        <v>0</v>
      </c>
      <c r="AG344">
        <f ca="1">IF(VALUE(RIGHT(AG21,3)),VALUE(RIGHT(AG21,3))*SUM(OFFSET('2.3家乡建筑'!$AJ89,,,VALUE(LEFT(AG21,2)))),)</f>
        <v>0</v>
      </c>
      <c r="AH344">
        <f ca="1">IF(VALUE(RIGHT(AH21,3)),VALUE(RIGHT(AH21,3))*SUM(OFFSET('2.3家乡建筑'!$AJ89,,,VALUE(LEFT(AH21,2)))),)</f>
        <v>0</v>
      </c>
      <c r="AI344">
        <f ca="1">IF(VALUE(RIGHT(AI21,3)),VALUE(RIGHT(AI21,3))*SUM(OFFSET('2.3家乡建筑'!$AJ89,,,VALUE(LEFT(AI21,2)))),)</f>
        <v>0</v>
      </c>
      <c r="AJ344">
        <f ca="1">IF(VALUE(RIGHT(AJ21,3)),VALUE(RIGHT(AJ21,3))*SUM(OFFSET('2.3家乡建筑'!$AJ89,,,VALUE(LEFT(AJ21,2)))),)</f>
        <v>0</v>
      </c>
      <c r="AK344">
        <f ca="1">IF(VALUE(RIGHT(AK21,3)),VALUE(RIGHT(AK21,3))*SUM(OFFSET('2.3家乡建筑'!$AJ89,,,VALUE(LEFT(AK21,2)))),)</f>
        <v>0</v>
      </c>
      <c r="AL344">
        <f ca="1">IF(VALUE(RIGHT(AL21,3)),VALUE(RIGHT(AL21,3))*SUM(OFFSET('2.3家乡建筑'!$AJ89,,,VALUE(LEFT(AL21,2)))),)</f>
        <v>0</v>
      </c>
      <c r="AM344">
        <f ca="1">IF(VALUE(RIGHT(AM21,3)),VALUE(RIGHT(AM21,3))*SUM(OFFSET('2.3家乡建筑'!$AJ89,,,VALUE(LEFT(AM21,2)))),)</f>
        <v>0</v>
      </c>
      <c r="AN344">
        <f ca="1">IF(VALUE(RIGHT(AN21,3)),VALUE(RIGHT(AN21,3))*SUM(OFFSET('2.3家乡建筑'!$AJ89,,,VALUE(LEFT(AN21,2)))),)</f>
        <v>169.79166666666652</v>
      </c>
      <c r="AO344">
        <f ca="1">IF(VALUE(RIGHT(AO21,3)),VALUE(RIGHT(AO21,3))*SUM(OFFSET('2.3家乡建筑'!$AJ89,,,VALUE(LEFT(AO21,2)))),)</f>
        <v>169.79166666666652</v>
      </c>
      <c r="AX344">
        <v>12500</v>
      </c>
      <c r="AY344" t="s">
        <v>4746</v>
      </c>
      <c r="AZ344" t="s">
        <v>4751</v>
      </c>
      <c r="BA344" t="s">
        <v>4865</v>
      </c>
      <c r="BB344">
        <v>0</v>
      </c>
      <c r="CP344" s="40">
        <v>78</v>
      </c>
      <c r="CQ344" s="41" t="s">
        <v>3842</v>
      </c>
      <c r="CR344" s="41" t="s">
        <v>6088</v>
      </c>
      <c r="CS344" s="41">
        <v>75</v>
      </c>
      <c r="CT344" s="41">
        <v>3</v>
      </c>
      <c r="CU344" s="41">
        <v>6</v>
      </c>
      <c r="CV344" s="41">
        <v>5</v>
      </c>
      <c r="CW344" s="41" t="s">
        <v>4706</v>
      </c>
      <c r="CX344" s="41" t="s">
        <v>4716</v>
      </c>
      <c r="CY344" s="40" t="s">
        <v>3096</v>
      </c>
    </row>
    <row r="345" spans="25:103" ht="14.6">
      <c r="Y345" t="s">
        <v>81</v>
      </c>
      <c r="AA345">
        <f ca="1">IF(VALUE(RIGHT(AA22,3)),VALUE(RIGHT(AA22,3))*SUM(OFFSET('2.3家乡建筑'!$K98,,,VALUE(LEFT(AA22,2)))),)</f>
        <v>0</v>
      </c>
      <c r="AB345">
        <f ca="1">IF(VALUE(RIGHT(AB22,3)),VALUE(RIGHT(AB22,3))*SUM(OFFSET('2.3家乡建筑'!$K98,,,VALUE(LEFT(AB22,2)))),)</f>
        <v>0</v>
      </c>
      <c r="AC345">
        <f ca="1">IF(VALUE(RIGHT(AC22,3)),VALUE(RIGHT(AC22,3))*SUM(OFFSET('2.3家乡建筑'!$K98,,,VALUE(LEFT(AC22,2)))),)</f>
        <v>0</v>
      </c>
      <c r="AD345">
        <f ca="1">IF(VALUE(RIGHT(AD22,3)),VALUE(RIGHT(AD22,3))*SUM(OFFSET('2.3家乡建筑'!$K98,,,VALUE(LEFT(AD22,2)))),)</f>
        <v>0</v>
      </c>
      <c r="AE345">
        <f ca="1">IF(VALUE(RIGHT(AE22,3)),VALUE(RIGHT(AE22,3))*SUM(OFFSET('2.3家乡建筑'!$K98,,,VALUE(LEFT(AE22,2)))),)</f>
        <v>0</v>
      </c>
      <c r="AF345">
        <f ca="1">IF(VALUE(RIGHT(AF22,3)),VALUE(RIGHT(AF22,3))*SUM(OFFSET('2.3家乡建筑'!$K98,,,VALUE(LEFT(AF22,2)))),)</f>
        <v>0</v>
      </c>
      <c r="AG345">
        <f ca="1">IF(VALUE(RIGHT(AG22,3)),VALUE(RIGHT(AG22,3))*SUM(OFFSET('2.3家乡建筑'!$K98,,,VALUE(LEFT(AG22,2)))),)</f>
        <v>0</v>
      </c>
      <c r="AH345">
        <f ca="1">IF(VALUE(RIGHT(AH22,3)),VALUE(RIGHT(AH22,3))*SUM(OFFSET('2.3家乡建筑'!$K98,,,VALUE(LEFT(AH22,2)))),)</f>
        <v>0</v>
      </c>
      <c r="AI345">
        <f ca="1">IF(VALUE(RIGHT(AI22,3)),VALUE(RIGHT(AI22,3))*SUM(OFFSET('2.3家乡建筑'!$K98,,,VALUE(LEFT(AI22,2)))),)</f>
        <v>0</v>
      </c>
      <c r="AJ345">
        <f ca="1">IF(VALUE(RIGHT(AJ22,3)),VALUE(RIGHT(AJ22,3))*SUM(OFFSET('2.3家乡建筑'!$K98,,,VALUE(LEFT(AJ22,2)))),)</f>
        <v>0</v>
      </c>
      <c r="AK345">
        <f ca="1">IF(VALUE(RIGHT(AK22,3)),VALUE(RIGHT(AK22,3))*SUM(OFFSET('2.3家乡建筑'!$K98,,,VALUE(LEFT(AK22,2)))),)</f>
        <v>0</v>
      </c>
      <c r="AL345">
        <f ca="1">IF(VALUE(RIGHT(AL22,3)),VALUE(RIGHT(AL22,3))*SUM(OFFSET('2.3家乡建筑'!$K98,,,VALUE(LEFT(AL22,2)))),)</f>
        <v>0</v>
      </c>
      <c r="AM345">
        <f ca="1">IF(VALUE(RIGHT(AM22,3)),VALUE(RIGHT(AM22,3))*SUM(OFFSET('2.3家乡建筑'!$K98,,,VALUE(LEFT(AM22,2)))),)</f>
        <v>0</v>
      </c>
      <c r="AN345">
        <f ca="1">IF(VALUE(RIGHT(AN22,3)),VALUE(RIGHT(AN22,3))*SUM(OFFSET('2.3家乡建筑'!$K98,,,VALUE(LEFT(AN22,2)))),)</f>
        <v>0</v>
      </c>
      <c r="AO345">
        <f ca="1">IF(VALUE(RIGHT(AO22,3)),VALUE(RIGHT(AO22,3))*SUM(OFFSET('2.3家乡建筑'!$K98,,,VALUE(LEFT(AO22,2)))),)</f>
        <v>96</v>
      </c>
      <c r="AX345">
        <v>20000</v>
      </c>
      <c r="AY345" t="s">
        <v>5002</v>
      </c>
      <c r="AZ345" t="s">
        <v>4974</v>
      </c>
      <c r="BA345" t="s">
        <v>4953</v>
      </c>
      <c r="BB345">
        <v>0</v>
      </c>
      <c r="CP345" s="40">
        <v>79</v>
      </c>
      <c r="CQ345" s="41" t="s">
        <v>3846</v>
      </c>
      <c r="CR345" s="41" t="s">
        <v>6089</v>
      </c>
      <c r="CS345" s="41">
        <v>75</v>
      </c>
      <c r="CT345" s="41">
        <v>3</v>
      </c>
      <c r="CU345" s="41">
        <v>6</v>
      </c>
      <c r="CV345" s="41">
        <v>5</v>
      </c>
      <c r="CW345" s="41" t="s">
        <v>4706</v>
      </c>
      <c r="CX345" s="41" t="s">
        <v>4716</v>
      </c>
      <c r="CY345" s="40" t="s">
        <v>3096</v>
      </c>
    </row>
    <row r="346" spans="25:103" ht="14.6">
      <c r="Y346" t="s">
        <v>84</v>
      </c>
      <c r="AA346">
        <f ca="1">IF(VALUE(RIGHT(AA23,3)),VALUE(RIGHT(AA23,3))*SUM(OFFSET('2.3家乡建筑'!$N107,,,VALUE(LEFT(AA23,2)))),)</f>
        <v>0</v>
      </c>
      <c r="AB346">
        <f ca="1">IF(VALUE(RIGHT(AB23,3)),VALUE(RIGHT(AB23,3))*SUM(OFFSET('2.3家乡建筑'!$N107,,,VALUE(LEFT(AB23,2)))),)</f>
        <v>0</v>
      </c>
      <c r="AC346">
        <f ca="1">IF(VALUE(RIGHT(AC23,3)),VALUE(RIGHT(AC23,3))*SUM(OFFSET('2.3家乡建筑'!$N107,,,VALUE(LEFT(AC23,2)))),)</f>
        <v>0</v>
      </c>
      <c r="AD346">
        <f ca="1">IF(VALUE(RIGHT(AD23,3)),VALUE(RIGHT(AD23,3))*SUM(OFFSET('2.3家乡建筑'!$N107,,,VALUE(LEFT(AD23,2)))),)</f>
        <v>0</v>
      </c>
      <c r="AE346">
        <f ca="1">IF(VALUE(RIGHT(AE23,3)),VALUE(RIGHT(AE23,3))*SUM(OFFSET('2.3家乡建筑'!$N107,,,VALUE(LEFT(AE23,2)))),)</f>
        <v>0</v>
      </c>
      <c r="AF346">
        <f ca="1">IF(VALUE(RIGHT(AF23,3)),VALUE(RIGHT(AF23,3))*SUM(OFFSET('2.3家乡建筑'!$N107,,,VALUE(LEFT(AF23,2)))),)</f>
        <v>0</v>
      </c>
      <c r="AG346">
        <f ca="1">IF(VALUE(RIGHT(AG23,3)),VALUE(RIGHT(AG23,3))*SUM(OFFSET('2.3家乡建筑'!$N107,,,VALUE(LEFT(AG23,2)))),)</f>
        <v>0</v>
      </c>
      <c r="AH346">
        <f ca="1">IF(VALUE(RIGHT(AH23,3)),VALUE(RIGHT(AH23,3))*SUM(OFFSET('2.3家乡建筑'!$N107,,,VALUE(LEFT(AH23,2)))),)</f>
        <v>0</v>
      </c>
      <c r="AI346">
        <f ca="1">IF(VALUE(RIGHT(AI23,3)),VALUE(RIGHT(AI23,3))*SUM(OFFSET('2.3家乡建筑'!$N107,,,VALUE(LEFT(AI23,2)))),)</f>
        <v>0</v>
      </c>
      <c r="AJ346">
        <f ca="1">IF(VALUE(RIGHT(AJ23,3)),VALUE(RIGHT(AJ23,3))*SUM(OFFSET('2.3家乡建筑'!$N107,,,VALUE(LEFT(AJ23,2)))),)</f>
        <v>0</v>
      </c>
      <c r="AK346">
        <f ca="1">IF(VALUE(RIGHT(AK23,3)),VALUE(RIGHT(AK23,3))*SUM(OFFSET('2.3家乡建筑'!$N107,,,VALUE(LEFT(AK23,2)))),)</f>
        <v>0</v>
      </c>
      <c r="AL346">
        <f ca="1">IF(VALUE(RIGHT(AL23,3)),VALUE(RIGHT(AL23,3))*SUM(OFFSET('2.3家乡建筑'!$N107,,,VALUE(LEFT(AL23,2)))),)</f>
        <v>0</v>
      </c>
      <c r="AM346">
        <f ca="1">IF(VALUE(RIGHT(AM23,3)),VALUE(RIGHT(AM23,3))*SUM(OFFSET('2.3家乡建筑'!$N107,,,VALUE(LEFT(AM23,2)))),)</f>
        <v>0</v>
      </c>
      <c r="AN346">
        <f ca="1">IF(VALUE(RIGHT(AN23,3)),VALUE(RIGHT(AN23,3))*SUM(OFFSET('2.3家乡建筑'!$N107,,,VALUE(LEFT(AN23,2)))),)</f>
        <v>0</v>
      </c>
      <c r="AO346">
        <f ca="1">IF(VALUE(RIGHT(AO23,3)),VALUE(RIGHT(AO23,3))*SUM(OFFSET('2.3家乡建筑'!$N107,,,VALUE(LEFT(AO23,2)))),)</f>
        <v>37</v>
      </c>
      <c r="AX346">
        <v>1500</v>
      </c>
      <c r="AY346" t="s">
        <v>5411</v>
      </c>
      <c r="AZ346" t="s">
        <v>5920</v>
      </c>
      <c r="BA346" t="s">
        <v>5921</v>
      </c>
      <c r="BB346">
        <v>0</v>
      </c>
      <c r="CP346" s="40">
        <v>80</v>
      </c>
      <c r="CQ346" s="41" t="s">
        <v>3808</v>
      </c>
      <c r="CR346" s="41" t="s">
        <v>6090</v>
      </c>
      <c r="CS346" s="41">
        <v>75</v>
      </c>
      <c r="CT346" s="41">
        <v>3</v>
      </c>
      <c r="CU346" s="41">
        <v>6</v>
      </c>
      <c r="CV346" s="41">
        <v>5</v>
      </c>
      <c r="CW346" s="41" t="s">
        <v>4706</v>
      </c>
      <c r="CX346" s="41" t="s">
        <v>4716</v>
      </c>
      <c r="CY346" s="40" t="s">
        <v>3096</v>
      </c>
    </row>
    <row r="347" spans="25:103" ht="14.6">
      <c r="Y347" s="12" t="s">
        <v>5000</v>
      </c>
      <c r="AA347">
        <f ca="1">IF(VALUE(RIGHT(AA24,3)),VALUE(RIGHT(AA24,3))*SUM(OFFSET('2.3家乡建筑'!$N79,,,VALUE(LEFT(AA24,2)))),)</f>
        <v>0</v>
      </c>
      <c r="AB347">
        <f ca="1">IF(VALUE(RIGHT(AB24,3)),VALUE(RIGHT(AB24,3))*SUM(OFFSET('2.3家乡建筑'!$N79,,,VALUE(LEFT(AB24,2)))),)</f>
        <v>0</v>
      </c>
      <c r="AC347">
        <f ca="1">IF(VALUE(RIGHT(AC24,3)),VALUE(RIGHT(AC24,3))*SUM(OFFSET('2.3家乡建筑'!$N79,,,VALUE(LEFT(AC24,2)))),)</f>
        <v>0</v>
      </c>
      <c r="AD347">
        <f ca="1">IF(VALUE(RIGHT(AD24,3)),VALUE(RIGHT(AD24,3))*SUM(OFFSET('2.3家乡建筑'!$N79,,,VALUE(LEFT(AD24,2)))),)</f>
        <v>0</v>
      </c>
      <c r="AE347">
        <f ca="1">IF(VALUE(RIGHT(AE24,3)),VALUE(RIGHT(AE24,3))*SUM(OFFSET('2.3家乡建筑'!$N79,,,VALUE(LEFT(AE24,2)))),)</f>
        <v>0</v>
      </c>
      <c r="AF347">
        <f ca="1">IF(VALUE(RIGHT(AF24,3)),VALUE(RIGHT(AF24,3))*SUM(OFFSET('2.3家乡建筑'!$N79,,,VALUE(LEFT(AF24,2)))),)</f>
        <v>0</v>
      </c>
      <c r="AG347">
        <f ca="1">IF(VALUE(RIGHT(AG24,3)),VALUE(RIGHT(AG24,3))*SUM(OFFSET('2.3家乡建筑'!$N79,,,VALUE(LEFT(AG24,2)))),)</f>
        <v>0</v>
      </c>
      <c r="AH347">
        <f ca="1">IF(VALUE(RIGHT(AH24,3)),VALUE(RIGHT(AH24,3))*SUM(OFFSET('2.3家乡建筑'!$N79,,,VALUE(LEFT(AH24,2)))),)</f>
        <v>0</v>
      </c>
      <c r="AI347">
        <f ca="1">IF(VALUE(RIGHT(AI24,3)),VALUE(RIGHT(AI24,3))*SUM(OFFSET('2.3家乡建筑'!$N79,,,VALUE(LEFT(AI24,2)))),)</f>
        <v>0</v>
      </c>
      <c r="AJ347">
        <f ca="1">IF(VALUE(RIGHT(AJ24,3)),VALUE(RIGHT(AJ24,3))*SUM(OFFSET('2.3家乡建筑'!$N79,,,VALUE(LEFT(AJ24,2)))),)</f>
        <v>0</v>
      </c>
      <c r="AK347">
        <f ca="1">IF(VALUE(RIGHT(AK24,3)),VALUE(RIGHT(AK24,3))*SUM(OFFSET('2.3家乡建筑'!$N79,,,VALUE(LEFT(AK24,2)))),)</f>
        <v>0</v>
      </c>
      <c r="AL347">
        <f ca="1">IF(VALUE(RIGHT(AL24,3)),VALUE(RIGHT(AL24,3))*SUM(OFFSET('2.3家乡建筑'!$N79,,,VALUE(LEFT(AL24,2)))),)</f>
        <v>14</v>
      </c>
      <c r="AM347">
        <f ca="1">IF(VALUE(RIGHT(AM24,3)),VALUE(RIGHT(AM24,3))*SUM(OFFSET('2.3家乡建筑'!$N79,,,VALUE(LEFT(AM24,2)))),)</f>
        <v>14</v>
      </c>
      <c r="AN347">
        <f ca="1">IF(VALUE(RIGHT(AN24,3)),VALUE(RIGHT(AN24,3))*SUM(OFFSET('2.3家乡建筑'!$N79,,,VALUE(LEFT(AN24,2)))),)</f>
        <v>14</v>
      </c>
      <c r="AO347">
        <f ca="1">IF(VALUE(RIGHT(AO24,3)),VALUE(RIGHT(AO24,3))*SUM(OFFSET('2.3家乡建筑'!$N79,,,VALUE(LEFT(AO24,2)))),)</f>
        <v>14</v>
      </c>
      <c r="AX347">
        <v>3000</v>
      </c>
      <c r="AY347" t="s">
        <v>6043</v>
      </c>
      <c r="AZ347" t="s">
        <v>4769</v>
      </c>
      <c r="BA347" t="s">
        <v>4878</v>
      </c>
      <c r="BB347">
        <v>0</v>
      </c>
      <c r="CP347" s="40">
        <v>81</v>
      </c>
      <c r="CQ347" s="41" t="s">
        <v>3854</v>
      </c>
      <c r="CR347" s="41" t="s">
        <v>6091</v>
      </c>
      <c r="CS347" s="41">
        <v>75</v>
      </c>
      <c r="CT347" s="41">
        <v>3</v>
      </c>
      <c r="CU347" s="41">
        <v>6</v>
      </c>
      <c r="CV347" s="41">
        <v>5</v>
      </c>
      <c r="CW347" s="41" t="s">
        <v>4706</v>
      </c>
      <c r="CX347" s="41" t="s">
        <v>4716</v>
      </c>
      <c r="CY347" s="40" t="s">
        <v>3096</v>
      </c>
    </row>
    <row r="348" spans="25:103" ht="14.6">
      <c r="Y348" t="s">
        <v>86</v>
      </c>
      <c r="AA348">
        <f ca="1">IF(VALUE(RIGHT(AA25,3)),VALUE(RIGHT(AA25,3))*SUM(OFFSET('2.3家乡建筑'!$X79,,,VALUE(LEFT(AA25,2)))),)</f>
        <v>0</v>
      </c>
      <c r="AB348">
        <f ca="1">IF(VALUE(RIGHT(AB25,3)),VALUE(RIGHT(AB25,3))*SUM(OFFSET('2.3家乡建筑'!$X79,,,VALUE(LEFT(AB25,2)))),)</f>
        <v>0</v>
      </c>
      <c r="AC348">
        <f ca="1">IF(VALUE(RIGHT(AC25,3)),VALUE(RIGHT(AC25,3))*SUM(OFFSET('2.3家乡建筑'!$X79,,,VALUE(LEFT(AC25,2)))),)</f>
        <v>0</v>
      </c>
      <c r="AD348">
        <f ca="1">IF(VALUE(RIGHT(AD25,3)),VALUE(RIGHT(AD25,3))*SUM(OFFSET('2.3家乡建筑'!$X79,,,VALUE(LEFT(AD25,2)))),)</f>
        <v>0</v>
      </c>
      <c r="AE348">
        <f ca="1">IF(VALUE(RIGHT(AE25,3)),VALUE(RIGHT(AE25,3))*SUM(OFFSET('2.3家乡建筑'!$X79,,,VALUE(LEFT(AE25,2)))),)</f>
        <v>0</v>
      </c>
      <c r="AF348">
        <f ca="1">IF(VALUE(RIGHT(AF25,3)),VALUE(RIGHT(AF25,3))*SUM(OFFSET('2.3家乡建筑'!$X79,,,VALUE(LEFT(AF25,2)))),)</f>
        <v>0</v>
      </c>
      <c r="AG348">
        <f ca="1">IF(VALUE(RIGHT(AG25,3)),VALUE(RIGHT(AG25,3))*SUM(OFFSET('2.3家乡建筑'!$X79,,,VALUE(LEFT(AG25,2)))),)</f>
        <v>0</v>
      </c>
      <c r="AH348">
        <f ca="1">IF(VALUE(RIGHT(AH25,3)),VALUE(RIGHT(AH25,3))*SUM(OFFSET('2.3家乡建筑'!$X79,,,VALUE(LEFT(AH25,2)))),)</f>
        <v>0</v>
      </c>
      <c r="AI348">
        <f ca="1">IF(VALUE(RIGHT(AI25,3)),VALUE(RIGHT(AI25,3))*SUM(OFFSET('2.3家乡建筑'!$X79,,,VALUE(LEFT(AI25,2)))),)</f>
        <v>0</v>
      </c>
      <c r="AJ348">
        <f ca="1">IF(VALUE(RIGHT(AJ25,3)),VALUE(RIGHT(AJ25,3))*SUM(OFFSET('2.3家乡建筑'!$X79,,,VALUE(LEFT(AJ25,2)))),)</f>
        <v>0</v>
      </c>
      <c r="AK348">
        <f ca="1">IF(VALUE(RIGHT(AK25,3)),VALUE(RIGHT(AK25,3))*SUM(OFFSET('2.3家乡建筑'!$X79,,,VALUE(LEFT(AK25,2)))),)</f>
        <v>0</v>
      </c>
      <c r="AL348">
        <f ca="1">IF(VALUE(RIGHT(AL25,3)),VALUE(RIGHT(AL25,3))*SUM(OFFSET('2.3家乡建筑'!$X79,,,VALUE(LEFT(AL25,2)))),)</f>
        <v>0</v>
      </c>
      <c r="AM348">
        <f ca="1">IF(VALUE(RIGHT(AM25,3)),VALUE(RIGHT(AM25,3))*SUM(OFFSET('2.3家乡建筑'!$X79,,,VALUE(LEFT(AM25,2)))),)</f>
        <v>25.5</v>
      </c>
      <c r="AN348">
        <f ca="1">IF(VALUE(RIGHT(AN25,3)),VALUE(RIGHT(AN25,3))*SUM(OFFSET('2.3家乡建筑'!$X79,,,VALUE(LEFT(AN25,2)))),)</f>
        <v>25.5</v>
      </c>
      <c r="AO348">
        <f ca="1">IF(VALUE(RIGHT(AO25,3)),VALUE(RIGHT(AO25,3))*SUM(OFFSET('2.3家乡建筑'!$X79,,,VALUE(LEFT(AO25,2)))),)</f>
        <v>25.5</v>
      </c>
      <c r="AX348">
        <v>7500</v>
      </c>
      <c r="AY348" t="s">
        <v>4844</v>
      </c>
      <c r="AZ348" t="s">
        <v>5455</v>
      </c>
      <c r="BA348" t="s">
        <v>4771</v>
      </c>
      <c r="BB348">
        <v>0</v>
      </c>
      <c r="CP348" s="40">
        <v>82</v>
      </c>
      <c r="CQ348" s="41" t="s">
        <v>3859</v>
      </c>
      <c r="CR348" s="41" t="s">
        <v>6092</v>
      </c>
      <c r="CS348" s="41">
        <v>75</v>
      </c>
      <c r="CT348" s="41">
        <v>3</v>
      </c>
      <c r="CU348" s="41">
        <v>6</v>
      </c>
      <c r="CV348" s="41">
        <v>5</v>
      </c>
      <c r="CW348" s="41" t="s">
        <v>4706</v>
      </c>
      <c r="CX348" s="41" t="s">
        <v>4716</v>
      </c>
      <c r="CY348" s="40" t="s">
        <v>3096</v>
      </c>
    </row>
    <row r="349" spans="25:103" ht="14.6">
      <c r="Y349" t="s">
        <v>89</v>
      </c>
      <c r="AA349">
        <f ca="1">IF(VALUE(RIGHT(AA26,3)),VALUE(RIGHT(AA26,3))*SUM(OFFSET('2.3家乡建筑'!$N89,,,VALUE(LEFT(AA26,2)))),)</f>
        <v>0</v>
      </c>
      <c r="AB349">
        <f ca="1">IF(VALUE(RIGHT(AB26,3)),VALUE(RIGHT(AB26,3))*SUM(OFFSET('2.3家乡建筑'!$N89,,,VALUE(LEFT(AB26,2)))),)</f>
        <v>0</v>
      </c>
      <c r="AC349">
        <f ca="1">IF(VALUE(RIGHT(AC26,3)),VALUE(RIGHT(AC26,3))*SUM(OFFSET('2.3家乡建筑'!$N89,,,VALUE(LEFT(AC26,2)))),)</f>
        <v>0</v>
      </c>
      <c r="AD349">
        <f ca="1">IF(VALUE(RIGHT(AD26,3)),VALUE(RIGHT(AD26,3))*SUM(OFFSET('2.3家乡建筑'!$N89,,,VALUE(LEFT(AD26,2)))),)</f>
        <v>0</v>
      </c>
      <c r="AE349">
        <f ca="1">IF(VALUE(RIGHT(AE26,3)),VALUE(RIGHT(AE26,3))*SUM(OFFSET('2.3家乡建筑'!$N89,,,VALUE(LEFT(AE26,2)))),)</f>
        <v>0</v>
      </c>
      <c r="AF349">
        <f ca="1">IF(VALUE(RIGHT(AF26,3)),VALUE(RIGHT(AF26,3))*SUM(OFFSET('2.3家乡建筑'!$N89,,,VALUE(LEFT(AF26,2)))),)</f>
        <v>0</v>
      </c>
      <c r="AG349">
        <f ca="1">IF(VALUE(RIGHT(AG26,3)),VALUE(RIGHT(AG26,3))*SUM(OFFSET('2.3家乡建筑'!$N89,,,VALUE(LEFT(AG26,2)))),)</f>
        <v>0</v>
      </c>
      <c r="AH349">
        <f ca="1">IF(VALUE(RIGHT(AH26,3)),VALUE(RIGHT(AH26,3))*SUM(OFFSET('2.3家乡建筑'!$N89,,,VALUE(LEFT(AH26,2)))),)</f>
        <v>0</v>
      </c>
      <c r="AI349">
        <f ca="1">IF(VALUE(RIGHT(AI26,3)),VALUE(RIGHT(AI26,3))*SUM(OFFSET('2.3家乡建筑'!$N89,,,VALUE(LEFT(AI26,2)))),)</f>
        <v>0</v>
      </c>
      <c r="AJ349">
        <f ca="1">IF(VALUE(RIGHT(AJ26,3)),VALUE(RIGHT(AJ26,3))*SUM(OFFSET('2.3家乡建筑'!$N89,,,VALUE(LEFT(AJ26,2)))),)</f>
        <v>0</v>
      </c>
      <c r="AK349">
        <f ca="1">IF(VALUE(RIGHT(AK26,3)),VALUE(RIGHT(AK26,3))*SUM(OFFSET('2.3家乡建筑'!$N89,,,VALUE(LEFT(AK26,2)))),)</f>
        <v>0</v>
      </c>
      <c r="AL349">
        <f ca="1">IF(VALUE(RIGHT(AL26,3)),VALUE(RIGHT(AL26,3))*SUM(OFFSET('2.3家乡建筑'!$N89,,,VALUE(LEFT(AL26,2)))),)</f>
        <v>0</v>
      </c>
      <c r="AM349">
        <f ca="1">IF(VALUE(RIGHT(AM26,3)),VALUE(RIGHT(AM26,3))*SUM(OFFSET('2.3家乡建筑'!$N89,,,VALUE(LEFT(AM26,2)))),)</f>
        <v>0</v>
      </c>
      <c r="AN349">
        <f ca="1">IF(VALUE(RIGHT(AN26,3)),VALUE(RIGHT(AN26,3))*SUM(OFFSET('2.3家乡建筑'!$N89,,,VALUE(LEFT(AN26,2)))),)</f>
        <v>44.5</v>
      </c>
      <c r="AO349">
        <f ca="1">IF(VALUE(RIGHT(AO26,3)),VALUE(RIGHT(AO26,3))*SUM(OFFSET('2.3家乡建筑'!$N89,,,VALUE(LEFT(AO26,2)))),)</f>
        <v>44.5</v>
      </c>
      <c r="AX349">
        <v>12000</v>
      </c>
      <c r="AY349" t="s">
        <v>6056</v>
      </c>
      <c r="AZ349" t="s">
        <v>6035</v>
      </c>
      <c r="BA349" t="s">
        <v>4795</v>
      </c>
      <c r="BB349">
        <v>0</v>
      </c>
      <c r="CP349" s="40">
        <v>83</v>
      </c>
      <c r="CQ349" s="41" t="s">
        <v>3833</v>
      </c>
      <c r="CR349" s="41" t="s">
        <v>6093</v>
      </c>
      <c r="CS349" s="41">
        <v>75</v>
      </c>
      <c r="CT349" s="41">
        <v>3</v>
      </c>
      <c r="CU349" s="41">
        <v>6</v>
      </c>
      <c r="CV349" s="41">
        <v>5</v>
      </c>
      <c r="CW349" s="41" t="s">
        <v>4706</v>
      </c>
      <c r="CX349" s="41" t="s">
        <v>4716</v>
      </c>
      <c r="CY349" s="40" t="s">
        <v>3096</v>
      </c>
    </row>
    <row r="350" spans="25:103" ht="14.6">
      <c r="Y350" t="s">
        <v>5025</v>
      </c>
      <c r="AA350">
        <f ca="1">IF(VALUE(RIGHT(AA27,3)),VALUE(RIGHT(AA27,3))*SUM(OFFSET('2.3家乡建筑'!$X89,,,VALUE(LEFT(AA27,2)))),)</f>
        <v>0</v>
      </c>
      <c r="AB350">
        <f ca="1">IF(VALUE(RIGHT(AB27,3)),VALUE(RIGHT(AB27,3))*SUM(OFFSET('2.3家乡建筑'!$X89,,,VALUE(LEFT(AB27,2)))),)</f>
        <v>0</v>
      </c>
      <c r="AC350">
        <f ca="1">IF(VALUE(RIGHT(AC27,3)),VALUE(RIGHT(AC27,3))*SUM(OFFSET('2.3家乡建筑'!$X89,,,VALUE(LEFT(AC27,2)))),)</f>
        <v>0</v>
      </c>
      <c r="AD350">
        <f ca="1">IF(VALUE(RIGHT(AD27,3)),VALUE(RIGHT(AD27,3))*SUM(OFFSET('2.3家乡建筑'!$X89,,,VALUE(LEFT(AD27,2)))),)</f>
        <v>0</v>
      </c>
      <c r="AE350">
        <f ca="1">IF(VALUE(RIGHT(AE27,3)),VALUE(RIGHT(AE27,3))*SUM(OFFSET('2.3家乡建筑'!$X89,,,VALUE(LEFT(AE27,2)))),)</f>
        <v>0</v>
      </c>
      <c r="AF350">
        <f ca="1">IF(VALUE(RIGHT(AF27,3)),VALUE(RIGHT(AF27,3))*SUM(OFFSET('2.3家乡建筑'!$X89,,,VALUE(LEFT(AF27,2)))),)</f>
        <v>0</v>
      </c>
      <c r="AG350">
        <f ca="1">IF(VALUE(RIGHT(AG27,3)),VALUE(RIGHT(AG27,3))*SUM(OFFSET('2.3家乡建筑'!$X89,,,VALUE(LEFT(AG27,2)))),)</f>
        <v>0</v>
      </c>
      <c r="AH350">
        <f ca="1">IF(VALUE(RIGHT(AH27,3)),VALUE(RIGHT(AH27,3))*SUM(OFFSET('2.3家乡建筑'!$X89,,,VALUE(LEFT(AH27,2)))),)</f>
        <v>0</v>
      </c>
      <c r="AI350">
        <f ca="1">IF(VALUE(RIGHT(AI27,3)),VALUE(RIGHT(AI27,3))*SUM(OFFSET('2.3家乡建筑'!$X89,,,VALUE(LEFT(AI27,2)))),)</f>
        <v>0</v>
      </c>
      <c r="AJ350">
        <f ca="1">IF(VALUE(RIGHT(AJ27,3)),VALUE(RIGHT(AJ27,3))*SUM(OFFSET('2.3家乡建筑'!$X89,,,VALUE(LEFT(AJ27,2)))),)</f>
        <v>0</v>
      </c>
      <c r="AK350">
        <f ca="1">IF(VALUE(RIGHT(AK27,3)),VALUE(RIGHT(AK27,3))*SUM(OFFSET('2.3家乡建筑'!$X89,,,VALUE(LEFT(AK27,2)))),)</f>
        <v>0</v>
      </c>
      <c r="AL350">
        <f ca="1">IF(VALUE(RIGHT(AL27,3)),VALUE(RIGHT(AL27,3))*SUM(OFFSET('2.3家乡建筑'!$X89,,,VALUE(LEFT(AL27,2)))),)</f>
        <v>0</v>
      </c>
      <c r="AM350">
        <f ca="1">IF(VALUE(RIGHT(AM27,3)),VALUE(RIGHT(AM27,3))*SUM(OFFSET('2.3家乡建筑'!$X89,,,VALUE(LEFT(AM27,2)))),)</f>
        <v>0</v>
      </c>
      <c r="AN350">
        <f ca="1">IF(VALUE(RIGHT(AN27,3)),VALUE(RIGHT(AN27,3))*SUM(OFFSET('2.3家乡建筑'!$X89,,,VALUE(LEFT(AN27,2)))),)</f>
        <v>0</v>
      </c>
      <c r="AO350">
        <f ca="1">IF(VALUE(RIGHT(AO27,3)),VALUE(RIGHT(AO27,3))*SUM(OFFSET('2.3家乡建筑'!$X89,,,VALUE(LEFT(AO27,2)))),)</f>
        <v>44.5</v>
      </c>
      <c r="AX350">
        <v>18000</v>
      </c>
      <c r="AY350" t="s">
        <v>4746</v>
      </c>
      <c r="AZ350" t="s">
        <v>4745</v>
      </c>
      <c r="BA350" t="s">
        <v>4751</v>
      </c>
      <c r="BB350">
        <v>0</v>
      </c>
      <c r="CP350" s="40">
        <v>84</v>
      </c>
      <c r="CQ350" s="41" t="s">
        <v>3868</v>
      </c>
      <c r="CR350" s="41" t="s">
        <v>6094</v>
      </c>
      <c r="CS350" s="41">
        <v>75</v>
      </c>
      <c r="CT350" s="41">
        <v>3</v>
      </c>
      <c r="CU350" s="41">
        <v>6</v>
      </c>
      <c r="CV350" s="41">
        <v>5</v>
      </c>
      <c r="CW350" s="41" t="s">
        <v>4706</v>
      </c>
      <c r="CX350" s="41" t="s">
        <v>4716</v>
      </c>
      <c r="CY350" s="40" t="s">
        <v>3096</v>
      </c>
    </row>
    <row r="351" spans="25:103" ht="14.6">
      <c r="AX351">
        <v>30000</v>
      </c>
      <c r="AY351" t="s">
        <v>4865</v>
      </c>
      <c r="AZ351" t="s">
        <v>4737</v>
      </c>
      <c r="BA351" t="s">
        <v>3432</v>
      </c>
      <c r="BB351">
        <v>0</v>
      </c>
      <c r="CP351" s="40">
        <v>85</v>
      </c>
      <c r="CQ351" s="41" t="s">
        <v>3855</v>
      </c>
      <c r="CR351" s="41" t="s">
        <v>6095</v>
      </c>
      <c r="CS351" s="41">
        <v>75</v>
      </c>
      <c r="CT351" s="41">
        <v>3</v>
      </c>
      <c r="CU351" s="41">
        <v>6</v>
      </c>
      <c r="CV351" s="41">
        <v>5</v>
      </c>
      <c r="CW351" s="41" t="s">
        <v>4706</v>
      </c>
      <c r="CX351" s="41" t="s">
        <v>4716</v>
      </c>
      <c r="CY351" s="40" t="s">
        <v>3096</v>
      </c>
    </row>
    <row r="352" spans="25:103" ht="14.6">
      <c r="Y352" s="12" t="s">
        <v>103</v>
      </c>
      <c r="AA352">
        <f ca="1">IF(VALUE(RIGHT(AA29,3)),VALUE(RIGHT(AA29,3))*SUM(OFFSET('2.3家乡建筑'!$AR107,,,VALUE(LEFT(AA29,2)))),)</f>
        <v>0</v>
      </c>
      <c r="AB352">
        <f ca="1">IF(VALUE(RIGHT(AB29,3)),VALUE(RIGHT(AB29,3))*SUM(OFFSET('2.3家乡建筑'!$AR107,,,VALUE(LEFT(AB29,2)))),)</f>
        <v>0</v>
      </c>
      <c r="AC352">
        <f ca="1">IF(VALUE(RIGHT(AC29,3)),VALUE(RIGHT(AC29,3))*SUM(OFFSET('2.3家乡建筑'!$AR107,,,VALUE(LEFT(AC29,2)))),)</f>
        <v>8.3333333333333402E-3</v>
      </c>
      <c r="AD352">
        <f ca="1">IF(VALUE(RIGHT(AD29,3)),VALUE(RIGHT(AD29,3))*SUM(OFFSET('2.3家乡建筑'!$AR107,,,VALUE(LEFT(AD29,2)))),)</f>
        <v>8.3333333333333402E-3</v>
      </c>
      <c r="AE352">
        <f ca="1">IF(VALUE(RIGHT(AE29,3)),VALUE(RIGHT(AE29,3))*SUM(OFFSET('2.3家乡建筑'!$AR107,,,VALUE(LEFT(AE29,2)))),)</f>
        <v>0.34999999999999987</v>
      </c>
      <c r="AF352">
        <f ca="1">IF(VALUE(RIGHT(AF29,3)),VALUE(RIGHT(AF29,3))*SUM(OFFSET('2.3家乡建筑'!$AR107,,,VALUE(LEFT(AF29,2)))),)</f>
        <v>0.34999999999999987</v>
      </c>
      <c r="AG352">
        <f ca="1">IF(VALUE(RIGHT(AG29,3)),VALUE(RIGHT(AG29,3))*SUM(OFFSET('2.3家乡建筑'!$AR107,,,VALUE(LEFT(AG29,2)))),)</f>
        <v>2.5249999999999977</v>
      </c>
      <c r="AH352">
        <f ca="1">IF(VALUE(RIGHT(AH29,3)),VALUE(RIGHT(AH29,3))*SUM(OFFSET('2.3家乡建筑'!$AR107,,,VALUE(LEFT(AH29,2)))),)</f>
        <v>7.0249999999999977</v>
      </c>
      <c r="AI352">
        <f ca="1">IF(VALUE(RIGHT(AI29,3)),VALUE(RIGHT(AI29,3))*SUM(OFFSET('2.3家乡建筑'!$AR107,,,VALUE(LEFT(AI29,2)))),)</f>
        <v>16.024999999999999</v>
      </c>
      <c r="AJ352">
        <f ca="1">IF(VALUE(RIGHT(AJ29,3)),VALUE(RIGHT(AJ29,3))*SUM(OFFSET('2.3家乡建筑'!$AR107,,,VALUE(LEFT(AJ29,2)))),)</f>
        <v>31.024999999999995</v>
      </c>
      <c r="AK352">
        <f ca="1">IF(VALUE(RIGHT(AK29,3)),VALUE(RIGHT(AK29,3))*SUM(OFFSET('2.3家乡建筑'!$AR107,,,VALUE(LEFT(AK29,2)))),)</f>
        <v>47.524999999999991</v>
      </c>
      <c r="AL352">
        <f ca="1">IF(VALUE(RIGHT(AL29,3)),VALUE(RIGHT(AL29,3))*SUM(OFFSET('2.3家乡建筑'!$AR107,,,VALUE(LEFT(AL29,2)))),)</f>
        <v>47.524999999999991</v>
      </c>
      <c r="AM352">
        <f ca="1">IF(VALUE(RIGHT(AM29,3)),VALUE(RIGHT(AM29,3))*SUM(OFFSET('2.3家乡建筑'!$AR107,,,VALUE(LEFT(AM29,2)))),)</f>
        <v>86.945833333333326</v>
      </c>
      <c r="AN352">
        <f ca="1">IF(VALUE(RIGHT(AN29,3)),VALUE(RIGHT(AN29,3))*SUM(OFFSET('2.3家乡建筑'!$AR107,,,VALUE(LEFT(AN29,2)))),)</f>
        <v>159.36666666666667</v>
      </c>
      <c r="AO352">
        <f ca="1">IF(VALUE(RIGHT(AO29,3)),VALUE(RIGHT(AO29,3))*SUM(OFFSET('2.3家乡建筑'!$AR107,,,VALUE(LEFT(AO29,2)))),)</f>
        <v>223.36666666666667</v>
      </c>
      <c r="AX352">
        <v>1000</v>
      </c>
      <c r="AY352" t="s">
        <v>4771</v>
      </c>
      <c r="AZ352" t="s">
        <v>6051</v>
      </c>
      <c r="BA352" t="s">
        <v>6052</v>
      </c>
      <c r="BB352">
        <v>0</v>
      </c>
      <c r="CP352" s="40">
        <v>86</v>
      </c>
      <c r="CQ352" s="41" t="s">
        <v>3795</v>
      </c>
      <c r="CR352" s="41" t="s">
        <v>6096</v>
      </c>
      <c r="CS352" s="41">
        <v>75</v>
      </c>
      <c r="CT352" s="41">
        <v>3</v>
      </c>
      <c r="CU352" s="41">
        <v>6</v>
      </c>
      <c r="CV352" s="41">
        <v>5</v>
      </c>
      <c r="CW352" s="41" t="s">
        <v>4706</v>
      </c>
      <c r="CX352" s="41" t="s">
        <v>4716</v>
      </c>
      <c r="CY352" s="40" t="s">
        <v>3096</v>
      </c>
    </row>
    <row r="353" spans="25:103" ht="14.6">
      <c r="Y353" s="12" t="s">
        <v>107</v>
      </c>
      <c r="AA353">
        <f ca="1">IF(VALUE(RIGHT(AA30,3)),VALUE(RIGHT(AA30,3))*SUM(OFFSET('2.3家乡建筑'!$AR126,,,VALUE(LEFT(AA30,2)))),)</f>
        <v>0</v>
      </c>
      <c r="AB353">
        <f ca="1">IF(VALUE(RIGHT(AB30,3)),VALUE(RIGHT(AB30,3))*SUM(OFFSET('2.3家乡建筑'!$AR126,,,VALUE(LEFT(AB30,2)))),)</f>
        <v>0</v>
      </c>
      <c r="AC353">
        <f ca="1">IF(VALUE(RIGHT(AC30,3)),VALUE(RIGHT(AC30,3))*SUM(OFFSET('2.3家乡建筑'!$AR126,,,VALUE(LEFT(AC30,2)))),)</f>
        <v>0</v>
      </c>
      <c r="AD353">
        <f ca="1">IF(VALUE(RIGHT(AD30,3)),VALUE(RIGHT(AD30,3))*SUM(OFFSET('2.3家乡建筑'!$AR126,,,VALUE(LEFT(AD30,2)))),)</f>
        <v>0</v>
      </c>
      <c r="AE353">
        <f ca="1">IF(VALUE(RIGHT(AE30,3)),VALUE(RIGHT(AE30,3))*SUM(OFFSET('2.3家乡建筑'!$AR126,,,VALUE(LEFT(AE30,2)))),)</f>
        <v>6</v>
      </c>
      <c r="AF353">
        <f ca="1">IF(VALUE(RIGHT(AF30,3)),VALUE(RIGHT(AF30,3))*SUM(OFFSET('2.3家乡建筑'!$AR126,,,VALUE(LEFT(AF30,2)))),)</f>
        <v>6</v>
      </c>
      <c r="AG353">
        <f ca="1">IF(VALUE(RIGHT(AG30,3)),VALUE(RIGHT(AG30,3))*SUM(OFFSET('2.3家乡建筑'!$AR126,,,VALUE(LEFT(AG30,2)))),)</f>
        <v>12</v>
      </c>
      <c r="AH353">
        <f ca="1">IF(VALUE(RIGHT(AH30,3)),VALUE(RIGHT(AH30,3))*SUM(OFFSET('2.3家乡建筑'!$AR126,,,VALUE(LEFT(AH30,2)))),)</f>
        <v>24</v>
      </c>
      <c r="AI353">
        <f ca="1">IF(VALUE(RIGHT(AI30,3)),VALUE(RIGHT(AI30,3))*SUM(OFFSET('2.3家乡建筑'!$AR126,,,VALUE(LEFT(AI30,2)))),)</f>
        <v>42</v>
      </c>
      <c r="AJ353">
        <f ca="1">IF(VALUE(RIGHT(AJ30,3)),VALUE(RIGHT(AJ30,3))*SUM(OFFSET('2.3家乡建筑'!$AR126,,,VALUE(LEFT(AJ30,2)))),)</f>
        <v>52.5</v>
      </c>
      <c r="AK353">
        <f ca="1">IF(VALUE(RIGHT(AK30,3)),VALUE(RIGHT(AK30,3))*SUM(OFFSET('2.3家乡建筑'!$AR126,,,VALUE(LEFT(AK30,2)))),)</f>
        <v>78.75</v>
      </c>
      <c r="AL353">
        <f ca="1">IF(VALUE(RIGHT(AL30,3)),VALUE(RIGHT(AL30,3))*SUM(OFFSET('2.3家乡建筑'!$AR126,,,VALUE(LEFT(AL30,2)))),)</f>
        <v>145.5</v>
      </c>
      <c r="AM353">
        <f ca="1">IF(VALUE(RIGHT(AM30,3)),VALUE(RIGHT(AM30,3))*SUM(OFFSET('2.3家乡建筑'!$AR126,,,VALUE(LEFT(AM30,2)))),)</f>
        <v>199.5</v>
      </c>
      <c r="AN353">
        <f ca="1">IF(VALUE(RIGHT(AN30,3)),VALUE(RIGHT(AN30,3))*SUM(OFFSET('2.3家乡建筑'!$AR126,,,VALUE(LEFT(AN30,2)))),)</f>
        <v>232.75</v>
      </c>
      <c r="AO353">
        <f ca="1">IF(VALUE(RIGHT(AO30,3)),VALUE(RIGHT(AO30,3))*SUM(OFFSET('2.3家乡建筑'!$AR126,,,VALUE(LEFT(AO30,2)))),)</f>
        <v>232.75</v>
      </c>
      <c r="AX353">
        <v>2500</v>
      </c>
      <c r="AY353" t="s">
        <v>4844</v>
      </c>
      <c r="AZ353" t="s">
        <v>6069</v>
      </c>
      <c r="BA353" t="s">
        <v>4878</v>
      </c>
      <c r="BB353">
        <v>0</v>
      </c>
      <c r="CP353" s="40">
        <v>87</v>
      </c>
      <c r="CQ353" s="41" t="s">
        <v>3804</v>
      </c>
      <c r="CR353" s="41" t="s">
        <v>6097</v>
      </c>
      <c r="CS353" s="41">
        <v>75</v>
      </c>
      <c r="CT353" s="41">
        <v>3</v>
      </c>
      <c r="CU353" s="41">
        <v>6</v>
      </c>
      <c r="CV353" s="41">
        <v>5</v>
      </c>
      <c r="CW353" s="41" t="s">
        <v>4706</v>
      </c>
      <c r="CX353" s="41" t="s">
        <v>4716</v>
      </c>
      <c r="CY353" s="40" t="s">
        <v>3096</v>
      </c>
    </row>
    <row r="354" spans="25:103" ht="14.6">
      <c r="Y354" s="12" t="s">
        <v>112</v>
      </c>
      <c r="AA354">
        <f ca="1">IF(VALUE(RIGHT(AA31,3)),VALUE(RIGHT(AA31,3))*SUM(OFFSET('2.3家乡建筑'!$AY117,,,VALUE(LEFT(AA31,2)))),)</f>
        <v>0</v>
      </c>
      <c r="AB354">
        <f ca="1">IF(VALUE(RIGHT(AB31,3)),VALUE(RIGHT(AB31,3))*SUM(OFFSET('2.3家乡建筑'!$AY117,,,VALUE(LEFT(AB31,2)))),)</f>
        <v>0</v>
      </c>
      <c r="AC354">
        <f ca="1">IF(VALUE(RIGHT(AC31,3)),VALUE(RIGHT(AC31,3))*SUM(OFFSET('2.3家乡建筑'!$AY117,,,VALUE(LEFT(AC31,2)))),)</f>
        <v>0</v>
      </c>
      <c r="AD354">
        <f ca="1">IF(VALUE(RIGHT(AD31,3)),VALUE(RIGHT(AD31,3))*SUM(OFFSET('2.3家乡建筑'!$AY117,,,VALUE(LEFT(AD31,2)))),)</f>
        <v>0</v>
      </c>
      <c r="AE354">
        <f ca="1">IF(VALUE(RIGHT(AE31,3)),VALUE(RIGHT(AE31,3))*SUM(OFFSET('2.3家乡建筑'!$AY117,,,VALUE(LEFT(AE31,2)))),)</f>
        <v>0</v>
      </c>
      <c r="AF354">
        <f ca="1">IF(VALUE(RIGHT(AF31,3)),VALUE(RIGHT(AF31,3))*SUM(OFFSET('2.3家乡建筑'!$AY117,,,VALUE(LEFT(AF31,2)))),)</f>
        <v>0</v>
      </c>
      <c r="AG354">
        <f ca="1">IF(VALUE(RIGHT(AG31,3)),VALUE(RIGHT(AG31,3))*SUM(OFFSET('2.3家乡建筑'!$AY117,,,VALUE(LEFT(AG31,2)))),)</f>
        <v>0</v>
      </c>
      <c r="AH354">
        <f ca="1">IF(VALUE(RIGHT(AH31,3)),VALUE(RIGHT(AH31,3))*SUM(OFFSET('2.3家乡建筑'!$AY117,,,VALUE(LEFT(AH31,2)))),)</f>
        <v>0</v>
      </c>
      <c r="AI354">
        <f ca="1">IF(VALUE(RIGHT(AI31,3)),VALUE(RIGHT(AI31,3))*SUM(OFFSET('2.3家乡建筑'!$AY117,,,VALUE(LEFT(AI31,2)))),)</f>
        <v>4</v>
      </c>
      <c r="AJ354">
        <f ca="1">IF(VALUE(RIGHT(AJ31,3)),VALUE(RIGHT(AJ31,3))*SUM(OFFSET('2.3家乡建筑'!$AY117,,,VALUE(LEFT(AJ31,2)))),)</f>
        <v>20</v>
      </c>
      <c r="AK354">
        <f ca="1">IF(VALUE(RIGHT(AK31,3)),VALUE(RIGHT(AK31,3))*SUM(OFFSET('2.3家乡建筑'!$AY117,,,VALUE(LEFT(AK31,2)))),)</f>
        <v>20</v>
      </c>
      <c r="AL354">
        <f ca="1">IF(VALUE(RIGHT(AL31,3)),VALUE(RIGHT(AL31,3))*SUM(OFFSET('2.3家乡建筑'!$AY117,,,VALUE(LEFT(AL31,2)))),)</f>
        <v>24</v>
      </c>
      <c r="AM354">
        <f ca="1">IF(VALUE(RIGHT(AM31,3)),VALUE(RIGHT(AM31,3))*SUM(OFFSET('2.3家乡建筑'!$AY117,,,VALUE(LEFT(AM31,2)))),)</f>
        <v>64.75</v>
      </c>
      <c r="AN354">
        <f ca="1">IF(VALUE(RIGHT(AN31,3)),VALUE(RIGHT(AN31,3))*SUM(OFFSET('2.3家乡建筑'!$AY117,,,VALUE(LEFT(AN31,2)))),)</f>
        <v>74</v>
      </c>
      <c r="AO354">
        <f ca="1">IF(VALUE(RIGHT(AO31,3)),VALUE(RIGHT(AO31,3))*SUM(OFFSET('2.3家乡建筑'!$AY117,,,VALUE(LEFT(AO31,2)))),)</f>
        <v>74</v>
      </c>
      <c r="AX354">
        <v>5000</v>
      </c>
      <c r="AY354" t="s">
        <v>5455</v>
      </c>
      <c r="AZ354" t="s">
        <v>6033</v>
      </c>
      <c r="BA354" t="s">
        <v>4769</v>
      </c>
      <c r="BB354">
        <v>0</v>
      </c>
      <c r="CP354" s="40">
        <v>88</v>
      </c>
      <c r="CQ354" s="41" t="s">
        <v>3863</v>
      </c>
      <c r="CR354" s="41" t="s">
        <v>6098</v>
      </c>
      <c r="CS354" s="41">
        <v>75</v>
      </c>
      <c r="CT354" s="41">
        <v>3</v>
      </c>
      <c r="CU354" s="41">
        <v>6</v>
      </c>
      <c r="CV354" s="41">
        <v>5</v>
      </c>
      <c r="CW354" s="41" t="s">
        <v>4706</v>
      </c>
      <c r="CX354" s="41" t="s">
        <v>4716</v>
      </c>
      <c r="CY354" s="40" t="s">
        <v>3096</v>
      </c>
    </row>
    <row r="355" spans="25:103" ht="14.6">
      <c r="Y355" s="12" t="s">
        <v>116</v>
      </c>
      <c r="AA355">
        <f ca="1">IF(VALUE(RIGHT(AA32,3)),VALUE(RIGHT(AA32,3))*SUM(OFFSET('2.3家乡建筑'!$AY107,,,VALUE(LEFT(AA32,2)))),)</f>
        <v>0</v>
      </c>
      <c r="AB355">
        <f ca="1">IF(VALUE(RIGHT(AB32,3)),VALUE(RIGHT(AB32,3))*SUM(OFFSET('2.3家乡建筑'!$AY107,,,VALUE(LEFT(AB32,2)))),)</f>
        <v>0</v>
      </c>
      <c r="AC355">
        <f ca="1">IF(VALUE(RIGHT(AC32,3)),VALUE(RIGHT(AC32,3))*SUM(OFFSET('2.3家乡建筑'!$AY107,,,VALUE(LEFT(AC32,2)))),)</f>
        <v>0</v>
      </c>
      <c r="AD355">
        <f ca="1">IF(VALUE(RIGHT(AD32,3)),VALUE(RIGHT(AD32,3))*SUM(OFFSET('2.3家乡建筑'!$AY107,,,VALUE(LEFT(AD32,2)))),)</f>
        <v>0</v>
      </c>
      <c r="AE355">
        <f ca="1">IF(VALUE(RIGHT(AE32,3)),VALUE(RIGHT(AE32,3))*SUM(OFFSET('2.3家乡建筑'!$AY107,,,VALUE(LEFT(AE32,2)))),)</f>
        <v>0</v>
      </c>
      <c r="AF355">
        <f ca="1">IF(VALUE(RIGHT(AF32,3)),VALUE(RIGHT(AF32,3))*SUM(OFFSET('2.3家乡建筑'!$AY107,,,VALUE(LEFT(AF32,2)))),)</f>
        <v>0</v>
      </c>
      <c r="AG355">
        <f ca="1">IF(VALUE(RIGHT(AG32,3)),VALUE(RIGHT(AG32,3))*SUM(OFFSET('2.3家乡建筑'!$AY107,,,VALUE(LEFT(AG32,2)))),)</f>
        <v>2</v>
      </c>
      <c r="AH355">
        <f ca="1">IF(VALUE(RIGHT(AH32,3)),VALUE(RIGHT(AH32,3))*SUM(OFFSET('2.3家乡建筑'!$AY107,,,VALUE(LEFT(AH32,2)))),)</f>
        <v>7.5</v>
      </c>
      <c r="AI355">
        <f ca="1">IF(VALUE(RIGHT(AI32,3)),VALUE(RIGHT(AI32,3))*SUM(OFFSET('2.3家乡建筑'!$AY107,,,VALUE(LEFT(AI32,2)))),)</f>
        <v>16.5</v>
      </c>
      <c r="AJ355">
        <f ca="1">IF(VALUE(RIGHT(AJ32,3)),VALUE(RIGHT(AJ32,3))*SUM(OFFSET('2.3家乡建筑'!$AY107,,,VALUE(LEFT(AJ32,2)))),)</f>
        <v>34.5</v>
      </c>
      <c r="AK355">
        <f ca="1">IF(VALUE(RIGHT(AK32,3)),VALUE(RIGHT(AK32,3))*SUM(OFFSET('2.3家乡建筑'!$AY107,,,VALUE(LEFT(AK32,2)))),)</f>
        <v>34.5</v>
      </c>
      <c r="AL355">
        <f ca="1">IF(VALUE(RIGHT(AL32,3)),VALUE(RIGHT(AL32,3))*SUM(OFFSET('2.3家乡建筑'!$AY107,,,VALUE(LEFT(AL32,2)))),)</f>
        <v>46</v>
      </c>
      <c r="AM355">
        <f ca="1">IF(VALUE(RIGHT(AM32,3)),VALUE(RIGHT(AM32,3))*SUM(OFFSET('2.3家乡建筑'!$AY107,,,VALUE(LEFT(AM32,2)))),)</f>
        <v>51.75</v>
      </c>
      <c r="AN355">
        <f ca="1">IF(VALUE(RIGHT(AN32,3)),VALUE(RIGHT(AN32,3))*SUM(OFFSET('2.3家乡建筑'!$AY107,,,VALUE(LEFT(AN32,2)))),)</f>
        <v>51.75</v>
      </c>
      <c r="AO355">
        <f ca="1">IF(VALUE(RIGHT(AO32,3)),VALUE(RIGHT(AO32,3))*SUM(OFFSET('2.3家乡建筑'!$AY107,,,VALUE(LEFT(AO32,2)))),)</f>
        <v>51.75</v>
      </c>
      <c r="AX355">
        <v>10000</v>
      </c>
      <c r="AY355" t="s">
        <v>4673</v>
      </c>
      <c r="AZ355" t="s">
        <v>4794</v>
      </c>
      <c r="BA355" t="s">
        <v>5468</v>
      </c>
      <c r="BB355">
        <v>0</v>
      </c>
      <c r="CP355" s="40">
        <v>89</v>
      </c>
      <c r="CQ355" s="41" t="s">
        <v>3529</v>
      </c>
      <c r="CR355" s="41" t="s">
        <v>5506</v>
      </c>
      <c r="CS355" s="41">
        <v>100</v>
      </c>
      <c r="CT355" s="41">
        <v>3</v>
      </c>
      <c r="CU355" s="41">
        <v>5</v>
      </c>
      <c r="CV355" s="41">
        <v>5</v>
      </c>
      <c r="CW355" s="41" t="s">
        <v>4706</v>
      </c>
      <c r="CX355" s="41" t="s">
        <v>4716</v>
      </c>
      <c r="CY355" s="40" t="s">
        <v>3096</v>
      </c>
    </row>
    <row r="356" spans="25:103" ht="14.6">
      <c r="Y356" s="12" t="s">
        <v>121</v>
      </c>
      <c r="AA356">
        <f ca="1">IF(VALUE(RIGHT(AA33,3)),VALUE(RIGHT(AA33,3))*SUM(OFFSET('2.3家乡建筑'!$BG108,,,VALUE(LEFT(AA33,2)))),)</f>
        <v>0</v>
      </c>
      <c r="AB356">
        <f ca="1">IF(VALUE(RIGHT(AB33,3)),VALUE(RIGHT(AB33,3))*SUM(OFFSET('2.3家乡建筑'!$BG108,,,VALUE(LEFT(AB33,2)))),)</f>
        <v>0</v>
      </c>
      <c r="AC356">
        <f ca="1">IF(VALUE(RIGHT(AC33,3)),VALUE(RIGHT(AC33,3))*SUM(OFFSET('2.3家乡建筑'!$BG108,,,VALUE(LEFT(AC33,2)))),)</f>
        <v>0</v>
      </c>
      <c r="AD356">
        <f ca="1">IF(VALUE(RIGHT(AD33,3)),VALUE(RIGHT(AD33,3))*SUM(OFFSET('2.3家乡建筑'!$BG108,,,VALUE(LEFT(AD33,2)))),)</f>
        <v>0</v>
      </c>
      <c r="AE356">
        <f ca="1">IF(VALUE(RIGHT(AE33,3)),VALUE(RIGHT(AE33,3))*SUM(OFFSET('2.3家乡建筑'!$BG108,,,VALUE(LEFT(AE33,2)))),)</f>
        <v>0</v>
      </c>
      <c r="AF356">
        <f ca="1">IF(VALUE(RIGHT(AF33,3)),VALUE(RIGHT(AF33,3))*SUM(OFFSET('2.3家乡建筑'!$BG108,,,VALUE(LEFT(AF33,2)))),)</f>
        <v>0.25</v>
      </c>
      <c r="AG356">
        <f ca="1">IF(VALUE(RIGHT(AG33,3)),VALUE(RIGHT(AG33,3))*SUM(OFFSET('2.3家乡建筑'!$BG108,,,VALUE(LEFT(AG33,2)))),)</f>
        <v>0.5</v>
      </c>
      <c r="AH356">
        <f ca="1">IF(VALUE(RIGHT(AH33,3)),VALUE(RIGHT(AH33,3))*SUM(OFFSET('2.3家乡建筑'!$BG108,,,VALUE(LEFT(AH33,2)))),)</f>
        <v>3.75</v>
      </c>
      <c r="AI356">
        <f ca="1">IF(VALUE(RIGHT(AI33,3)),VALUE(RIGHT(AI33,3))*SUM(OFFSET('2.3家乡建筑'!$BG108,,,VALUE(LEFT(AI33,2)))),)</f>
        <v>5</v>
      </c>
      <c r="AJ356">
        <f ca="1">IF(VALUE(RIGHT(AJ33,3)),VALUE(RIGHT(AJ33,3))*SUM(OFFSET('2.3家乡建筑'!$BG108,,,VALUE(LEFT(AJ33,2)))),)</f>
        <v>21.25</v>
      </c>
      <c r="AK356">
        <f ca="1">IF(VALUE(RIGHT(AK33,3)),VALUE(RIGHT(AK33,3))*SUM(OFFSET('2.3家乡建筑'!$BG108,,,VALUE(LEFT(AK33,2)))),)</f>
        <v>38.75</v>
      </c>
      <c r="AL356">
        <f ca="1">IF(VALUE(RIGHT(AL33,3)),VALUE(RIGHT(AL33,3))*SUM(OFFSET('2.3家乡建筑'!$BG108,,,VALUE(LEFT(AL33,2)))),)</f>
        <v>46.5</v>
      </c>
      <c r="AM356">
        <f ca="1">IF(VALUE(RIGHT(AM33,3)),VALUE(RIGHT(AM33,3))*SUM(OFFSET('2.3家乡建筑'!$BG108,,,VALUE(LEFT(AM33,2)))),)</f>
        <v>118.5</v>
      </c>
      <c r="AN356">
        <f ca="1">IF(VALUE(RIGHT(AN33,3)),VALUE(RIGHT(AN33,3))*SUM(OFFSET('2.3家乡建筑'!$BG108,,,VALUE(LEFT(AN33,2)))),)</f>
        <v>211.75</v>
      </c>
      <c r="AO356">
        <f ca="1">IF(VALUE(RIGHT(AO33,3)),VALUE(RIGHT(AO33,3))*SUM(OFFSET('2.3家乡建筑'!$BG108,,,VALUE(LEFT(AO33,2)))),)</f>
        <v>211.75</v>
      </c>
      <c r="AX356">
        <v>3000</v>
      </c>
      <c r="AY356" t="s">
        <v>6099</v>
      </c>
      <c r="AZ356" t="s">
        <v>4878</v>
      </c>
      <c r="BA356" t="s">
        <v>4688</v>
      </c>
      <c r="BB356">
        <v>20</v>
      </c>
      <c r="CP356" s="40">
        <v>90</v>
      </c>
      <c r="CQ356" s="41" t="s">
        <v>3538</v>
      </c>
      <c r="CR356" s="41" t="s">
        <v>6100</v>
      </c>
      <c r="CS356" s="41">
        <v>100</v>
      </c>
      <c r="CT356" s="41">
        <v>3</v>
      </c>
      <c r="CU356" s="41">
        <v>5</v>
      </c>
      <c r="CV356" s="41">
        <v>5</v>
      </c>
      <c r="CW356" s="41" t="s">
        <v>4706</v>
      </c>
      <c r="CX356" s="41" t="s">
        <v>4716</v>
      </c>
      <c r="CY356" s="40" t="s">
        <v>3096</v>
      </c>
    </row>
    <row r="357" spans="25:103" ht="14.6">
      <c r="Y357" s="12" t="s">
        <v>124</v>
      </c>
      <c r="AA357">
        <f ca="1">IF(VALUE(RIGHT(AA34,3)),VALUE(RIGHT(AA34,3))*SUM(OFFSET('2.3家乡建筑'!$BF121,,,VALUE(LEFT(AA34,2)))),)</f>
        <v>0</v>
      </c>
      <c r="AB357">
        <f ca="1">IF(VALUE(RIGHT(AB34,3)),VALUE(RIGHT(AB34,3))*SUM(OFFSET('2.3家乡建筑'!$BF121,,,VALUE(LEFT(AB34,2)))),)</f>
        <v>0</v>
      </c>
      <c r="AC357">
        <f ca="1">IF(VALUE(RIGHT(AC34,3)),VALUE(RIGHT(AC34,3))*SUM(OFFSET('2.3家乡建筑'!$BF121,,,VALUE(LEFT(AC34,2)))),)</f>
        <v>0</v>
      </c>
      <c r="AD357">
        <f ca="1">IF(VALUE(RIGHT(AD34,3)),VALUE(RIGHT(AD34,3))*SUM(OFFSET('2.3家乡建筑'!$BF121,,,VALUE(LEFT(AD34,2)))),)</f>
        <v>0</v>
      </c>
      <c r="AE357">
        <f ca="1">IF(VALUE(RIGHT(AE34,3)),VALUE(RIGHT(AE34,3))*SUM(OFFSET('2.3家乡建筑'!$BF121,,,VALUE(LEFT(AE34,2)))),)</f>
        <v>0</v>
      </c>
      <c r="AF357">
        <f ca="1">IF(VALUE(RIGHT(AF34,3)),VALUE(RIGHT(AF34,3))*SUM(OFFSET('2.3家乡建筑'!$BF121,,,VALUE(LEFT(AF34,2)))),)</f>
        <v>0</v>
      </c>
      <c r="AG357">
        <f ca="1">IF(VALUE(RIGHT(AG34,3)),VALUE(RIGHT(AG34,3))*SUM(OFFSET('2.3家乡建筑'!$BF121,,,VALUE(LEFT(AG34,2)))),)</f>
        <v>0</v>
      </c>
      <c r="AH357">
        <f ca="1">IF(VALUE(RIGHT(AH34,3)),VALUE(RIGHT(AH34,3))*SUM(OFFSET('2.3家乡建筑'!$BF121,,,VALUE(LEFT(AH34,2)))),)</f>
        <v>0.41666666666666602</v>
      </c>
      <c r="AI357">
        <f ca="1">IF(VALUE(RIGHT(AI34,3)),VALUE(RIGHT(AI34,3))*SUM(OFFSET('2.3家乡建筑'!$BF121,,,VALUE(LEFT(AI34,2)))),)</f>
        <v>2.0833333333333321</v>
      </c>
      <c r="AJ357">
        <f ca="1">IF(VALUE(RIGHT(AJ34,3)),VALUE(RIGHT(AJ34,3))*SUM(OFFSET('2.3家乡建筑'!$BF121,,,VALUE(LEFT(AJ34,2)))),)</f>
        <v>8.1250000000000089</v>
      </c>
      <c r="AK357">
        <f ca="1">IF(VALUE(RIGHT(AK34,3)),VALUE(RIGHT(AK34,3))*SUM(OFFSET('2.3家乡建筑'!$BF121,,,VALUE(LEFT(AK34,2)))),)</f>
        <v>8.1250000000000089</v>
      </c>
      <c r="AL357">
        <f ca="1">IF(VALUE(RIGHT(AL34,3)),VALUE(RIGHT(AL34,3))*SUM(OFFSET('2.3家乡建筑'!$BF121,,,VALUE(LEFT(AL34,2)))),)</f>
        <v>8.1250000000000089</v>
      </c>
      <c r="AM357">
        <f ca="1">IF(VALUE(RIGHT(AM34,3)),VALUE(RIGHT(AM34,3))*SUM(OFFSET('2.3家乡建筑'!$BF121,,,VALUE(LEFT(AM34,2)))),)</f>
        <v>8.1250000000000089</v>
      </c>
      <c r="AN357">
        <f ca="1">IF(VALUE(RIGHT(AN34,3)),VALUE(RIGHT(AN34,3))*SUM(OFFSET('2.3家乡建筑'!$BF121,,,VALUE(LEFT(AN34,2)))),)</f>
        <v>10.833333333333345</v>
      </c>
      <c r="AO357">
        <f ca="1">IF(VALUE(RIGHT(AO34,3)),VALUE(RIGHT(AO34,3))*SUM(OFFSET('2.3家乡建筑'!$BF121,,,VALUE(LEFT(AO34,2)))),)</f>
        <v>10.833333333333345</v>
      </c>
      <c r="AX357">
        <v>7500</v>
      </c>
      <c r="AY357" t="s">
        <v>4909</v>
      </c>
      <c r="AZ357" t="s">
        <v>4689</v>
      </c>
      <c r="BA357" t="s">
        <v>4770</v>
      </c>
      <c r="BB357">
        <v>40</v>
      </c>
      <c r="CP357" s="40">
        <v>91</v>
      </c>
      <c r="CQ357" s="41" t="s">
        <v>3550</v>
      </c>
      <c r="CR357" s="41" t="s">
        <v>6101</v>
      </c>
      <c r="CS357" s="41">
        <v>100</v>
      </c>
      <c r="CT357" s="41">
        <v>3</v>
      </c>
      <c r="CU357" s="41">
        <v>5</v>
      </c>
      <c r="CV357" s="41">
        <v>5</v>
      </c>
      <c r="CW357" s="41" t="s">
        <v>4706</v>
      </c>
      <c r="CX357" s="41" t="s">
        <v>4716</v>
      </c>
      <c r="CY357" s="40" t="s">
        <v>3096</v>
      </c>
    </row>
    <row r="358" spans="25:103" ht="14.6">
      <c r="Y358" s="12" t="s">
        <v>127</v>
      </c>
      <c r="AA358">
        <f ca="1">IF(VALUE(RIGHT(AA35,3)),VALUE(RIGHT(AA35,3))*SUM(OFFSET('2.3家乡建筑'!$AZ130,,,VALUE(LEFT(AA35,2)))),)</f>
        <v>0</v>
      </c>
      <c r="AB358">
        <f ca="1">IF(VALUE(RIGHT(AB35,3)),VALUE(RIGHT(AB35,3))*SUM(OFFSET('2.3家乡建筑'!$AZ130,,,VALUE(LEFT(AB35,2)))),)</f>
        <v>0</v>
      </c>
      <c r="AC358">
        <f ca="1">IF(VALUE(RIGHT(AC35,3)),VALUE(RIGHT(AC35,3))*SUM(OFFSET('2.3家乡建筑'!$AZ130,,,VALUE(LEFT(AC35,2)))),)</f>
        <v>0</v>
      </c>
      <c r="AD358">
        <f ca="1">IF(VALUE(RIGHT(AD35,3)),VALUE(RIGHT(AD35,3))*SUM(OFFSET('2.3家乡建筑'!$AZ130,,,VALUE(LEFT(AD35,2)))),)</f>
        <v>0</v>
      </c>
      <c r="AE358">
        <f ca="1">IF(VALUE(RIGHT(AE35,3)),VALUE(RIGHT(AE35,3))*SUM(OFFSET('2.3家乡建筑'!$AZ130,,,VALUE(LEFT(AE35,2)))),)</f>
        <v>0</v>
      </c>
      <c r="AF358">
        <f ca="1">IF(VALUE(RIGHT(AF35,3)),VALUE(RIGHT(AF35,3))*SUM(OFFSET('2.3家乡建筑'!$AZ130,,,VALUE(LEFT(AF35,2)))),)</f>
        <v>0</v>
      </c>
      <c r="AG358">
        <f ca="1">IF(VALUE(RIGHT(AG35,3)),VALUE(RIGHT(AG35,3))*SUM(OFFSET('2.3家乡建筑'!$AZ130,,,VALUE(LEFT(AG35,2)))),)</f>
        <v>0</v>
      </c>
      <c r="AH358">
        <f ca="1">IF(VALUE(RIGHT(AH35,3)),VALUE(RIGHT(AH35,3))*SUM(OFFSET('2.3家乡建筑'!$AZ130,,,VALUE(LEFT(AH35,2)))),)</f>
        <v>0</v>
      </c>
      <c r="AI358">
        <f ca="1">IF(VALUE(RIGHT(AI35,3)),VALUE(RIGHT(AI35,3))*SUM(OFFSET('2.3家乡建筑'!$AZ130,,,VALUE(LEFT(AI35,2)))),)</f>
        <v>0</v>
      </c>
      <c r="AJ358">
        <f ca="1">IF(VALUE(RIGHT(AJ35,3)),VALUE(RIGHT(AJ35,3))*SUM(OFFSET('2.3家乡建筑'!$AZ130,,,VALUE(LEFT(AJ35,2)))),)</f>
        <v>0</v>
      </c>
      <c r="AK358">
        <f ca="1">IF(VALUE(RIGHT(AK35,3)),VALUE(RIGHT(AK35,3))*SUM(OFFSET('2.3家乡建筑'!$AZ130,,,VALUE(LEFT(AK35,2)))),)</f>
        <v>3</v>
      </c>
      <c r="AL358">
        <f ca="1">IF(VALUE(RIGHT(AL35,3)),VALUE(RIGHT(AL35,3))*SUM(OFFSET('2.3家乡建筑'!$AZ130,,,VALUE(LEFT(AL35,2)))),)</f>
        <v>6</v>
      </c>
      <c r="AM358">
        <f ca="1">IF(VALUE(RIGHT(AM35,3)),VALUE(RIGHT(AM35,3))*SUM(OFFSET('2.3家乡建筑'!$AZ130,,,VALUE(LEFT(AM35,2)))),)</f>
        <v>6</v>
      </c>
      <c r="AN358">
        <f ca="1">IF(VALUE(RIGHT(AN35,3)),VALUE(RIGHT(AN35,3))*SUM(OFFSET('2.3家乡建筑'!$AZ130,,,VALUE(LEFT(AN35,2)))),)</f>
        <v>6</v>
      </c>
      <c r="AO358">
        <f ca="1">IF(VALUE(RIGHT(AO35,3)),VALUE(RIGHT(AO35,3))*SUM(OFFSET('2.3家乡建筑'!$AZ130,,,VALUE(LEFT(AO35,2)))),)</f>
        <v>6</v>
      </c>
      <c r="AX358">
        <v>12000</v>
      </c>
      <c r="AY358" t="s">
        <v>4824</v>
      </c>
      <c r="AZ358" t="s">
        <v>5885</v>
      </c>
      <c r="BA358" t="s">
        <v>4795</v>
      </c>
      <c r="BB358">
        <v>60</v>
      </c>
      <c r="CP358" s="40">
        <v>92</v>
      </c>
      <c r="CQ358" s="41" t="s">
        <v>3544</v>
      </c>
      <c r="CR358" s="41" t="s">
        <v>6102</v>
      </c>
      <c r="CS358" s="41">
        <v>100</v>
      </c>
      <c r="CT358" s="41">
        <v>3</v>
      </c>
      <c r="CU358" s="41">
        <v>5</v>
      </c>
      <c r="CV358" s="41">
        <v>5</v>
      </c>
      <c r="CW358" s="41" t="s">
        <v>4706</v>
      </c>
      <c r="CX358" s="41" t="s">
        <v>4716</v>
      </c>
      <c r="CY358" s="40" t="s">
        <v>3096</v>
      </c>
    </row>
    <row r="359" spans="25:103" ht="14.6">
      <c r="AX359">
        <v>18000</v>
      </c>
      <c r="AY359" t="s">
        <v>5564</v>
      </c>
      <c r="AZ359" t="s">
        <v>4845</v>
      </c>
      <c r="BA359" t="s">
        <v>5538</v>
      </c>
      <c r="BB359">
        <v>80</v>
      </c>
      <c r="CP359" s="40">
        <v>93</v>
      </c>
      <c r="CQ359" s="41" t="s">
        <v>3560</v>
      </c>
      <c r="CR359" s="41" t="s">
        <v>6103</v>
      </c>
      <c r="CS359" s="41">
        <v>100</v>
      </c>
      <c r="CT359" s="41">
        <v>3</v>
      </c>
      <c r="CU359" s="41">
        <v>5</v>
      </c>
      <c r="CV359" s="41">
        <v>5</v>
      </c>
      <c r="CW359" s="41" t="s">
        <v>4706</v>
      </c>
      <c r="CX359" s="41" t="s">
        <v>4716</v>
      </c>
      <c r="CY359" s="40" t="s">
        <v>3096</v>
      </c>
    </row>
    <row r="360" spans="25:103" ht="14.6">
      <c r="Y360" s="12" t="s">
        <v>3</v>
      </c>
      <c r="AA360">
        <f ca="1">IF(VALUE(RIGHT(AA37,3)),VALUE(RIGHT(AA37,3))*SUM(OFFSET('2.3家乡建筑'!$AT6,,,VALUE(LEFT(AA37,2)))),)</f>
        <v>0</v>
      </c>
      <c r="AB360">
        <f ca="1">IF(VALUE(RIGHT(AB37,3)),VALUE(RIGHT(AB37,3))*SUM(OFFSET('2.3家乡建筑'!$AT6,,,VALUE(LEFT(AB37,2)))),)</f>
        <v>1.15740740740741E-4</v>
      </c>
      <c r="AC360">
        <f ca="1">IF(VALUE(RIGHT(AC37,3)),VALUE(RIGHT(AC37,3))*SUM(OFFSET('2.3家乡建筑'!$AT6,,,VALUE(LEFT(AC37,2)))),)</f>
        <v>4.1782407407407442E-2</v>
      </c>
      <c r="AD360">
        <f ca="1">IF(VALUE(RIGHT(AD37,3)),VALUE(RIGHT(AD37,3))*SUM(OFFSET('2.3家乡建筑'!$AT6,,,VALUE(LEFT(AD37,2)))),)</f>
        <v>0.16678240740740743</v>
      </c>
      <c r="AE360">
        <f ca="1">IF(VALUE(RIGHT(AE37,3)),VALUE(RIGHT(AE37,3))*SUM(OFFSET('2.3家乡建筑'!$AT6,,,VALUE(LEFT(AE37,2)))),)</f>
        <v>0.41678240740740746</v>
      </c>
      <c r="AF360">
        <f ca="1">IF(VALUE(RIGHT(AF37,3)),VALUE(RIGHT(AF37,3))*SUM(OFFSET('2.3家乡建筑'!$AT6,,,VALUE(LEFT(AF37,2)))),)</f>
        <v>0.91678240740740746</v>
      </c>
      <c r="AG360">
        <f ca="1">IF(VALUE(RIGHT(AG37,3)),VALUE(RIGHT(AG37,3))*SUM(OFFSET('2.3家乡建筑'!$AT6,,,VALUE(LEFT(AG37,2)))),)</f>
        <v>1.6667824074074074</v>
      </c>
      <c r="AH360">
        <f ca="1">IF(VALUE(RIGHT(AH37,3)),VALUE(RIGHT(AH37,3))*SUM(OFFSET('2.3家乡建筑'!$AT6,,,VALUE(LEFT(AH37,2)))),)</f>
        <v>2.6667824074074074</v>
      </c>
      <c r="AI360">
        <f ca="1">IF(VALUE(RIGHT(AI37,3)),VALUE(RIGHT(AI37,3))*SUM(OFFSET('2.3家乡建筑'!$AT6,,,VALUE(LEFT(AI37,2)))),)</f>
        <v>4.6667824074074069</v>
      </c>
      <c r="AJ360">
        <f ca="1">IF(VALUE(RIGHT(AJ37,3)),VALUE(RIGHT(AJ37,3))*SUM(OFFSET('2.3家乡建筑'!$AT6,,,VALUE(LEFT(AJ37,2)))),)</f>
        <v>7.1667824074074069</v>
      </c>
      <c r="AK360">
        <f ca="1">IF(VALUE(RIGHT(AK37,3)),VALUE(RIGHT(AK37,3))*SUM(OFFSET('2.3家乡建筑'!$AT6,,,VALUE(LEFT(AK37,2)))),)</f>
        <v>9.9167824074074069</v>
      </c>
      <c r="AL360">
        <f ca="1">IF(VALUE(RIGHT(AL37,3)),VALUE(RIGHT(AL37,3))*SUM(OFFSET('2.3家乡建筑'!$AT6,,,VALUE(LEFT(AL37,2)))),)</f>
        <v>14.166782407407407</v>
      </c>
      <c r="AM360">
        <f ca="1">IF(VALUE(RIGHT(AM37,3)),VALUE(RIGHT(AM37,3))*SUM(OFFSET('2.3家乡建筑'!$AT6,,,VALUE(LEFT(AM37,2)))),)</f>
        <v>21.666782407407407</v>
      </c>
      <c r="AN360">
        <f ca="1">IF(VALUE(RIGHT(AN37,3)),VALUE(RIGHT(AN37,3))*SUM(OFFSET('2.3家乡建筑'!$AT6,,,VALUE(LEFT(AN37,2)))),)</f>
        <v>34.91678240740741</v>
      </c>
      <c r="AO360">
        <f ca="1">IF(VALUE(RIGHT(AO37,3)),VALUE(RIGHT(AO37,3))*SUM(OFFSET('2.3家乡建筑'!$AT6,,,VALUE(LEFT(AO37,2)))),)</f>
        <v>49.91678240740741</v>
      </c>
      <c r="AX360">
        <v>30000</v>
      </c>
      <c r="AY360" t="s">
        <v>6104</v>
      </c>
      <c r="AZ360" t="s">
        <v>5151</v>
      </c>
      <c r="BA360" t="s">
        <v>5709</v>
      </c>
      <c r="BB360">
        <v>100</v>
      </c>
      <c r="CP360" s="40">
        <v>94</v>
      </c>
      <c r="CQ360" s="41" t="s">
        <v>3586</v>
      </c>
      <c r="CR360" s="41" t="s">
        <v>6105</v>
      </c>
      <c r="CS360" s="41">
        <v>100</v>
      </c>
      <c r="CT360" s="41">
        <v>3</v>
      </c>
      <c r="CU360" s="41">
        <v>5</v>
      </c>
      <c r="CV360" s="41">
        <v>5</v>
      </c>
      <c r="CW360" s="41" t="s">
        <v>4706</v>
      </c>
      <c r="CX360" s="41" t="s">
        <v>4716</v>
      </c>
      <c r="CY360" s="40" t="s">
        <v>3096</v>
      </c>
    </row>
    <row r="361" spans="25:103" ht="14.6">
      <c r="Y361" s="12" t="s">
        <v>10</v>
      </c>
      <c r="AA361">
        <f ca="1">IF(VALUE(RIGHT(AA38,3)),VALUE(RIGHT(AA38,3))*SUM(OFFSET('2.3家乡建筑'!$BF7,,,VALUE(LEFT(AA38,2)))),)</f>
        <v>0</v>
      </c>
      <c r="AB361">
        <f ca="1">IF(VALUE(RIGHT(AB38,3)),VALUE(RIGHT(AB38,3))*SUM(OFFSET('2.3家乡建筑'!$BF7,,,VALUE(LEFT(AB38,2)))),)</f>
        <v>0</v>
      </c>
      <c r="AC361">
        <f ca="1">IF(VALUE(RIGHT(AC38,3)),VALUE(RIGHT(AC38,3))*SUM(OFFSET('2.3家乡建筑'!$BF7,,,VALUE(LEFT(AC38,2)))),)</f>
        <v>0</v>
      </c>
      <c r="AD361">
        <f ca="1">IF(VALUE(RIGHT(AD38,3)),VALUE(RIGHT(AD38,3))*SUM(OFFSET('2.3家乡建筑'!$BF7,,,VALUE(LEFT(AD38,2)))),)</f>
        <v>0.33333333333333298</v>
      </c>
      <c r="AE361">
        <f ca="1">IF(VALUE(RIGHT(AE38,3)),VALUE(RIGHT(AE38,3))*SUM(OFFSET('2.3家乡建筑'!$BF7,,,VALUE(LEFT(AE38,2)))),)</f>
        <v>0.33333333333333298</v>
      </c>
      <c r="AF361">
        <f ca="1">IF(VALUE(RIGHT(AF38,3)),VALUE(RIGHT(AF38,3))*SUM(OFFSET('2.3家乡建筑'!$BF7,,,VALUE(LEFT(AF38,2)))),)</f>
        <v>0.83333333333333304</v>
      </c>
      <c r="AG361">
        <f ca="1">IF(VALUE(RIGHT(AG38,3)),VALUE(RIGHT(AG38,3))*SUM(OFFSET('2.3家乡建筑'!$BF7,,,VALUE(LEFT(AG38,2)))),)</f>
        <v>0.83333333333333304</v>
      </c>
      <c r="AH361">
        <f ca="1">IF(VALUE(RIGHT(AH38,3)),VALUE(RIGHT(AH38,3))*SUM(OFFSET('2.3家乡建筑'!$BF7,,,VALUE(LEFT(AH38,2)))),)</f>
        <v>1.833333333333333</v>
      </c>
      <c r="AI361">
        <f ca="1">IF(VALUE(RIGHT(AI38,3)),VALUE(RIGHT(AI38,3))*SUM(OFFSET('2.3家乡建筑'!$BF7,,,VALUE(LEFT(AI38,2)))),)</f>
        <v>3.833333333333333</v>
      </c>
      <c r="AJ361">
        <f ca="1">IF(VALUE(RIGHT(AJ38,3)),VALUE(RIGHT(AJ38,3))*SUM(OFFSET('2.3家乡建筑'!$BF7,,,VALUE(LEFT(AJ38,2)))),)</f>
        <v>8.8333333333333321</v>
      </c>
      <c r="AK361">
        <f ca="1">IF(VALUE(RIGHT(AK38,3)),VALUE(RIGHT(AK38,3))*SUM(OFFSET('2.3家乡建筑'!$BF7,,,VALUE(LEFT(AK38,2)))),)</f>
        <v>15.083333333333332</v>
      </c>
      <c r="AL361">
        <f ca="1">IF(VALUE(RIGHT(AL38,3)),VALUE(RIGHT(AL38,3))*SUM(OFFSET('2.3家乡建筑'!$BF7,,,VALUE(LEFT(AL38,2)))),)</f>
        <v>24.833333333333332</v>
      </c>
      <c r="AM361">
        <f ca="1">IF(VALUE(RIGHT(AM38,3)),VALUE(RIGHT(AM38,3))*SUM(OFFSET('2.3家乡建筑'!$BF7,,,VALUE(LEFT(AM38,2)))),)</f>
        <v>38.333333333333329</v>
      </c>
      <c r="AN361">
        <f ca="1">IF(VALUE(RIGHT(AN38,3)),VALUE(RIGHT(AN38,3))*SUM(OFFSET('2.3家乡建筑'!$BF7,,,VALUE(LEFT(AN38,2)))),)</f>
        <v>57.333333333333329</v>
      </c>
      <c r="AO361">
        <f ca="1">IF(VALUE(RIGHT(AO38,3)),VALUE(RIGHT(AO38,3))*SUM(OFFSET('2.3家乡建筑'!$BF7,,,VALUE(LEFT(AO38,2)))),)</f>
        <v>77.333333333333329</v>
      </c>
      <c r="AX361">
        <v>50000</v>
      </c>
      <c r="AY361" t="s">
        <v>4746</v>
      </c>
      <c r="AZ361" t="s">
        <v>4866</v>
      </c>
      <c r="BA361" t="s">
        <v>3432</v>
      </c>
      <c r="BB361">
        <v>120</v>
      </c>
      <c r="CP361" s="40">
        <v>95</v>
      </c>
      <c r="CQ361" s="41" t="s">
        <v>3623</v>
      </c>
      <c r="CR361" s="41" t="s">
        <v>6106</v>
      </c>
      <c r="CS361" s="41">
        <v>100</v>
      </c>
      <c r="CT361" s="41">
        <v>3</v>
      </c>
      <c r="CU361" s="41">
        <v>5</v>
      </c>
      <c r="CV361" s="41">
        <v>5</v>
      </c>
      <c r="CW361" s="41" t="s">
        <v>4706</v>
      </c>
      <c r="CX361" s="41" t="s">
        <v>4716</v>
      </c>
      <c r="CY361" s="40" t="s">
        <v>3096</v>
      </c>
    </row>
    <row r="362" spans="25:103" ht="14.6">
      <c r="Y362" s="12" t="s">
        <v>15</v>
      </c>
      <c r="AA362">
        <f ca="1">IF(VALUE(RIGHT(AA39,3)),VALUE(RIGHT(AA39,3))*SUM(OFFSET('2.3家乡建筑'!$BN7,,,VALUE(LEFT(AA39,2)))),)</f>
        <v>0</v>
      </c>
      <c r="AB362">
        <f ca="1">IF(VALUE(RIGHT(AB39,3)),VALUE(RIGHT(AB39,3))*SUM(OFFSET('2.3家乡建筑'!$BN7,,,VALUE(LEFT(AB39,2)))),)</f>
        <v>0</v>
      </c>
      <c r="AC362">
        <f ca="1">IF(VALUE(RIGHT(AC39,3)),VALUE(RIGHT(AC39,3))*SUM(OFFSET('2.3家乡建筑'!$BN7,,,VALUE(LEFT(AC39,2)))),)</f>
        <v>6.9444444444444404E-4</v>
      </c>
      <c r="AD362">
        <f ca="1">IF(VALUE(RIGHT(AD39,3)),VALUE(RIGHT(AD39,3))*SUM(OFFSET('2.3家乡建筑'!$BN7,,,VALUE(LEFT(AD39,2)))),)</f>
        <v>4.2361111111111141E-2</v>
      </c>
      <c r="AE362">
        <f ca="1">IF(VALUE(RIGHT(AE39,3)),VALUE(RIGHT(AE39,3))*SUM(OFFSET('2.3家乡建筑'!$BN7,,,VALUE(LEFT(AE39,2)))),)</f>
        <v>0.12569444444444444</v>
      </c>
      <c r="AF362">
        <f ca="1">IF(VALUE(RIGHT(AF39,3)),VALUE(RIGHT(AF39,3))*SUM(OFFSET('2.3家乡建筑'!$BN7,,,VALUE(LEFT(AF39,2)))),)</f>
        <v>0.2923611111111114</v>
      </c>
      <c r="AG362">
        <f ca="1">IF(VALUE(RIGHT(AG39,3)),VALUE(RIGHT(AG39,3))*SUM(OFFSET('2.3家乡建筑'!$BN7,,,VALUE(LEFT(AG39,2)))),)</f>
        <v>0.62569444444444433</v>
      </c>
      <c r="AH362">
        <f ca="1">IF(VALUE(RIGHT(AH39,3)),VALUE(RIGHT(AH39,3))*SUM(OFFSET('2.3家乡建筑'!$BN7,,,VALUE(LEFT(AH39,2)))),)</f>
        <v>1.2923611111111113</v>
      </c>
      <c r="AI362">
        <f ca="1">IF(VALUE(RIGHT(AI39,3)),VALUE(RIGHT(AI39,3))*SUM(OFFSET('2.3家乡建筑'!$BN7,,,VALUE(LEFT(AI39,2)))),)</f>
        <v>2.2923611111111111</v>
      </c>
      <c r="AJ362">
        <f ca="1">IF(VALUE(RIGHT(AJ39,3)),VALUE(RIGHT(AJ39,3))*SUM(OFFSET('2.3家乡建筑'!$BN7,,,VALUE(LEFT(AJ39,2)))),)</f>
        <v>4.0423611111111111</v>
      </c>
      <c r="AK362">
        <f ca="1">IF(VALUE(RIGHT(AK39,3)),VALUE(RIGHT(AK39,3))*SUM(OFFSET('2.3家乡建筑'!$BN7,,,VALUE(LEFT(AK39,2)))),)</f>
        <v>6.7923611111111111</v>
      </c>
      <c r="AL362">
        <f ca="1">IF(VALUE(RIGHT(AL39,3)),VALUE(RIGHT(AL39,3))*SUM(OFFSET('2.3家乡建筑'!$BN7,,,VALUE(LEFT(AL39,2)))),)</f>
        <v>11.042361111111111</v>
      </c>
      <c r="AM362">
        <f ca="1">IF(VALUE(RIGHT(AM39,3)),VALUE(RIGHT(AM39,3))*SUM(OFFSET('2.3家乡建筑'!$BN7,,,VALUE(LEFT(AM39,2)))),)</f>
        <v>17.792361111111113</v>
      </c>
      <c r="AN362">
        <f ca="1">IF(VALUE(RIGHT(AN39,3)),VALUE(RIGHT(AN39,3))*SUM(OFFSET('2.3家乡建筑'!$BN7,,,VALUE(LEFT(AN39,2)))),)</f>
        <v>29.292361111111113</v>
      </c>
      <c r="AO362">
        <f ca="1">IF(VALUE(RIGHT(AO39,3)),VALUE(RIGHT(AO39,3))*SUM(OFFSET('2.3家乡建筑'!$BN7,,,VALUE(LEFT(AO39,2)))),)</f>
        <v>41.292361111111113</v>
      </c>
      <c r="AX362">
        <v>3000</v>
      </c>
      <c r="AY362" t="s">
        <v>6034</v>
      </c>
      <c r="AZ362" t="s">
        <v>4878</v>
      </c>
      <c r="BA362" t="s">
        <v>5467</v>
      </c>
      <c r="BB362">
        <v>20</v>
      </c>
      <c r="CP362" s="40">
        <v>96</v>
      </c>
      <c r="CQ362" s="41" t="s">
        <v>3502</v>
      </c>
      <c r="CR362" s="41" t="s">
        <v>6107</v>
      </c>
      <c r="CS362" s="41">
        <v>100</v>
      </c>
      <c r="CT362" s="41">
        <v>3</v>
      </c>
      <c r="CU362" s="41">
        <v>5</v>
      </c>
      <c r="CV362" s="41">
        <v>5</v>
      </c>
      <c r="CW362" s="41" t="s">
        <v>4706</v>
      </c>
      <c r="CX362" s="41" t="s">
        <v>4716</v>
      </c>
      <c r="CY362" s="40" t="s">
        <v>3096</v>
      </c>
    </row>
    <row r="363" spans="25:103" ht="14.6">
      <c r="Y363" s="12" t="s">
        <v>21</v>
      </c>
      <c r="AA363">
        <f ca="1">IF(VALUE(RIGHT(AA40,3)),VALUE(RIGHT(AA40,3))*SUM(OFFSET('2.3家乡建筑'!$AS24,,,VALUE(LEFT(AA40,2)))),)</f>
        <v>7.7546296296296252E-3</v>
      </c>
      <c r="AB363">
        <f ca="1">IF(VALUE(RIGHT(AB40,3)),VALUE(RIGHT(AB40,3))*SUM(OFFSET('2.3家乡建筑'!$AS24,,,VALUE(LEFT(AB40,2)))),)</f>
        <v>4.9421289629629626E-2</v>
      </c>
      <c r="AC363">
        <f ca="1">IF(VALUE(RIGHT(AC40,3)),VALUE(RIGHT(AC40,3))*SUM(OFFSET('2.3家乡建筑'!$AS24,,,VALUE(LEFT(AC40,2)))),)</f>
        <v>0.38275461962962959</v>
      </c>
      <c r="AD363">
        <f ca="1">IF(VALUE(RIGHT(AD40,3)),VALUE(RIGHT(AD40,3))*SUM(OFFSET('2.3家乡建筑'!$AS24,,,VALUE(LEFT(AD40,2)))),)</f>
        <v>0.88275461962962964</v>
      </c>
      <c r="AE363">
        <f ca="1">IF(VALUE(RIGHT(AE40,3)),VALUE(RIGHT(AE40,3))*SUM(OFFSET('2.3家乡建筑'!$AS24,,,VALUE(LEFT(AE40,2)))),)</f>
        <v>1.6327546196296296</v>
      </c>
      <c r="AF363">
        <f ca="1">IF(VALUE(RIGHT(AF40,3)),VALUE(RIGHT(AF40,3))*SUM(OFFSET('2.3家乡建筑'!$AS24,,,VALUE(LEFT(AF40,2)))),)</f>
        <v>2.6327546196296296</v>
      </c>
      <c r="AG363">
        <f ca="1">IF(VALUE(RIGHT(AG40,3)),VALUE(RIGHT(AG40,3))*SUM(OFFSET('2.3家乡建筑'!$AS24,,,VALUE(LEFT(AG40,2)))),)</f>
        <v>4.1327546196296296</v>
      </c>
      <c r="AH363">
        <f ca="1">IF(VALUE(RIGHT(AH40,3)),VALUE(RIGHT(AH40,3))*SUM(OFFSET('2.3家乡建筑'!$AS24,,,VALUE(LEFT(AH40,2)))),)</f>
        <v>6.6327546196296296</v>
      </c>
      <c r="AI363">
        <f ca="1">IF(VALUE(RIGHT(AI40,3)),VALUE(RIGHT(AI40,3))*SUM(OFFSET('2.3家乡建筑'!$AS24,,,VALUE(LEFT(AI40,2)))),)</f>
        <v>10.63275461962963</v>
      </c>
      <c r="AJ363">
        <f ca="1">IF(VALUE(RIGHT(AJ40,3)),VALUE(RIGHT(AJ40,3))*SUM(OFFSET('2.3家乡建筑'!$AS24,,,VALUE(LEFT(AJ40,2)))),)</f>
        <v>16.13275461962963</v>
      </c>
      <c r="AK363">
        <f ca="1">IF(VALUE(RIGHT(AK40,3)),VALUE(RIGHT(AK40,3))*SUM(OFFSET('2.3家乡建筑'!$AS24,,,VALUE(LEFT(AK40,2)))),)</f>
        <v>23.63275461962963</v>
      </c>
      <c r="AL363">
        <f ca="1">IF(VALUE(RIGHT(AL40,3)),VALUE(RIGHT(AL40,3))*SUM(OFFSET('2.3家乡建筑'!$AS24,,,VALUE(LEFT(AL40,2)))),)</f>
        <v>33.63275461962963</v>
      </c>
      <c r="AM363">
        <f ca="1">IF(VALUE(RIGHT(AM40,3)),VALUE(RIGHT(AM40,3))*SUM(OFFSET('2.3家乡建筑'!$AS24,,,VALUE(LEFT(AM40,2)))),)</f>
        <v>46.63275461962963</v>
      </c>
      <c r="AN363">
        <f ca="1">IF(VALUE(RIGHT(AN40,3)),VALUE(RIGHT(AN40,3))*SUM(OFFSET('2.3家乡建筑'!$AS24,,,VALUE(LEFT(AN40,2)))),)</f>
        <v>62.63275461962963</v>
      </c>
      <c r="AO363">
        <f ca="1">IF(VALUE(RIGHT(AO40,3)),VALUE(RIGHT(AO40,3))*SUM(OFFSET('2.3家乡建筑'!$AS24,,,VALUE(LEFT(AO40,2)))),)</f>
        <v>62.63275461962963</v>
      </c>
      <c r="AX363">
        <v>7500</v>
      </c>
      <c r="AY363" t="s">
        <v>6056</v>
      </c>
      <c r="AZ363" t="s">
        <v>4713</v>
      </c>
      <c r="BA363" t="s">
        <v>4739</v>
      </c>
      <c r="BB363">
        <v>40</v>
      </c>
      <c r="CP363" s="40">
        <v>97</v>
      </c>
      <c r="CQ363" s="41" t="s">
        <v>3485</v>
      </c>
      <c r="CR363" s="41" t="s">
        <v>6108</v>
      </c>
      <c r="CS363" s="41">
        <v>100</v>
      </c>
      <c r="CT363" s="41">
        <v>3</v>
      </c>
      <c r="CU363" s="41">
        <v>5</v>
      </c>
      <c r="CV363" s="41">
        <v>5</v>
      </c>
      <c r="CW363" s="41" t="s">
        <v>4706</v>
      </c>
      <c r="CX363" s="41" t="s">
        <v>4716</v>
      </c>
      <c r="CY363" s="40" t="s">
        <v>3096</v>
      </c>
    </row>
    <row r="364" spans="25:103" ht="14.6">
      <c r="Y364" s="12" t="s">
        <v>27</v>
      </c>
      <c r="AA364">
        <f ca="1">IF(VALUE(RIGHT(AA41,3)),VALUE(RIGHT(AA41,3))*SUM(OFFSET('2.3家乡建筑'!$BC24,,,VALUE(LEFT(AA41,2)))),)</f>
        <v>0</v>
      </c>
      <c r="AB364">
        <f ca="1">IF(VALUE(RIGHT(AB41,3)),VALUE(RIGHT(AB41,3))*SUM(OFFSET('2.3家乡建筑'!$BC24,,,VALUE(LEFT(AB41,2)))),)</f>
        <v>0</v>
      </c>
      <c r="AC364">
        <f ca="1">IF(VALUE(RIGHT(AC41,3)),VALUE(RIGHT(AC41,3))*SUM(OFFSET('2.3家乡建筑'!$BC24,,,VALUE(LEFT(AC41,2)))),)</f>
        <v>0</v>
      </c>
      <c r="AD364">
        <f ca="1">IF(VALUE(RIGHT(AD41,3)),VALUE(RIGHT(AD41,3))*SUM(OFFSET('2.3家乡建筑'!$BC24,,,VALUE(LEFT(AD41,2)))),)</f>
        <v>0</v>
      </c>
      <c r="AE364">
        <f ca="1">IF(VALUE(RIGHT(AE41,3)),VALUE(RIGHT(AE41,3))*SUM(OFFSET('2.3家乡建筑'!$BC24,,,VALUE(LEFT(AE41,2)))),)</f>
        <v>0</v>
      </c>
      <c r="AF364">
        <f ca="1">IF(VALUE(RIGHT(AF41,3)),VALUE(RIGHT(AF41,3))*SUM(OFFSET('2.3家乡建筑'!$BC24,,,VALUE(LEFT(AF41,2)))),)</f>
        <v>0</v>
      </c>
      <c r="AG364">
        <f ca="1">IF(VALUE(RIGHT(AG41,3)),VALUE(RIGHT(AG41,3))*SUM(OFFSET('2.3家乡建筑'!$BC24,,,VALUE(LEFT(AG41,2)))),)</f>
        <v>1.3333333299999999</v>
      </c>
      <c r="AH364">
        <f ca="1">IF(VALUE(RIGHT(AH41,3)),VALUE(RIGHT(AH41,3))*SUM(OFFSET('2.3家乡建筑'!$BC24,,,VALUE(LEFT(AH41,2)))),)</f>
        <v>4.8333333300000003</v>
      </c>
      <c r="AI364">
        <f ca="1">IF(VALUE(RIGHT(AI41,3)),VALUE(RIGHT(AI41,3))*SUM(OFFSET('2.3家乡建筑'!$BC24,,,VALUE(LEFT(AI41,2)))),)</f>
        <v>12.83333333</v>
      </c>
      <c r="AJ364">
        <f ca="1">IF(VALUE(RIGHT(AJ41,3)),VALUE(RIGHT(AJ41,3))*SUM(OFFSET('2.3家乡建筑'!$BC24,,,VALUE(LEFT(AJ41,2)))),)</f>
        <v>19.333333330000002</v>
      </c>
      <c r="AK364">
        <f ca="1">IF(VALUE(RIGHT(AK41,3)),VALUE(RIGHT(AK41,3))*SUM(OFFSET('2.3家乡建筑'!$BC24,,,VALUE(LEFT(AK41,2)))),)</f>
        <v>28.333333330000002</v>
      </c>
      <c r="AL364">
        <f ca="1">IF(VALUE(RIGHT(AL41,3)),VALUE(RIGHT(AL41,3))*SUM(OFFSET('2.3家乡建筑'!$BC24,,,VALUE(LEFT(AL41,2)))),)</f>
        <v>38.833333330000002</v>
      </c>
      <c r="AM364">
        <f ca="1">IF(VALUE(RIGHT(AM41,3)),VALUE(RIGHT(AM41,3))*SUM(OFFSET('2.3家乡建筑'!$BC24,,,VALUE(LEFT(AM41,2)))),)</f>
        <v>38.833333330000002</v>
      </c>
      <c r="AN364">
        <f ca="1">IF(VALUE(RIGHT(AN41,3)),VALUE(RIGHT(AN41,3))*SUM(OFFSET('2.3家乡建筑'!$BC24,,,VALUE(LEFT(AN41,2)))),)</f>
        <v>38.833333330000002</v>
      </c>
      <c r="AO364">
        <f ca="1">IF(VALUE(RIGHT(AO41,3)),VALUE(RIGHT(AO41,3))*SUM(OFFSET('2.3家乡建筑'!$BC24,,,VALUE(LEFT(AO41,2)))),)</f>
        <v>38.833333330000002</v>
      </c>
      <c r="AX364">
        <v>12000</v>
      </c>
      <c r="AY364" t="s">
        <v>4689</v>
      </c>
      <c r="AZ364" t="s">
        <v>5538</v>
      </c>
      <c r="BA364" t="s">
        <v>5468</v>
      </c>
      <c r="BB364">
        <v>60</v>
      </c>
      <c r="CP364" s="40">
        <v>98</v>
      </c>
      <c r="CQ364" s="41" t="s">
        <v>3512</v>
      </c>
      <c r="CR364" s="41" t="s">
        <v>6109</v>
      </c>
      <c r="CS364" s="41">
        <v>100</v>
      </c>
      <c r="CT364" s="41">
        <v>3</v>
      </c>
      <c r="CU364" s="41">
        <v>5</v>
      </c>
      <c r="CV364" s="41">
        <v>5</v>
      </c>
      <c r="CW364" s="41" t="s">
        <v>4706</v>
      </c>
      <c r="CX364" s="41" t="s">
        <v>4716</v>
      </c>
      <c r="CY364" s="40" t="s">
        <v>3096</v>
      </c>
    </row>
    <row r="365" spans="25:103" ht="14.6">
      <c r="Y365" s="12" t="s">
        <v>33</v>
      </c>
      <c r="AA365">
        <f ca="1">IF(VALUE(RIGHT(AA42,3)),VALUE(RIGHT(AA42,3))*SUM(OFFSET('2.3家乡建筑'!$BM24,,,VALUE(LEFT(AA42,2)))),)</f>
        <v>3.4722222222222199E-3</v>
      </c>
      <c r="AB365">
        <f ca="1">IF(VALUE(RIGHT(AB42,3)),VALUE(RIGHT(AB42,3))*SUM(OFFSET('2.3家乡建筑'!$BM24,,,VALUE(LEFT(AB42,2)))),)</f>
        <v>1.3888888888888921E-2</v>
      </c>
      <c r="AC365">
        <f ca="1">IF(VALUE(RIGHT(AC42,3)),VALUE(RIGHT(AC42,3))*SUM(OFFSET('2.3家乡建筑'!$BM24,,,VALUE(LEFT(AC42,2)))),)</f>
        <v>0.19444444444444445</v>
      </c>
      <c r="AD365">
        <f ca="1">IF(VALUE(RIGHT(AD42,3)),VALUE(RIGHT(AD42,3))*SUM(OFFSET('2.3家乡建筑'!$BM24,,,VALUE(LEFT(AD42,2)))),)</f>
        <v>0.61111111111111049</v>
      </c>
      <c r="AE365">
        <f ca="1">IF(VALUE(RIGHT(AE42,3)),VALUE(RIGHT(AE42,3))*SUM(OFFSET('2.3家乡建筑'!$BM24,,,VALUE(LEFT(AE42,2)))),)</f>
        <v>1.9166666666666645</v>
      </c>
      <c r="AF365">
        <f ca="1">IF(VALUE(RIGHT(AF42,3)),VALUE(RIGHT(AF42,3))*SUM(OFFSET('2.3家乡建筑'!$BM24,,,VALUE(LEFT(AF42,2)))),)</f>
        <v>3.4166666666666643</v>
      </c>
      <c r="AG365">
        <f ca="1">IF(VALUE(RIGHT(AG42,3)),VALUE(RIGHT(AG42,3))*SUM(OFFSET('2.3家乡建筑'!$BM24,,,VALUE(LEFT(AG42,2)))),)</f>
        <v>4.5555555555555527</v>
      </c>
      <c r="AH365">
        <f ca="1">IF(VALUE(RIGHT(AH42,3)),VALUE(RIGHT(AH42,3))*SUM(OFFSET('2.3家乡建筑'!$BM24,,,VALUE(LEFT(AH42,2)))),)</f>
        <v>4.5555555555555527</v>
      </c>
      <c r="AI365">
        <f ca="1">IF(VALUE(RIGHT(AI42,3)),VALUE(RIGHT(AI42,3))*SUM(OFFSET('2.3家乡建筑'!$BM24,,,VALUE(LEFT(AI42,2)))),)</f>
        <v>12.555555555555554</v>
      </c>
      <c r="AJ365">
        <f ca="1">IF(VALUE(RIGHT(AJ42,3)),VALUE(RIGHT(AJ42,3))*SUM(OFFSET('2.3家乡建筑'!$BM24,,,VALUE(LEFT(AJ42,2)))),)</f>
        <v>24.555555555555554</v>
      </c>
      <c r="AK365">
        <f ca="1">IF(VALUE(RIGHT(AK42,3)),VALUE(RIGHT(AK42,3))*SUM(OFFSET('2.3家乡建筑'!$BM24,,,VALUE(LEFT(AK42,2)))),)</f>
        <v>49.555555555555557</v>
      </c>
      <c r="AL365">
        <f ca="1">IF(VALUE(RIGHT(AL42,3)),VALUE(RIGHT(AL42,3))*SUM(OFFSET('2.3家乡建筑'!$BM24,,,VALUE(LEFT(AL42,2)))),)</f>
        <v>88.555555555555557</v>
      </c>
      <c r="AM365">
        <f ca="1">IF(VALUE(RIGHT(AM42,3)),VALUE(RIGHT(AM42,3))*SUM(OFFSET('2.3家乡建筑'!$BM24,,,VALUE(LEFT(AM42,2)))),)</f>
        <v>136.55555555555554</v>
      </c>
      <c r="AN365">
        <f ca="1">IF(VALUE(RIGHT(AN42,3)),VALUE(RIGHT(AN42,3))*SUM(OFFSET('2.3家乡建筑'!$BM24,,,VALUE(LEFT(AN42,2)))),)</f>
        <v>136.55555555555554</v>
      </c>
      <c r="AO365">
        <f ca="1">IF(VALUE(RIGHT(AO42,3)),VALUE(RIGHT(AO42,3))*SUM(OFFSET('2.3家乡建筑'!$BM24,,,VALUE(LEFT(AO42,2)))),)</f>
        <v>200.55555555555554</v>
      </c>
      <c r="AX365">
        <v>18000</v>
      </c>
      <c r="AY365" t="s">
        <v>6110</v>
      </c>
      <c r="AZ365" t="s">
        <v>6111</v>
      </c>
      <c r="BA365" t="s">
        <v>5693</v>
      </c>
      <c r="BB365">
        <v>80</v>
      </c>
      <c r="CP365" s="40">
        <v>99</v>
      </c>
      <c r="CQ365" s="41" t="s">
        <v>3517</v>
      </c>
      <c r="CR365" s="41" t="s">
        <v>5483</v>
      </c>
      <c r="CS365" s="41">
        <v>100</v>
      </c>
      <c r="CT365" s="41">
        <v>3</v>
      </c>
      <c r="CU365" s="41">
        <v>5</v>
      </c>
      <c r="CV365" s="41">
        <v>5</v>
      </c>
      <c r="CW365" s="41" t="s">
        <v>4706</v>
      </c>
      <c r="CX365" s="41" t="s">
        <v>4716</v>
      </c>
      <c r="CY365" s="40" t="s">
        <v>3096</v>
      </c>
    </row>
    <row r="366" spans="25:103" ht="14.6">
      <c r="Y366" s="12" t="s">
        <v>39</v>
      </c>
      <c r="AA366">
        <f ca="1">IF(VALUE(RIGHT(AA43,3)),VALUE(RIGHT(AA43,3))*SUM(OFFSET('2.3家乡建筑'!$AT44,,,VALUE(LEFT(AA43,2)))),)</f>
        <v>0</v>
      </c>
      <c r="AB366">
        <f ca="1">IF(VALUE(RIGHT(AB43,3)),VALUE(RIGHT(AB43,3))*SUM(OFFSET('2.3家乡建筑'!$AT44,,,VALUE(LEFT(AB43,2)))),)</f>
        <v>0</v>
      </c>
      <c r="AC366">
        <f ca="1">IF(VALUE(RIGHT(AC43,3)),VALUE(RIGHT(AC43,3))*SUM(OFFSET('2.3家乡建筑'!$AT44,,,VALUE(LEFT(AC43,2)))),)</f>
        <v>0</v>
      </c>
      <c r="AD366">
        <f ca="1">IF(VALUE(RIGHT(AD43,3)),VALUE(RIGHT(AD43,3))*SUM(OFFSET('2.3家乡建筑'!$AT44,,,VALUE(LEFT(AD43,2)))),)</f>
        <v>0</v>
      </c>
      <c r="AE366">
        <f ca="1">IF(VALUE(RIGHT(AE43,3)),VALUE(RIGHT(AE43,3))*SUM(OFFSET('2.3家乡建筑'!$AT44,,,VALUE(LEFT(AE43,2)))),)</f>
        <v>0.33333333333333298</v>
      </c>
      <c r="AF366">
        <f ca="1">IF(VALUE(RIGHT(AF43,3)),VALUE(RIGHT(AF43,3))*SUM(OFFSET('2.3家乡建筑'!$AT44,,,VALUE(LEFT(AF43,2)))),)</f>
        <v>1.333333333333333</v>
      </c>
      <c r="AG366">
        <f ca="1">IF(VALUE(RIGHT(AG43,3)),VALUE(RIGHT(AG43,3))*SUM(OFFSET('2.3家乡建筑'!$AT44,,,VALUE(LEFT(AG43,2)))),)</f>
        <v>3.333333333333333</v>
      </c>
      <c r="AH366">
        <f ca="1">IF(VALUE(RIGHT(AH43,3)),VALUE(RIGHT(AH43,3))*SUM(OFFSET('2.3家乡建筑'!$AT44,,,VALUE(LEFT(AH43,2)))),)</f>
        <v>3.333333333333333</v>
      </c>
      <c r="AI366">
        <f ca="1">IF(VALUE(RIGHT(AI43,3)),VALUE(RIGHT(AI43,3))*SUM(OFFSET('2.3家乡建筑'!$AT44,,,VALUE(LEFT(AI43,2)))),)</f>
        <v>6.833333333333333</v>
      </c>
      <c r="AJ366">
        <f ca="1">IF(VALUE(RIGHT(AJ43,3)),VALUE(RIGHT(AJ43,3))*SUM(OFFSET('2.3家乡建筑'!$AT44,,,VALUE(LEFT(AJ43,2)))),)</f>
        <v>11.083333333333332</v>
      </c>
      <c r="AK366">
        <f ca="1">IF(VALUE(RIGHT(AK43,3)),VALUE(RIGHT(AK43,3))*SUM(OFFSET('2.3家乡建筑'!$AT44,,,VALUE(LEFT(AK43,2)))),)</f>
        <v>16.083333333333332</v>
      </c>
      <c r="AL366">
        <f ca="1">IF(VALUE(RIGHT(AL43,3)),VALUE(RIGHT(AL43,3))*SUM(OFFSET('2.3家乡建筑'!$AT44,,,VALUE(LEFT(AL43,2)))),)</f>
        <v>16.083333333333332</v>
      </c>
      <c r="AM366">
        <f ca="1">IF(VALUE(RIGHT(AM43,3)),VALUE(RIGHT(AM43,3))*SUM(OFFSET('2.3家乡建筑'!$AT44,,,VALUE(LEFT(AM43,2)))),)</f>
        <v>16.083333333333332</v>
      </c>
      <c r="AN366">
        <f ca="1">IF(VALUE(RIGHT(AN43,3)),VALUE(RIGHT(AN43,3))*SUM(OFFSET('2.3家乡建筑'!$AT44,,,VALUE(LEFT(AN43,2)))),)</f>
        <v>16.083333333333332</v>
      </c>
      <c r="AO366">
        <f ca="1">IF(VALUE(RIGHT(AO43,3)),VALUE(RIGHT(AO43,3))*SUM(OFFSET('2.3家乡建筑'!$AT44,,,VALUE(LEFT(AO43,2)))),)</f>
        <v>25.083333333333332</v>
      </c>
      <c r="AX366">
        <v>30000</v>
      </c>
      <c r="AY366" t="s">
        <v>6112</v>
      </c>
      <c r="AZ366" t="s">
        <v>5163</v>
      </c>
      <c r="BA366" t="s">
        <v>4855</v>
      </c>
      <c r="BB366">
        <v>100</v>
      </c>
      <c r="CP366" s="40">
        <v>100</v>
      </c>
      <c r="CQ366" s="41" t="s">
        <v>3507</v>
      </c>
      <c r="CR366" s="41" t="s">
        <v>5462</v>
      </c>
      <c r="CS366" s="41">
        <v>100</v>
      </c>
      <c r="CT366" s="41">
        <v>3</v>
      </c>
      <c r="CU366" s="41">
        <v>5</v>
      </c>
      <c r="CV366" s="41">
        <v>5</v>
      </c>
      <c r="CW366" s="41" t="s">
        <v>4706</v>
      </c>
      <c r="CX366" s="41" t="s">
        <v>4716</v>
      </c>
      <c r="CY366" s="40" t="s">
        <v>3096</v>
      </c>
    </row>
    <row r="367" spans="25:103" ht="14.6">
      <c r="Y367" s="12" t="s">
        <v>44</v>
      </c>
      <c r="AA367">
        <f ca="1">IF(VALUE(RIGHT(AA44,3)),VALUE(RIGHT(AA44,3))*SUM(OFFSET('2.3家乡建筑'!$BD42,,,VALUE(LEFT(AA44,2)))),)</f>
        <v>0</v>
      </c>
      <c r="AB367">
        <f ca="1">IF(VALUE(RIGHT(AB44,3)),VALUE(RIGHT(AB44,3))*SUM(OFFSET('2.3家乡建筑'!$BD42,,,VALUE(LEFT(AB44,2)))),)</f>
        <v>0</v>
      </c>
      <c r="AC367">
        <f ca="1">IF(VALUE(RIGHT(AC44,3)),VALUE(RIGHT(AC44,3))*SUM(OFFSET('2.3家乡建筑'!$BD42,,,VALUE(LEFT(AC44,2)))),)</f>
        <v>0</v>
      </c>
      <c r="AD367">
        <f ca="1">IF(VALUE(RIGHT(AD44,3)),VALUE(RIGHT(AD44,3))*SUM(OFFSET('2.3家乡建筑'!$BD42,,,VALUE(LEFT(AD44,2)))),)</f>
        <v>0</v>
      </c>
      <c r="AE367">
        <f ca="1">IF(VALUE(RIGHT(AE44,3)),VALUE(RIGHT(AE44,3))*SUM(OFFSET('2.3家乡建筑'!$BD42,,,VALUE(LEFT(AE44,2)))),)</f>
        <v>0</v>
      </c>
      <c r="AF367">
        <f ca="1">IF(VALUE(RIGHT(AF44,3)),VALUE(RIGHT(AF44,3))*SUM(OFFSET('2.3家乡建筑'!$BD42,,,VALUE(LEFT(AF44,2)))),)</f>
        <v>0</v>
      </c>
      <c r="AG367">
        <f ca="1">IF(VALUE(RIGHT(AG44,3)),VALUE(RIGHT(AG44,3))*SUM(OFFSET('2.3家乡建筑'!$BD42,,,VALUE(LEFT(AG44,2)))),)</f>
        <v>0</v>
      </c>
      <c r="AH367">
        <f ca="1">IF(VALUE(RIGHT(AH44,3)),VALUE(RIGHT(AH44,3))*SUM(OFFSET('2.3家乡建筑'!$BD42,,,VALUE(LEFT(AH44,2)))),)</f>
        <v>1</v>
      </c>
      <c r="AI367">
        <f ca="1">IF(VALUE(RIGHT(AI44,3)),VALUE(RIGHT(AI44,3))*SUM(OFFSET('2.3家乡建筑'!$BD42,,,VALUE(LEFT(AI44,2)))),)</f>
        <v>7</v>
      </c>
      <c r="AJ367">
        <f ca="1">IF(VALUE(RIGHT(AJ44,3)),VALUE(RIGHT(AJ44,3))*SUM(OFFSET('2.3家乡建筑'!$BD42,,,VALUE(LEFT(AJ44,2)))),)</f>
        <v>13</v>
      </c>
      <c r="AK367">
        <f ca="1">IF(VALUE(RIGHT(AK44,3)),VALUE(RIGHT(AK44,3))*SUM(OFFSET('2.3家乡建筑'!$BD42,,,VALUE(LEFT(AK44,2)))),)</f>
        <v>13</v>
      </c>
      <c r="AL367">
        <f ca="1">IF(VALUE(RIGHT(AL44,3)),VALUE(RIGHT(AL44,3))*SUM(OFFSET('2.3家乡建筑'!$BD42,,,VALUE(LEFT(AL44,2)))),)</f>
        <v>13</v>
      </c>
      <c r="AM367">
        <f ca="1">IF(VALUE(RIGHT(AM44,3)),VALUE(RIGHT(AM44,3))*SUM(OFFSET('2.3家乡建筑'!$BD42,,,VALUE(LEFT(AM44,2)))),)</f>
        <v>13</v>
      </c>
      <c r="AN367">
        <f ca="1">IF(VALUE(RIGHT(AN44,3)),VALUE(RIGHT(AN44,3))*SUM(OFFSET('2.3家乡建筑'!$BD42,,,VALUE(LEFT(AN44,2)))),)</f>
        <v>13</v>
      </c>
      <c r="AO367">
        <f ca="1">IF(VALUE(RIGHT(AO44,3)),VALUE(RIGHT(AO44,3))*SUM(OFFSET('2.3家乡建筑'!$BD42,,,VALUE(LEFT(AO44,2)))),)</f>
        <v>13</v>
      </c>
      <c r="AX367">
        <v>50000</v>
      </c>
      <c r="AY367" t="s">
        <v>4865</v>
      </c>
      <c r="AZ367" t="s">
        <v>4750</v>
      </c>
      <c r="BA367" t="s">
        <v>3432</v>
      </c>
      <c r="BB367">
        <v>120</v>
      </c>
      <c r="CP367" s="40">
        <v>101</v>
      </c>
      <c r="CQ367" s="41" t="s">
        <v>3579</v>
      </c>
      <c r="CR367" s="41" t="s">
        <v>5582</v>
      </c>
      <c r="CS367" s="41">
        <v>100</v>
      </c>
      <c r="CT367" s="41">
        <v>3</v>
      </c>
      <c r="CU367" s="41">
        <v>2</v>
      </c>
      <c r="CV367" s="41">
        <v>5</v>
      </c>
      <c r="CW367" s="41" t="s">
        <v>4706</v>
      </c>
      <c r="CX367" s="41" t="s">
        <v>4716</v>
      </c>
      <c r="CY367" s="40" t="s">
        <v>3096</v>
      </c>
    </row>
    <row r="368" spans="25:103" ht="14.6">
      <c r="Y368" s="12" t="s">
        <v>50</v>
      </c>
      <c r="AA368">
        <f ca="1">IF(VALUE(RIGHT(AA45,3)),VALUE(RIGHT(AA45,3))*SUM(OFFSET('2.3家乡建筑'!$BN42,,,VALUE(LEFT(AA45,2)))),)</f>
        <v>0</v>
      </c>
      <c r="AB368">
        <f ca="1">IF(VALUE(RIGHT(AB45,3)),VALUE(RIGHT(AB45,3))*SUM(OFFSET('2.3家乡建筑'!$BN42,,,VALUE(LEFT(AB45,2)))),)</f>
        <v>0</v>
      </c>
      <c r="AC368">
        <f ca="1">IF(VALUE(RIGHT(AC45,3)),VALUE(RIGHT(AC45,3))*SUM(OFFSET('2.3家乡建筑'!$BN42,,,VALUE(LEFT(AC45,2)))),)</f>
        <v>0</v>
      </c>
      <c r="AD368">
        <f ca="1">IF(VALUE(RIGHT(AD45,3)),VALUE(RIGHT(AD45,3))*SUM(OFFSET('2.3家乡建筑'!$BN42,,,VALUE(LEFT(AD45,2)))),)</f>
        <v>0</v>
      </c>
      <c r="AE368">
        <f ca="1">IF(VALUE(RIGHT(AE45,3)),VALUE(RIGHT(AE45,3))*SUM(OFFSET('2.3家乡建筑'!$BN42,,,VALUE(LEFT(AE45,2)))),)</f>
        <v>0</v>
      </c>
      <c r="AF368">
        <f ca="1">IF(VALUE(RIGHT(AF45,3)),VALUE(RIGHT(AF45,3))*SUM(OFFSET('2.3家乡建筑'!$BN42,,,VALUE(LEFT(AF45,2)))),)</f>
        <v>0</v>
      </c>
      <c r="AG368">
        <f ca="1">IF(VALUE(RIGHT(AG45,3)),VALUE(RIGHT(AG45,3))*SUM(OFFSET('2.3家乡建筑'!$BN42,,,VALUE(LEFT(AG45,2)))),)</f>
        <v>0</v>
      </c>
      <c r="AH368">
        <f ca="1">IF(VALUE(RIGHT(AH45,3)),VALUE(RIGHT(AH45,3))*SUM(OFFSET('2.3家乡建筑'!$BN42,,,VALUE(LEFT(AH45,2)))),)</f>
        <v>0</v>
      </c>
      <c r="AI368">
        <f ca="1">IF(VALUE(RIGHT(AI45,3)),VALUE(RIGHT(AI45,3))*SUM(OFFSET('2.3家乡建筑'!$BN42,,,VALUE(LEFT(AI45,2)))),)</f>
        <v>0</v>
      </c>
      <c r="AJ368">
        <f ca="1">IF(VALUE(RIGHT(AJ45,3)),VALUE(RIGHT(AJ45,3))*SUM(OFFSET('2.3家乡建筑'!$BN42,,,VALUE(LEFT(AJ45,2)))),)</f>
        <v>0</v>
      </c>
      <c r="AK368">
        <f ca="1">IF(VALUE(RIGHT(AK45,3)),VALUE(RIGHT(AK45,3))*SUM(OFFSET('2.3家乡建筑'!$BN42,,,VALUE(LEFT(AK45,2)))),)</f>
        <v>0</v>
      </c>
      <c r="AL368">
        <f ca="1">IF(VALUE(RIGHT(AL45,3)),VALUE(RIGHT(AL45,3))*SUM(OFFSET('2.3家乡建筑'!$BN42,,,VALUE(LEFT(AL45,2)))),)</f>
        <v>16.75</v>
      </c>
      <c r="AM368">
        <f ca="1">IF(VALUE(RIGHT(AM45,3)),VALUE(RIGHT(AM45,3))*SUM(OFFSET('2.3家乡建筑'!$BN42,,,VALUE(LEFT(AM45,2)))),)</f>
        <v>39.25</v>
      </c>
      <c r="AN368">
        <f ca="1">IF(VALUE(RIGHT(AN45,3)),VALUE(RIGHT(AN45,3))*SUM(OFFSET('2.3家乡建筑'!$BN42,,,VALUE(LEFT(AN45,2)))),)</f>
        <v>56.25</v>
      </c>
      <c r="AO368">
        <f ca="1">IF(VALUE(RIGHT(AO45,3)),VALUE(RIGHT(AO45,3))*SUM(OFFSET('2.3家乡建筑'!$BN42,,,VALUE(LEFT(AO45,2)))),)</f>
        <v>74.25</v>
      </c>
      <c r="AX368">
        <v>3000</v>
      </c>
      <c r="AY368" t="s">
        <v>6035</v>
      </c>
      <c r="AZ368" t="s">
        <v>4878</v>
      </c>
      <c r="BA368" t="s">
        <v>4770</v>
      </c>
      <c r="BB368">
        <v>20</v>
      </c>
      <c r="CP368" s="40">
        <v>102</v>
      </c>
      <c r="CQ368" s="41" t="s">
        <v>3606</v>
      </c>
      <c r="CR368" s="41" t="s">
        <v>5629</v>
      </c>
      <c r="CS368" s="41">
        <v>100</v>
      </c>
      <c r="CT368" s="41">
        <v>3</v>
      </c>
      <c r="CU368" s="41">
        <v>2</v>
      </c>
      <c r="CV368" s="41">
        <v>5</v>
      </c>
      <c r="CW368" s="41" t="s">
        <v>4706</v>
      </c>
      <c r="CX368" s="41" t="s">
        <v>4716</v>
      </c>
      <c r="CY368" s="40" t="s">
        <v>3096</v>
      </c>
    </row>
    <row r="369" spans="25:103" ht="14.6">
      <c r="Y369" s="12" t="s">
        <v>55</v>
      </c>
      <c r="AA369">
        <f ca="1">IF(VALUE(RIGHT(AA46,3)),VALUE(RIGHT(AA46,3))*SUM(OFFSET('2.3家乡建筑'!$BE52,,,VALUE(LEFT(AA46,2)))),)</f>
        <v>8.1018518518518505E-4</v>
      </c>
      <c r="AB369">
        <f ca="1">IF(VALUE(RIGHT(AB46,3)),VALUE(RIGHT(AB46,3))*SUM(OFFSET('2.3家乡建筑'!$BE52,,,VALUE(LEFT(AB46,2)))),)</f>
        <v>2.1064814814814811E-2</v>
      </c>
      <c r="AC369">
        <f ca="1">IF(VALUE(RIGHT(AC46,3)),VALUE(RIGHT(AC46,3))*SUM(OFFSET('2.3家乡建筑'!$BE52,,,VALUE(LEFT(AC46,2)))),)</f>
        <v>0.48993055555555559</v>
      </c>
      <c r="AD369">
        <f ca="1">IF(VALUE(RIGHT(AD46,3)),VALUE(RIGHT(AD46,3))*SUM(OFFSET('2.3家乡建筑'!$BE52,,,VALUE(LEFT(AD46,2)))),)</f>
        <v>2.9865740740740727</v>
      </c>
      <c r="AE369">
        <f ca="1">IF(VALUE(RIGHT(AE46,3)),VALUE(RIGHT(AE46,3))*SUM(OFFSET('2.3家乡建筑'!$BE52,,,VALUE(LEFT(AE46,2)))),)</f>
        <v>8.3165509259259256</v>
      </c>
      <c r="AF369">
        <f ca="1">IF(VALUE(RIGHT(AF46,3)),VALUE(RIGHT(AF46,3))*SUM(OFFSET('2.3家乡建筑'!$BE52,,,VALUE(LEFT(AF46,2)))),)</f>
        <v>9.9798611111111111</v>
      </c>
      <c r="AG369">
        <f ca="1">IF(VALUE(RIGHT(AG46,3)),VALUE(RIGHT(AG46,3))*SUM(OFFSET('2.3家乡建筑'!$BE52,,,VALUE(LEFT(AG46,2)))),)</f>
        <v>13.979861111111115</v>
      </c>
      <c r="AH369">
        <f ca="1">IF(VALUE(RIGHT(AH46,3)),VALUE(RIGHT(AH46,3))*SUM(OFFSET('2.3家乡建筑'!$BE52,,,VALUE(LEFT(AH46,2)))),)</f>
        <v>18.979861111111113</v>
      </c>
      <c r="AI369">
        <f ca="1">IF(VALUE(RIGHT(AI46,3)),VALUE(RIGHT(AI46,3))*SUM(OFFSET('2.3家乡建筑'!$BE52,,,VALUE(LEFT(AI46,2)))),)</f>
        <v>22.143171296296298</v>
      </c>
      <c r="AJ369">
        <f ca="1">IF(VALUE(RIGHT(AJ46,3)),VALUE(RIGHT(AJ46,3))*SUM(OFFSET('2.3家乡建筑'!$BE52,,,VALUE(LEFT(AJ46,2)))),)</f>
        <v>33.809837962962987</v>
      </c>
      <c r="AK369">
        <f ca="1">IF(VALUE(RIGHT(AK46,3)),VALUE(RIGHT(AK46,3))*SUM(OFFSET('2.3家乡建筑'!$BE52,,,VALUE(LEFT(AK46,2)))),)</f>
        <v>57.143171296296302</v>
      </c>
      <c r="AL369">
        <f ca="1">IF(VALUE(RIGHT(AL46,3)),VALUE(RIGHT(AL46,3))*SUM(OFFSET('2.3家乡建筑'!$BE52,,,VALUE(LEFT(AL46,2)))),)</f>
        <v>99.143171296296302</v>
      </c>
      <c r="AM369">
        <f ca="1">IF(VALUE(RIGHT(AM46,3)),VALUE(RIGHT(AM46,3))*SUM(OFFSET('2.3家乡建筑'!$BE52,,,VALUE(LEFT(AM46,2)))),)</f>
        <v>99.143171296296302</v>
      </c>
      <c r="AN369">
        <f ca="1">IF(VALUE(RIGHT(AN46,3)),VALUE(RIGHT(AN46,3))*SUM(OFFSET('2.3家乡建筑'!$BE52,,,VALUE(LEFT(AN46,2)))),)</f>
        <v>99.143171296296302</v>
      </c>
      <c r="AO369">
        <f ca="1">IF(VALUE(RIGHT(AO46,3)),VALUE(RIGHT(AO46,3))*SUM(OFFSET('2.3家乡建筑'!$BE52,,,VALUE(LEFT(AO46,2)))),)</f>
        <v>99.143171296296302</v>
      </c>
      <c r="AX369">
        <v>7500</v>
      </c>
      <c r="AY369" t="s">
        <v>6113</v>
      </c>
      <c r="AZ369" t="s">
        <v>4689</v>
      </c>
      <c r="BA369" t="s">
        <v>5467</v>
      </c>
      <c r="BB369">
        <v>40</v>
      </c>
      <c r="CP369" s="40">
        <v>103</v>
      </c>
      <c r="CQ369" s="41" t="s">
        <v>3523</v>
      </c>
      <c r="CR369" s="41" t="s">
        <v>5491</v>
      </c>
      <c r="CS369" s="41">
        <v>100</v>
      </c>
      <c r="CT369" s="41">
        <v>3</v>
      </c>
      <c r="CU369" s="41">
        <v>2</v>
      </c>
      <c r="CV369" s="41">
        <v>5</v>
      </c>
      <c r="CW369" s="41" t="s">
        <v>4706</v>
      </c>
      <c r="CX369" s="41" t="s">
        <v>4716</v>
      </c>
      <c r="CY369" s="40" t="s">
        <v>3096</v>
      </c>
    </row>
    <row r="370" spans="25:103" ht="14.6">
      <c r="Y370" s="12" t="s">
        <v>60</v>
      </c>
      <c r="AA370">
        <f ca="1">IF(VALUE(RIGHT(AA47,3)),VALUE(RIGHT(AA47,3))*SUM(OFFSET('2.3家乡建筑'!$BC73,,,VALUE(LEFT(AA47,2)))),)</f>
        <v>1.15740740740741E-4</v>
      </c>
      <c r="AB370">
        <f ca="1">IF(VALUE(RIGHT(AB47,3)),VALUE(RIGHT(AB47,3))*SUM(OFFSET('2.3家乡建筑'!$BC73,,,VALUE(LEFT(AB47,2)))),)</f>
        <v>1.7476851851851861E-2</v>
      </c>
      <c r="AC370">
        <f ca="1">IF(VALUE(RIGHT(AC47,3)),VALUE(RIGHT(AC47,3))*SUM(OFFSET('2.3家乡建筑'!$BC73,,,VALUE(LEFT(AC47,2)))),)</f>
        <v>0.53495370370370376</v>
      </c>
      <c r="AD370">
        <f ca="1">IF(VALUE(RIGHT(AD47,3)),VALUE(RIGHT(AD47,3))*SUM(OFFSET('2.3家乡建筑'!$BC73,,,VALUE(LEFT(AD47,2)))),)</f>
        <v>1.2849537037037038</v>
      </c>
      <c r="AE370">
        <f ca="1">IF(VALUE(RIGHT(AE47,3)),VALUE(RIGHT(AE47,3))*SUM(OFFSET('2.3家乡建筑'!$BC73,,,VALUE(LEFT(AE47,2)))),)</f>
        <v>1.9516203703703696</v>
      </c>
      <c r="AF370">
        <f ca="1">IF(VALUE(RIGHT(AF47,3)),VALUE(RIGHT(AF47,3))*SUM(OFFSET('2.3家乡建筑'!$BC73,,,VALUE(LEFT(AF47,2)))),)</f>
        <v>2.9516203703703696</v>
      </c>
      <c r="AG370">
        <f ca="1">IF(VALUE(RIGHT(AG47,3)),VALUE(RIGHT(AG47,3))*SUM(OFFSET('2.3家乡建筑'!$BC73,,,VALUE(LEFT(AG47,2)))),)</f>
        <v>4.2849537037037031</v>
      </c>
      <c r="AH370">
        <f ca="1">IF(VALUE(RIGHT(AH47,3)),VALUE(RIGHT(AH47,3))*SUM(OFFSET('2.3家乡建筑'!$BC73,,,VALUE(LEFT(AH47,2)))),)</f>
        <v>6.4274305555555546</v>
      </c>
      <c r="AI370">
        <f ca="1">IF(VALUE(RIGHT(AI47,3)),VALUE(RIGHT(AI47,3))*SUM(OFFSET('2.3家乡建筑'!$BC73,,,VALUE(LEFT(AI47,2)))),)</f>
        <v>8.5699074074074062</v>
      </c>
      <c r="AJ370">
        <f ca="1">IF(VALUE(RIGHT(AJ47,3)),VALUE(RIGHT(AJ47,3))*SUM(OFFSET('2.3家乡建筑'!$BC73,,,VALUE(LEFT(AJ47,2)))),)</f>
        <v>8.5699074074074062</v>
      </c>
      <c r="AK370">
        <f ca="1">IF(VALUE(RIGHT(AK47,3)),VALUE(RIGHT(AK47,3))*SUM(OFFSET('2.3家乡建筑'!$BC73,,,VALUE(LEFT(AK47,2)))),)</f>
        <v>16.569907407407406</v>
      </c>
      <c r="AL370">
        <f ca="1">IF(VALUE(RIGHT(AL47,3)),VALUE(RIGHT(AL47,3))*SUM(OFFSET('2.3家乡建筑'!$BC73,,,VALUE(LEFT(AL47,2)))),)</f>
        <v>32.569907407407406</v>
      </c>
      <c r="AM370">
        <f ca="1">IF(VALUE(RIGHT(AM47,3)),VALUE(RIGHT(AM47,3))*SUM(OFFSET('2.3家乡建筑'!$BC73,,,VALUE(LEFT(AM47,2)))),)</f>
        <v>59.569907407407406</v>
      </c>
      <c r="AN370">
        <f ca="1">IF(VALUE(RIGHT(AN47,3)),VALUE(RIGHT(AN47,3))*SUM(OFFSET('2.3家乡建筑'!$BC73,,,VALUE(LEFT(AN47,2)))),)</f>
        <v>104.56990740740741</v>
      </c>
      <c r="AO370">
        <f ca="1">IF(VALUE(RIGHT(AO47,3)),VALUE(RIGHT(AO47,3))*SUM(OFFSET('2.3家乡建筑'!$BC73,,,VALUE(LEFT(AO47,2)))),)</f>
        <v>152.56990740740741</v>
      </c>
      <c r="AX370">
        <v>12000</v>
      </c>
      <c r="AY370" t="s">
        <v>4824</v>
      </c>
      <c r="AZ370" t="s">
        <v>4844</v>
      </c>
      <c r="BA370" t="s">
        <v>4795</v>
      </c>
      <c r="BB370">
        <v>60</v>
      </c>
      <c r="CP370" s="40">
        <v>104</v>
      </c>
      <c r="CQ370" s="41" t="s">
        <v>3481</v>
      </c>
      <c r="CR370" s="41" t="s">
        <v>6114</v>
      </c>
      <c r="CS370" s="41">
        <v>100</v>
      </c>
      <c r="CT370" s="41">
        <v>3</v>
      </c>
      <c r="CU370" s="41">
        <v>5</v>
      </c>
      <c r="CV370" s="41">
        <v>5</v>
      </c>
      <c r="CW370" s="41" t="s">
        <v>4706</v>
      </c>
      <c r="CX370" s="41" t="s">
        <v>4716</v>
      </c>
      <c r="CY370" s="40" t="s">
        <v>3096</v>
      </c>
    </row>
    <row r="371" spans="25:103" ht="14.6">
      <c r="Y371" s="12" t="s">
        <v>64</v>
      </c>
      <c r="AA371">
        <f ca="1">IF(VALUE(RIGHT(AA48,3)),VALUE(RIGHT(AA48,3))*SUM(OFFSET('2.3家乡建筑'!$AU54,,,VALUE(LEFT(AA48,2)))),)</f>
        <v>8.1018518518518505E-4</v>
      </c>
      <c r="AB371">
        <f ca="1">IF(VALUE(RIGHT(AB48,3)),VALUE(RIGHT(AB48,3))*SUM(OFFSET('2.3家乡建筑'!$AU54,,,VALUE(LEFT(AB48,2)))),)</f>
        <v>2.1064814814814811E-2</v>
      </c>
      <c r="AC371">
        <f ca="1">IF(VALUE(RIGHT(AC48,3)),VALUE(RIGHT(AC48,3))*SUM(OFFSET('2.3家乡建筑'!$AU54,,,VALUE(LEFT(AC48,2)))),)</f>
        <v>0.48993055555555559</v>
      </c>
      <c r="AD371">
        <f ca="1">IF(VALUE(RIGHT(AD48,3)),VALUE(RIGHT(AD48,3))*SUM(OFFSET('2.3家乡建筑'!$AU54,,,VALUE(LEFT(AD48,2)))),)</f>
        <v>2.9865740740740727</v>
      </c>
      <c r="AE371">
        <f ca="1">IF(VALUE(RIGHT(AE48,3)),VALUE(RIGHT(AE48,3))*SUM(OFFSET('2.3家乡建筑'!$AU54,,,VALUE(LEFT(AE48,2)))),)</f>
        <v>8.3165509259259256</v>
      </c>
      <c r="AF371">
        <f ca="1">IF(VALUE(RIGHT(AF48,3)),VALUE(RIGHT(AF48,3))*SUM(OFFSET('2.3家乡建筑'!$AU54,,,VALUE(LEFT(AF48,2)))),)</f>
        <v>9.9798611111111111</v>
      </c>
      <c r="AG371">
        <f ca="1">IF(VALUE(RIGHT(AG48,3)),VALUE(RIGHT(AG48,3))*SUM(OFFSET('2.3家乡建筑'!$AU54,,,VALUE(LEFT(AG48,2)))),)</f>
        <v>13.979861111111115</v>
      </c>
      <c r="AH371">
        <f ca="1">IF(VALUE(RIGHT(AH48,3)),VALUE(RIGHT(AH48,3))*SUM(OFFSET('2.3家乡建筑'!$AU54,,,VALUE(LEFT(AH48,2)))),)</f>
        <v>18.979861111111113</v>
      </c>
      <c r="AI371">
        <f ca="1">IF(VALUE(RIGHT(AI48,3)),VALUE(RIGHT(AI48,3))*SUM(OFFSET('2.3家乡建筑'!$AU54,,,VALUE(LEFT(AI48,2)))),)</f>
        <v>22.143171296296298</v>
      </c>
      <c r="AJ371">
        <f ca="1">IF(VALUE(RIGHT(AJ48,3)),VALUE(RIGHT(AJ48,3))*SUM(OFFSET('2.3家乡建筑'!$AU54,,,VALUE(LEFT(AJ48,2)))),)</f>
        <v>33.809837962962987</v>
      </c>
      <c r="AK371">
        <f ca="1">IF(VALUE(RIGHT(AK48,3)),VALUE(RIGHT(AK48,3))*SUM(OFFSET('2.3家乡建筑'!$AU54,,,VALUE(LEFT(AK48,2)))),)</f>
        <v>57.143171296296302</v>
      </c>
      <c r="AL371">
        <f ca="1">IF(VALUE(RIGHT(AL48,3)),VALUE(RIGHT(AL48,3))*SUM(OFFSET('2.3家乡建筑'!$AU54,,,VALUE(LEFT(AL48,2)))),)</f>
        <v>99.143171296296302</v>
      </c>
      <c r="AM371">
        <f ca="1">IF(VALUE(RIGHT(AM48,3)),VALUE(RIGHT(AM48,3))*SUM(OFFSET('2.3家乡建筑'!$AU54,,,VALUE(LEFT(AM48,2)))),)</f>
        <v>99.143171296296302</v>
      </c>
      <c r="AN371">
        <f ca="1">IF(VALUE(RIGHT(AN48,3)),VALUE(RIGHT(AN48,3))*SUM(OFFSET('2.3家乡建筑'!$AU54,,,VALUE(LEFT(AN48,2)))),)</f>
        <v>99.143171296296302</v>
      </c>
      <c r="AO371">
        <f ca="1">IF(VALUE(RIGHT(AO48,3)),VALUE(RIGHT(AO48,3))*SUM(OFFSET('2.3家乡建筑'!$AU54,,,VALUE(LEFT(AO48,2)))),)</f>
        <v>99.143171296296302</v>
      </c>
      <c r="AX371">
        <v>18000</v>
      </c>
      <c r="AY371" t="s">
        <v>6115</v>
      </c>
      <c r="AZ371" t="s">
        <v>5885</v>
      </c>
      <c r="BA371" t="s">
        <v>4845</v>
      </c>
      <c r="BB371">
        <v>80</v>
      </c>
      <c r="CP371" s="40">
        <v>105</v>
      </c>
      <c r="CQ371" s="41" t="s">
        <v>3477</v>
      </c>
      <c r="CR371" s="41" t="s">
        <v>6116</v>
      </c>
      <c r="CS371" s="41">
        <v>100</v>
      </c>
      <c r="CT371" s="41">
        <v>3</v>
      </c>
      <c r="CU371" s="41">
        <v>5</v>
      </c>
      <c r="CV371" s="41">
        <v>5</v>
      </c>
      <c r="CW371" s="41" t="s">
        <v>4706</v>
      </c>
      <c r="CX371" s="41" t="s">
        <v>4716</v>
      </c>
      <c r="CY371" s="40" t="s">
        <v>3096</v>
      </c>
    </row>
    <row r="372" spans="25:103" ht="14.6">
      <c r="Y372" s="12" t="s">
        <v>68</v>
      </c>
      <c r="AA372">
        <f ca="1">IF(VALUE(RIGHT(AA49,3)),VALUE(RIGHT(AA49,3))*SUM(OFFSET('2.3家乡建筑'!$AS73,,,VALUE(LEFT(AA49,2)))),)</f>
        <v>1.15740740740741E-4</v>
      </c>
      <c r="AB372">
        <f ca="1">IF(VALUE(RIGHT(AB49,3)),VALUE(RIGHT(AB49,3))*SUM(OFFSET('2.3家乡建筑'!$AS73,,,VALUE(LEFT(AB49,2)))),)</f>
        <v>1.7476851851851861E-2</v>
      </c>
      <c r="AC372">
        <f ca="1">IF(VALUE(RIGHT(AC49,3)),VALUE(RIGHT(AC49,3))*SUM(OFFSET('2.3家乡建筑'!$AS73,,,VALUE(LEFT(AC49,2)))),)</f>
        <v>0.53495370370370376</v>
      </c>
      <c r="AD372">
        <f ca="1">IF(VALUE(RIGHT(AD49,3)),VALUE(RIGHT(AD49,3))*SUM(OFFSET('2.3家乡建筑'!$AS73,,,VALUE(LEFT(AD49,2)))),)</f>
        <v>1.2849537037037038</v>
      </c>
      <c r="AE372">
        <f ca="1">IF(VALUE(RIGHT(AE49,3)),VALUE(RIGHT(AE49,3))*SUM(OFFSET('2.3家乡建筑'!$AS73,,,VALUE(LEFT(AE49,2)))),)</f>
        <v>1.9516203703703696</v>
      </c>
      <c r="AF372">
        <f ca="1">IF(VALUE(RIGHT(AF49,3)),VALUE(RIGHT(AF49,3))*SUM(OFFSET('2.3家乡建筑'!$AS73,,,VALUE(LEFT(AF49,2)))),)</f>
        <v>2.9516203703703696</v>
      </c>
      <c r="AG372">
        <f ca="1">IF(VALUE(RIGHT(AG49,3)),VALUE(RIGHT(AG49,3))*SUM(OFFSET('2.3家乡建筑'!$AS73,,,VALUE(LEFT(AG49,2)))),)</f>
        <v>4.2849537037037031</v>
      </c>
      <c r="AH372">
        <f ca="1">IF(VALUE(RIGHT(AH49,3)),VALUE(RIGHT(AH49,3))*SUM(OFFSET('2.3家乡建筑'!$AS73,,,VALUE(LEFT(AH49,2)))),)</f>
        <v>6.4274305555555546</v>
      </c>
      <c r="AI372">
        <f ca="1">IF(VALUE(RIGHT(AI49,3)),VALUE(RIGHT(AI49,3))*SUM(OFFSET('2.3家乡建筑'!$AS73,,,VALUE(LEFT(AI49,2)))),)</f>
        <v>8.5699074074074062</v>
      </c>
      <c r="AJ372">
        <f ca="1">IF(VALUE(RIGHT(AJ49,3)),VALUE(RIGHT(AJ49,3))*SUM(OFFSET('2.3家乡建筑'!$AS73,,,VALUE(LEFT(AJ49,2)))),)</f>
        <v>8.5699074074074062</v>
      </c>
      <c r="AK372">
        <f ca="1">IF(VALUE(RIGHT(AK49,3)),VALUE(RIGHT(AK49,3))*SUM(OFFSET('2.3家乡建筑'!$AS73,,,VALUE(LEFT(AK49,2)))),)</f>
        <v>16.569907407407406</v>
      </c>
      <c r="AL372">
        <f ca="1">IF(VALUE(RIGHT(AL49,3)),VALUE(RIGHT(AL49,3))*SUM(OFFSET('2.3家乡建筑'!$AS73,,,VALUE(LEFT(AL49,2)))),)</f>
        <v>32.569907407407406</v>
      </c>
      <c r="AM372">
        <f ca="1">IF(VALUE(RIGHT(AM49,3)),VALUE(RIGHT(AM49,3))*SUM(OFFSET('2.3家乡建筑'!$AS73,,,VALUE(LEFT(AM49,2)))),)</f>
        <v>59.569907407407406</v>
      </c>
      <c r="AN372">
        <f ca="1">IF(VALUE(RIGHT(AN49,3)),VALUE(RIGHT(AN49,3))*SUM(OFFSET('2.3家乡建筑'!$AS73,,,VALUE(LEFT(AN49,2)))),)</f>
        <v>104.56990740740741</v>
      </c>
      <c r="AO372">
        <f ca="1">IF(VALUE(RIGHT(AO49,3)),VALUE(RIGHT(AO49,3))*SUM(OFFSET('2.3家乡建筑'!$AS73,,,VALUE(LEFT(AO49,2)))),)</f>
        <v>152.56990740740741</v>
      </c>
      <c r="AX372">
        <v>30000</v>
      </c>
      <c r="AY372" t="s">
        <v>5164</v>
      </c>
      <c r="AZ372" t="s">
        <v>6117</v>
      </c>
      <c r="BA372" t="s">
        <v>5709</v>
      </c>
      <c r="BB372">
        <v>100</v>
      </c>
      <c r="CP372" s="40">
        <v>106</v>
      </c>
      <c r="CQ372" s="41" t="s">
        <v>3566</v>
      </c>
      <c r="CR372" s="41" t="s">
        <v>6118</v>
      </c>
      <c r="CS372" s="41">
        <v>100</v>
      </c>
      <c r="CT372" s="41">
        <v>3</v>
      </c>
      <c r="CU372" s="41">
        <v>5</v>
      </c>
      <c r="CV372" s="41">
        <v>5</v>
      </c>
      <c r="CW372" s="41" t="s">
        <v>4706</v>
      </c>
      <c r="CX372" s="41" t="s">
        <v>4716</v>
      </c>
      <c r="CY372" s="40" t="s">
        <v>3096</v>
      </c>
    </row>
    <row r="373" spans="25:103" ht="14.6">
      <c r="Y373" s="12" t="s">
        <v>74</v>
      </c>
      <c r="AA373">
        <f ca="1">IF(VALUE(RIGHT(AA50,3)),VALUE(RIGHT(AA50,3))*SUM(OFFSET('2.3家乡建筑'!$BO52,,,VALUE(LEFT(AA50,2)))),)</f>
        <v>0</v>
      </c>
      <c r="AB373">
        <f ca="1">IF(VALUE(RIGHT(AB50,3)),VALUE(RIGHT(AB50,3))*SUM(OFFSET('2.3家乡建筑'!$BO52,,,VALUE(LEFT(AB50,2)))),)</f>
        <v>0</v>
      </c>
      <c r="AC373">
        <f ca="1">IF(VALUE(RIGHT(AC50,3)),VALUE(RIGHT(AC50,3))*SUM(OFFSET('2.3家乡建筑'!$BO52,,,VALUE(LEFT(AC50,2)))),)</f>
        <v>0</v>
      </c>
      <c r="AD373">
        <f ca="1">IF(VALUE(RIGHT(AD50,3)),VALUE(RIGHT(AD50,3))*SUM(OFFSET('2.3家乡建筑'!$BO52,,,VALUE(LEFT(AD50,2)))),)</f>
        <v>0</v>
      </c>
      <c r="AE373">
        <f ca="1">IF(VALUE(RIGHT(AE50,3)),VALUE(RIGHT(AE50,3))*SUM(OFFSET('2.3家乡建筑'!$BO52,,,VALUE(LEFT(AE50,2)))),)</f>
        <v>0</v>
      </c>
      <c r="AF373">
        <f ca="1">IF(VALUE(RIGHT(AF50,3)),VALUE(RIGHT(AF50,3))*SUM(OFFSET('2.3家乡建筑'!$BO52,,,VALUE(LEFT(AF50,2)))),)</f>
        <v>0</v>
      </c>
      <c r="AG373">
        <f ca="1">IF(VALUE(RIGHT(AG50,3)),VALUE(RIGHT(AG50,3))*SUM(OFFSET('2.3家乡建筑'!$BO52,,,VALUE(LEFT(AG50,2)))),)</f>
        <v>1.5</v>
      </c>
      <c r="AH373">
        <f ca="1">IF(VALUE(RIGHT(AH50,3)),VALUE(RIGHT(AH50,3))*SUM(OFFSET('2.3家乡建筑'!$BO52,,,VALUE(LEFT(AH50,2)))),)</f>
        <v>3</v>
      </c>
      <c r="AI373">
        <f ca="1">IF(VALUE(RIGHT(AI50,3)),VALUE(RIGHT(AI50,3))*SUM(OFFSET('2.3家乡建筑'!$BO52,,,VALUE(LEFT(AI50,2)))),)</f>
        <v>18</v>
      </c>
      <c r="AJ373">
        <f ca="1">IF(VALUE(RIGHT(AJ50,3)),VALUE(RIGHT(AJ50,3))*SUM(OFFSET('2.3家乡建筑'!$BO52,,,VALUE(LEFT(AJ50,2)))),)</f>
        <v>27</v>
      </c>
      <c r="AK373">
        <f ca="1">IF(VALUE(RIGHT(AK50,3)),VALUE(RIGHT(AK50,3))*SUM(OFFSET('2.3家乡建筑'!$BO52,,,VALUE(LEFT(AK50,2)))),)</f>
        <v>39</v>
      </c>
      <c r="AL373">
        <f ca="1">IF(VALUE(RIGHT(AL50,3)),VALUE(RIGHT(AL50,3))*SUM(OFFSET('2.3家乡建筑'!$BO52,,,VALUE(LEFT(AL50,2)))),)</f>
        <v>60</v>
      </c>
      <c r="AM373">
        <f ca="1">IF(VALUE(RIGHT(AM50,3)),VALUE(RIGHT(AM50,3))*SUM(OFFSET('2.3家乡建筑'!$BO52,,,VALUE(LEFT(AM50,2)))),)</f>
        <v>60</v>
      </c>
      <c r="AN373">
        <f ca="1">IF(VALUE(RIGHT(AN50,3)),VALUE(RIGHT(AN50,3))*SUM(OFFSET('2.3家乡建筑'!$BO52,,,VALUE(LEFT(AN50,2)))),)</f>
        <v>60</v>
      </c>
      <c r="AO373">
        <f ca="1">IF(VALUE(RIGHT(AO50,3)),VALUE(RIGHT(AO50,3))*SUM(OFFSET('2.3家乡建筑'!$BO52,,,VALUE(LEFT(AO50,2)))),)</f>
        <v>60</v>
      </c>
      <c r="AX373">
        <v>50000</v>
      </c>
      <c r="AY373" t="s">
        <v>4745</v>
      </c>
      <c r="AZ373" t="s">
        <v>4943</v>
      </c>
      <c r="BA373" t="s">
        <v>3432</v>
      </c>
      <c r="BB373">
        <v>120</v>
      </c>
      <c r="CP373" s="40">
        <v>107</v>
      </c>
      <c r="CQ373" s="41" t="s">
        <v>3493</v>
      </c>
      <c r="CR373" s="41" t="s">
        <v>6119</v>
      </c>
      <c r="CS373" s="41">
        <v>100</v>
      </c>
      <c r="CT373" s="41">
        <v>3</v>
      </c>
      <c r="CU373" s="41">
        <v>5</v>
      </c>
      <c r="CV373" s="41">
        <v>5</v>
      </c>
      <c r="CW373" s="41" t="s">
        <v>4706</v>
      </c>
      <c r="CX373" s="41" t="s">
        <v>4716</v>
      </c>
      <c r="CY373" s="40" t="s">
        <v>3096</v>
      </c>
    </row>
    <row r="374" spans="25:103" ht="14.6">
      <c r="Y374" s="12" t="s">
        <v>79</v>
      </c>
      <c r="AA374">
        <f ca="1">IF(VALUE(RIGHT(AA51,3)),VALUE(RIGHT(AA51,3))*SUM(OFFSET('2.3家乡建筑'!$BM73,,,VALUE(LEFT(AA51,2)))),)</f>
        <v>0</v>
      </c>
      <c r="AB374">
        <f ca="1">IF(VALUE(RIGHT(AB51,3)),VALUE(RIGHT(AB51,3))*SUM(OFFSET('2.3家乡建筑'!$BM73,,,VALUE(LEFT(AB51,2)))),)</f>
        <v>0</v>
      </c>
      <c r="AC374">
        <f ca="1">IF(VALUE(RIGHT(AC51,3)),VALUE(RIGHT(AC51,3))*SUM(OFFSET('2.3家乡建筑'!$BM73,,,VALUE(LEFT(AC51,2)))),)</f>
        <v>0</v>
      </c>
      <c r="AD374">
        <f ca="1">IF(VALUE(RIGHT(AD51,3)),VALUE(RIGHT(AD51,3))*SUM(OFFSET('2.3家乡建筑'!$BM73,,,VALUE(LEFT(AD51,2)))),)</f>
        <v>0</v>
      </c>
      <c r="AE374">
        <f ca="1">IF(VALUE(RIGHT(AE51,3)),VALUE(RIGHT(AE51,3))*SUM(OFFSET('2.3家乡建筑'!$BM73,,,VALUE(LEFT(AE51,2)))),)</f>
        <v>0</v>
      </c>
      <c r="AF374">
        <f ca="1">IF(VALUE(RIGHT(AF51,3)),VALUE(RIGHT(AF51,3))*SUM(OFFSET('2.3家乡建筑'!$BM73,,,VALUE(LEFT(AF51,2)))),)</f>
        <v>0</v>
      </c>
      <c r="AG374">
        <f ca="1">IF(VALUE(RIGHT(AG51,3)),VALUE(RIGHT(AG51,3))*SUM(OFFSET('2.3家乡建筑'!$BM73,,,VALUE(LEFT(AG51,2)))),)</f>
        <v>1</v>
      </c>
      <c r="AH374">
        <f ca="1">IF(VALUE(RIGHT(AH51,3)),VALUE(RIGHT(AH51,3))*SUM(OFFSET('2.3家乡建筑'!$BM73,,,VALUE(LEFT(AH51,2)))),)</f>
        <v>3.5</v>
      </c>
      <c r="AI374">
        <f ca="1">IF(VALUE(RIGHT(AI51,3)),VALUE(RIGHT(AI51,3))*SUM(OFFSET('2.3家乡建筑'!$BM73,,,VALUE(LEFT(AI51,2)))),)</f>
        <v>8.5</v>
      </c>
      <c r="AJ374">
        <f ca="1">IF(VALUE(RIGHT(AJ51,3)),VALUE(RIGHT(AJ51,3))*SUM(OFFSET('2.3家乡建筑'!$BM73,,,VALUE(LEFT(AJ51,2)))),)</f>
        <v>8.5</v>
      </c>
      <c r="AK374">
        <f ca="1">IF(VALUE(RIGHT(AK51,3)),VALUE(RIGHT(AK51,3))*SUM(OFFSET('2.3家乡建筑'!$BM73,,,VALUE(LEFT(AK51,2)))),)</f>
        <v>8.5</v>
      </c>
      <c r="AL374">
        <f ca="1">IF(VALUE(RIGHT(AL51,3)),VALUE(RIGHT(AL51,3))*SUM(OFFSET('2.3家乡建筑'!$BM73,,,VALUE(LEFT(AL51,2)))),)</f>
        <v>12</v>
      </c>
      <c r="AM374">
        <f ca="1">IF(VALUE(RIGHT(AM51,3)),VALUE(RIGHT(AM51,3))*SUM(OFFSET('2.3家乡建筑'!$BM73,,,VALUE(LEFT(AM51,2)))),)</f>
        <v>19.5</v>
      </c>
      <c r="AN374">
        <f ca="1">IF(VALUE(RIGHT(AN51,3)),VALUE(RIGHT(AN51,3))*SUM(OFFSET('2.3家乡建筑'!$BM73,,,VALUE(LEFT(AN51,2)))),)</f>
        <v>33.75</v>
      </c>
      <c r="AO374">
        <f ca="1">IF(VALUE(RIGHT(AO51,3)),VALUE(RIGHT(AO51,3))*SUM(OFFSET('2.3家乡建筑'!$BM73,,,VALUE(LEFT(AO51,2)))),)</f>
        <v>48.75</v>
      </c>
      <c r="AX374">
        <v>3000</v>
      </c>
      <c r="AY374" t="s">
        <v>6056</v>
      </c>
      <c r="AZ374" t="s">
        <v>4878</v>
      </c>
      <c r="BA374" t="s">
        <v>5467</v>
      </c>
      <c r="BB374">
        <v>20</v>
      </c>
      <c r="CP374" s="40">
        <v>108</v>
      </c>
      <c r="CQ374" s="41" t="s">
        <v>3612</v>
      </c>
      <c r="CR374" s="41" t="s">
        <v>6120</v>
      </c>
      <c r="CS374" s="41">
        <v>100</v>
      </c>
      <c r="CT374" s="41">
        <v>3</v>
      </c>
      <c r="CU374" s="41">
        <v>5</v>
      </c>
      <c r="CV374" s="41">
        <v>5</v>
      </c>
      <c r="CW374" s="41" t="s">
        <v>4706</v>
      </c>
      <c r="CX374" s="41" t="s">
        <v>4716</v>
      </c>
      <c r="CY374" s="40" t="s">
        <v>3096</v>
      </c>
    </row>
    <row r="375" spans="25:103" ht="14.6">
      <c r="Y375" t="s">
        <v>82</v>
      </c>
      <c r="AA375">
        <f ca="1">IF(VALUE(RIGHT(AA52,3)),VALUE(RIGHT(AA52,3))*SUM(OFFSET('2.3家乡建筑'!$AS92,,,VALUE(LEFT(AA52,2)))),)</f>
        <v>0</v>
      </c>
      <c r="AB375">
        <f ca="1">IF(VALUE(RIGHT(AB52,3)),VALUE(RIGHT(AB52,3))*SUM(OFFSET('2.3家乡建筑'!$AS92,,,VALUE(LEFT(AB52,2)))),)</f>
        <v>0</v>
      </c>
      <c r="AC375">
        <f ca="1">IF(VALUE(RIGHT(AC52,3)),VALUE(RIGHT(AC52,3))*SUM(OFFSET('2.3家乡建筑'!$AS92,,,VALUE(LEFT(AC52,2)))),)</f>
        <v>0</v>
      </c>
      <c r="AD375">
        <f ca="1">IF(VALUE(RIGHT(AD52,3)),VALUE(RIGHT(AD52,3))*SUM(OFFSET('2.3家乡建筑'!$AS92,,,VALUE(LEFT(AD52,2)))),)</f>
        <v>0</v>
      </c>
      <c r="AE375">
        <f ca="1">IF(VALUE(RIGHT(AE52,3)),VALUE(RIGHT(AE52,3))*SUM(OFFSET('2.3家乡建筑'!$AS92,,,VALUE(LEFT(AE52,2)))),)</f>
        <v>0</v>
      </c>
      <c r="AF375">
        <f ca="1">IF(VALUE(RIGHT(AF52,3)),VALUE(RIGHT(AF52,3))*SUM(OFFSET('2.3家乡建筑'!$AS92,,,VALUE(LEFT(AF52,2)))),)</f>
        <v>0</v>
      </c>
      <c r="AG375">
        <f ca="1">IF(VALUE(RIGHT(AG52,3)),VALUE(RIGHT(AG52,3))*SUM(OFFSET('2.3家乡建筑'!$AS92,,,VALUE(LEFT(AG52,2)))),)</f>
        <v>0</v>
      </c>
      <c r="AH375">
        <f ca="1">IF(VALUE(RIGHT(AH52,3)),VALUE(RIGHT(AH52,3))*SUM(OFFSET('2.3家乡建筑'!$AS92,,,VALUE(LEFT(AH52,2)))),)</f>
        <v>0</v>
      </c>
      <c r="AI375">
        <f ca="1">IF(VALUE(RIGHT(AI52,3)),VALUE(RIGHT(AI52,3))*SUM(OFFSET('2.3家乡建筑'!$AS92,,,VALUE(LEFT(AI52,2)))),)</f>
        <v>0</v>
      </c>
      <c r="AJ375">
        <f ca="1">IF(VALUE(RIGHT(AJ52,3)),VALUE(RIGHT(AJ52,3))*SUM(OFFSET('2.3家乡建筑'!$AS92,,,VALUE(LEFT(AJ52,2)))),)</f>
        <v>0</v>
      </c>
      <c r="AK375">
        <f ca="1">IF(VALUE(RIGHT(AK52,3)),VALUE(RIGHT(AK52,3))*SUM(OFFSET('2.3家乡建筑'!$AS92,,,VALUE(LEFT(AK52,2)))),)</f>
        <v>0</v>
      </c>
      <c r="AL375">
        <f ca="1">IF(VALUE(RIGHT(AL52,3)),VALUE(RIGHT(AL52,3))*SUM(OFFSET('2.3家乡建筑'!$AS92,,,VALUE(LEFT(AL52,2)))),)</f>
        <v>0</v>
      </c>
      <c r="AM375">
        <f ca="1">IF(VALUE(RIGHT(AM52,3)),VALUE(RIGHT(AM52,3))*SUM(OFFSET('2.3家乡建筑'!$AS92,,,VALUE(LEFT(AM52,2)))),)</f>
        <v>0</v>
      </c>
      <c r="AN375">
        <f ca="1">IF(VALUE(RIGHT(AN52,3)),VALUE(RIGHT(AN52,3))*SUM(OFFSET('2.3家乡建筑'!$AS92,,,VALUE(LEFT(AN52,2)))),)</f>
        <v>60.5</v>
      </c>
      <c r="AO375">
        <f ca="1">IF(VALUE(RIGHT(AO52,3)),VALUE(RIGHT(AO52,3))*SUM(OFFSET('2.3家乡建筑'!$AS92,,,VALUE(LEFT(AO52,2)))),)</f>
        <v>138</v>
      </c>
      <c r="AX375">
        <v>7500</v>
      </c>
      <c r="AY375" t="s">
        <v>6035</v>
      </c>
      <c r="AZ375" t="s">
        <v>4770</v>
      </c>
      <c r="BA375" t="s">
        <v>4739</v>
      </c>
      <c r="BB375">
        <v>40</v>
      </c>
      <c r="CP375" s="40">
        <v>109</v>
      </c>
      <c r="CQ375" s="41" t="s">
        <v>3629</v>
      </c>
      <c r="CR375" s="41" t="s">
        <v>6121</v>
      </c>
      <c r="CS375" s="41">
        <v>100</v>
      </c>
      <c r="CT375" s="41">
        <v>3</v>
      </c>
      <c r="CU375" s="41">
        <v>5</v>
      </c>
      <c r="CV375" s="41">
        <v>5</v>
      </c>
      <c r="CW375" s="41" t="s">
        <v>4706</v>
      </c>
      <c r="CX375" s="41" t="s">
        <v>4716</v>
      </c>
      <c r="CY375" s="40" t="s">
        <v>3096</v>
      </c>
    </row>
    <row r="376" spans="25:103" ht="14.6">
      <c r="AX376">
        <v>12000</v>
      </c>
      <c r="AY376" t="s">
        <v>4824</v>
      </c>
      <c r="AZ376" t="s">
        <v>5538</v>
      </c>
      <c r="BA376" t="s">
        <v>4795</v>
      </c>
      <c r="BB376">
        <v>60</v>
      </c>
      <c r="CP376" s="40">
        <v>110</v>
      </c>
      <c r="CQ376" s="41" t="s">
        <v>3573</v>
      </c>
      <c r="CR376" s="41" t="s">
        <v>5570</v>
      </c>
      <c r="CS376" s="41">
        <v>100</v>
      </c>
      <c r="CT376" s="41">
        <v>3</v>
      </c>
      <c r="CU376" s="41">
        <v>2</v>
      </c>
      <c r="CV376" s="41">
        <v>5</v>
      </c>
      <c r="CW376" s="41" t="s">
        <v>4706</v>
      </c>
      <c r="CX376" s="41" t="s">
        <v>4716</v>
      </c>
      <c r="CY376" s="40" t="s">
        <v>3096</v>
      </c>
    </row>
    <row r="377" spans="25:103" ht="14.6">
      <c r="AX377">
        <v>18000</v>
      </c>
      <c r="AY377" t="s">
        <v>6115</v>
      </c>
      <c r="AZ377" t="s">
        <v>6111</v>
      </c>
      <c r="BA377" t="s">
        <v>4689</v>
      </c>
      <c r="BB377">
        <v>80</v>
      </c>
      <c r="CP377" s="40">
        <v>111</v>
      </c>
      <c r="CQ377" s="41" t="s">
        <v>3592</v>
      </c>
      <c r="CR377" s="41" t="s">
        <v>5604</v>
      </c>
      <c r="CS377" s="41">
        <v>100</v>
      </c>
      <c r="CT377" s="41">
        <v>3</v>
      </c>
      <c r="CU377" s="41">
        <v>2</v>
      </c>
      <c r="CV377" s="41">
        <v>5</v>
      </c>
      <c r="CW377" s="41" t="s">
        <v>4706</v>
      </c>
      <c r="CX377" s="41" t="s">
        <v>4716</v>
      </c>
      <c r="CY377" s="40" t="s">
        <v>3096</v>
      </c>
    </row>
    <row r="378" spans="25:103" ht="14.6">
      <c r="Y378" s="12" t="s">
        <v>4</v>
      </c>
      <c r="AA378">
        <f ca="1">SUM(OFFSET('2.1家乡主力军'!$L6,,,AA55))</f>
        <v>0</v>
      </c>
      <c r="AB378">
        <f ca="1">SUM(OFFSET('2.1家乡主力军'!$L6,,,AB55))</f>
        <v>0</v>
      </c>
      <c r="AC378">
        <f ca="1">SUM(OFFSET('2.1家乡主力军'!$L6,,,AC55))</f>
        <v>8.3333333333333301E-2</v>
      </c>
      <c r="AD378">
        <f ca="1">SUM(OFFSET('2.1家乡主力军'!$L6,,,AD55))</f>
        <v>8.3333333333333301E-2</v>
      </c>
      <c r="AE378">
        <f ca="1">SUM(OFFSET('2.1家乡主力军'!$L6,,,AE55))</f>
        <v>0.2916666666666663</v>
      </c>
      <c r="AF378">
        <f ca="1">SUM(OFFSET('2.1家乡主力军'!$L6,,,AF55))</f>
        <v>0.2916666666666663</v>
      </c>
      <c r="AG378">
        <f ca="1">SUM(OFFSET('2.1家乡主力军'!$L6,,,AG55))</f>
        <v>0.7916666666666663</v>
      </c>
      <c r="AH378">
        <f ca="1">SUM(OFFSET('2.1家乡主力军'!$L6,,,AH55))</f>
        <v>1.7916666666666663</v>
      </c>
      <c r="AI378">
        <f ca="1">SUM(OFFSET('2.1家乡主力军'!$L6,,,AI55))</f>
        <v>3.2916666666666661</v>
      </c>
      <c r="AJ378">
        <f ca="1">SUM(OFFSET('2.1家乡主力军'!$L6,,,AJ55))</f>
        <v>5.7916666666666661</v>
      </c>
      <c r="AK378">
        <f ca="1">SUM(OFFSET('2.1家乡主力军'!$L6,,,AK55))</f>
        <v>8.7916666666666661</v>
      </c>
      <c r="AL378">
        <f ca="1">SUM(OFFSET('2.1家乡主力军'!$L6,,,AL55))</f>
        <v>15.791666666666666</v>
      </c>
      <c r="AM378">
        <f ca="1">SUM(OFFSET('2.1家乡主力军'!$L6,,,AM55))</f>
        <v>15.791666666666666</v>
      </c>
      <c r="AN378">
        <f ca="1">SUM(OFFSET('2.1家乡主力军'!$L6,,,AN55))</f>
        <v>28.791666666666664</v>
      </c>
      <c r="AO378">
        <f ca="1">SUM(OFFSET('2.1家乡主力军'!$L6,,,AO55))</f>
        <v>42.791666666666664</v>
      </c>
      <c r="AX378">
        <v>30000</v>
      </c>
      <c r="AY378" t="s">
        <v>6122</v>
      </c>
      <c r="AZ378" t="s">
        <v>5163</v>
      </c>
      <c r="BA378" t="s">
        <v>4855</v>
      </c>
      <c r="BB378">
        <v>100</v>
      </c>
      <c r="CP378" s="40">
        <v>112</v>
      </c>
      <c r="CQ378" s="41" t="s">
        <v>3618</v>
      </c>
      <c r="CR378" s="41" t="s">
        <v>5649</v>
      </c>
      <c r="CS378" s="41">
        <v>100</v>
      </c>
      <c r="CT378" s="41">
        <v>3</v>
      </c>
      <c r="CU378" s="41">
        <v>2</v>
      </c>
      <c r="CV378" s="41">
        <v>5</v>
      </c>
      <c r="CW378" s="41" t="s">
        <v>4706</v>
      </c>
      <c r="CX378" s="41" t="s">
        <v>4716</v>
      </c>
      <c r="CY378" s="40" t="s">
        <v>3096</v>
      </c>
    </row>
    <row r="379" spans="25:103" ht="14.6">
      <c r="Y379" s="12" t="s">
        <v>11</v>
      </c>
      <c r="AA379">
        <f ca="1">SUM(OFFSET('2.1家乡主力军'!$V6,,,AA56))</f>
        <v>0</v>
      </c>
      <c r="AB379">
        <f ca="1">SUM(OFFSET('2.1家乡主力军'!$V6,,,AB56))</f>
        <v>0</v>
      </c>
      <c r="AC379">
        <f ca="1">SUM(OFFSET('2.1家乡主力军'!$V6,,,AC56))</f>
        <v>0.125</v>
      </c>
      <c r="AD379">
        <f ca="1">SUM(OFFSET('2.1家乡主力军'!$V6,,,AD56))</f>
        <v>0.125</v>
      </c>
      <c r="AE379">
        <f ca="1">SUM(OFFSET('2.1家乡主力军'!$V6,,,AE56))</f>
        <v>0.375</v>
      </c>
      <c r="AF379">
        <f ca="1">SUM(OFFSET('2.1家乡主力军'!$V6,,,AF56))</f>
        <v>0.375</v>
      </c>
      <c r="AG379">
        <f ca="1">SUM(OFFSET('2.1家乡主力军'!$V6,,,AG56))</f>
        <v>0.875</v>
      </c>
      <c r="AH379">
        <f ca="1">SUM(OFFSET('2.1家乡主力军'!$V6,,,AH56))</f>
        <v>1.875</v>
      </c>
      <c r="AI379">
        <f ca="1">SUM(OFFSET('2.1家乡主力军'!$V6,,,AI56))</f>
        <v>3.375</v>
      </c>
      <c r="AJ379">
        <f ca="1">SUM(OFFSET('2.1家乡主力军'!$V6,,,AJ56))</f>
        <v>5.875</v>
      </c>
      <c r="AK379">
        <f ca="1">SUM(OFFSET('2.1家乡主力军'!$V6,,,AK56))</f>
        <v>9.375</v>
      </c>
      <c r="AL379">
        <f ca="1">SUM(OFFSET('2.1家乡主力军'!$V6,,,AL56))</f>
        <v>16.375</v>
      </c>
      <c r="AM379">
        <f ca="1">SUM(OFFSET('2.1家乡主力军'!$V6,,,AM56))</f>
        <v>16.375</v>
      </c>
      <c r="AN379">
        <f ca="1">SUM(OFFSET('2.1家乡主力军'!$V6,,,AN56))</f>
        <v>29.375</v>
      </c>
      <c r="AO379">
        <f ca="1">SUM(OFFSET('2.1家乡主力军'!$V6,,,AO56))</f>
        <v>43.375</v>
      </c>
      <c r="AX379">
        <v>50000</v>
      </c>
      <c r="AY379" t="s">
        <v>4746</v>
      </c>
      <c r="AZ379" t="s">
        <v>4750</v>
      </c>
      <c r="BA379" t="s">
        <v>3432</v>
      </c>
      <c r="BB379">
        <v>120</v>
      </c>
      <c r="CP379" s="40">
        <v>113</v>
      </c>
      <c r="CQ379" s="41" t="s">
        <v>4257</v>
      </c>
      <c r="CR379" s="41" t="s">
        <v>6123</v>
      </c>
      <c r="CS379" s="41">
        <v>275</v>
      </c>
      <c r="CT379" s="41">
        <v>1</v>
      </c>
      <c r="CU379" s="41">
        <v>220</v>
      </c>
      <c r="CV379" s="41">
        <v>30</v>
      </c>
      <c r="CW379" s="41" t="s">
        <v>4706</v>
      </c>
      <c r="CX379" s="41" t="s">
        <v>4716</v>
      </c>
      <c r="CY379" s="40" t="s">
        <v>6124</v>
      </c>
    </row>
    <row r="380" spans="25:103" ht="14.6">
      <c r="Y380" s="12" t="s">
        <v>16</v>
      </c>
      <c r="AA380">
        <f ca="1">IF(AA57=0,0,SUM(OFFSET('2.1家乡主力军'!$AG6,,,AA57)))</f>
        <v>0</v>
      </c>
      <c r="AB380">
        <f ca="1">IF(AB57=0,0,SUM(OFFSET('2.1家乡主力军'!$AG6,,,AB57)))</f>
        <v>0</v>
      </c>
      <c r="AC380">
        <f ca="1">IF(AC57=0,0,SUM(OFFSET('2.1家乡主力军'!$AG6,,,AC57)))</f>
        <v>0</v>
      </c>
      <c r="AD380">
        <f ca="1">IF(AD57=0,0,SUM(OFFSET('2.1家乡主力军'!$AG6,,,AD57)))</f>
        <v>0.16666666666666699</v>
      </c>
      <c r="AE380">
        <f ca="1">IF(AE57=0,0,SUM(OFFSET('2.1家乡主力军'!$AG6,,,AE57)))</f>
        <v>0.16666666666666699</v>
      </c>
      <c r="AF380">
        <f ca="1">IF(AF57=0,0,SUM(OFFSET('2.1家乡主力军'!$AG6,,,AF57)))</f>
        <v>0.5</v>
      </c>
      <c r="AG380">
        <f ca="1">IF(AG57=0,0,SUM(OFFSET('2.1家乡主力军'!$AG6,,,AG57)))</f>
        <v>1</v>
      </c>
      <c r="AH380">
        <f ca="1">IF(AH57=0,0,SUM(OFFSET('2.1家乡主力军'!$AG6,,,AH57)))</f>
        <v>2</v>
      </c>
      <c r="AI380">
        <f ca="1">IF(AI57=0,0,SUM(OFFSET('2.1家乡主力军'!$AG6,,,AI57)))</f>
        <v>4</v>
      </c>
      <c r="AJ380">
        <f ca="1">IF(AJ57=0,0,SUM(OFFSET('2.1家乡主力军'!$AG6,,,AJ57)))</f>
        <v>7.5</v>
      </c>
      <c r="AK380">
        <f ca="1">IF(AK57=0,0,SUM(OFFSET('2.1家乡主力军'!$AG6,,,AK57)))</f>
        <v>13</v>
      </c>
      <c r="AL380">
        <f ca="1">IF(AL57=0,0,SUM(OFFSET('2.1家乡主力军'!$AG6,,,AL57)))</f>
        <v>22</v>
      </c>
      <c r="AM380">
        <f ca="1">IF(AM57=0,0,SUM(OFFSET('2.1家乡主力军'!$AG6,,,AM57)))</f>
        <v>33.25</v>
      </c>
      <c r="AN380">
        <f ca="1">IF(AN57=0,0,SUM(OFFSET('2.1家乡主力军'!$AG6,,,AN57)))</f>
        <v>33.25</v>
      </c>
      <c r="AO380">
        <f ca="1">IF(AO57=0,0,SUM(OFFSET('2.1家乡主力军'!$AG6,,,AO57)))</f>
        <v>49.25</v>
      </c>
      <c r="AX380">
        <v>3000</v>
      </c>
      <c r="AY380" t="s">
        <v>4963</v>
      </c>
      <c r="AZ380" t="s">
        <v>4878</v>
      </c>
      <c r="BA380" t="s">
        <v>4770</v>
      </c>
      <c r="BB380">
        <v>20</v>
      </c>
      <c r="CP380" s="40">
        <v>114</v>
      </c>
      <c r="CQ380" s="41" t="s">
        <v>3215</v>
      </c>
      <c r="CR380" s="41" t="s">
        <v>4937</v>
      </c>
      <c r="CS380" s="41">
        <v>225</v>
      </c>
      <c r="CT380" s="41">
        <v>1</v>
      </c>
      <c r="CU380" s="41">
        <v>220</v>
      </c>
      <c r="CV380" s="41">
        <v>20</v>
      </c>
      <c r="CW380" s="41" t="s">
        <v>4706</v>
      </c>
      <c r="CX380" s="41" t="s">
        <v>4716</v>
      </c>
      <c r="CY380" s="40" t="s">
        <v>6124</v>
      </c>
    </row>
    <row r="381" spans="25:103" ht="14.6">
      <c r="Y381" s="12" t="s">
        <v>22</v>
      </c>
      <c r="AA381">
        <f ca="1">IF(AA58=0,0,SUM(OFFSET('2.1家乡主力军'!$M20,,,AA58)))</f>
        <v>0</v>
      </c>
      <c r="AB381">
        <f ca="1">IF(AB58=0,0,SUM(OFFSET('2.1家乡主力军'!$M20,,,AB58)))</f>
        <v>0</v>
      </c>
      <c r="AC381">
        <f ca="1">IF(AC58=0,0,SUM(OFFSET('2.1家乡主力军'!$M20,,,AC58)))</f>
        <v>0.20833333333333301</v>
      </c>
      <c r="AD381">
        <f ca="1">IF(AD58=0,0,SUM(OFFSET('2.1家乡主力军'!$M20,,,AD58)))</f>
        <v>0.20833333333333301</v>
      </c>
      <c r="AE381">
        <f ca="1">IF(AE58=0,0,SUM(OFFSET('2.1家乡主力军'!$M20,,,AE58)))</f>
        <v>0.58333333333333304</v>
      </c>
      <c r="AF381">
        <f ca="1">IF(AF58=0,0,SUM(OFFSET('2.1家乡主力军'!$M20,,,AF58)))</f>
        <v>0.58333333333333304</v>
      </c>
      <c r="AG381">
        <f ca="1">IF(AG58=0,0,SUM(OFFSET('2.1家乡主力军'!$M20,,,AG58)))</f>
        <v>1.083333333333333</v>
      </c>
      <c r="AH381">
        <f ca="1">IF(AH58=0,0,SUM(OFFSET('2.1家乡主力军'!$M20,,,AH58)))</f>
        <v>2.083333333333333</v>
      </c>
      <c r="AI381">
        <f ca="1">IF(AI58=0,0,SUM(OFFSET('2.1家乡主力军'!$M20,,,AI58)))</f>
        <v>3.583333333333333</v>
      </c>
      <c r="AJ381">
        <f ca="1">IF(AJ58=0,0,SUM(OFFSET('2.1家乡主力军'!$M20,,,AJ58)))</f>
        <v>7.083333333333333</v>
      </c>
      <c r="AK381">
        <f ca="1">IF(AK58=0,0,SUM(OFFSET('2.1家乡主力军'!$M20,,,AK58)))</f>
        <v>7.083333333333333</v>
      </c>
      <c r="AL381">
        <f ca="1">IF(AL58=0,0,SUM(OFFSET('2.1家乡主力军'!$M20,,,AL58)))</f>
        <v>15.083333333333332</v>
      </c>
      <c r="AM381">
        <f ca="1">IF(AM58=0,0,SUM(OFFSET('2.1家乡主力军'!$M20,,,AM58)))</f>
        <v>15.083333333333332</v>
      </c>
      <c r="AN381">
        <f ca="1">IF(AN58=0,0,SUM(OFFSET('2.1家乡主力军'!$M20,,,AN58)))</f>
        <v>15.083333333333332</v>
      </c>
      <c r="AO381">
        <f ca="1">IF(AO58=0,0,SUM(OFFSET('2.1家乡主力军'!$M20,,,AO58)))</f>
        <v>15.083333333333332</v>
      </c>
      <c r="AX381">
        <v>7500</v>
      </c>
      <c r="AY381" t="s">
        <v>4910</v>
      </c>
      <c r="AZ381" t="s">
        <v>4689</v>
      </c>
      <c r="BA381" t="s">
        <v>5467</v>
      </c>
      <c r="BB381">
        <v>40</v>
      </c>
      <c r="CP381" s="40">
        <v>115</v>
      </c>
      <c r="CQ381" s="41" t="s">
        <v>3208</v>
      </c>
      <c r="CR381" s="41" t="s">
        <v>6125</v>
      </c>
      <c r="CS381" s="41">
        <v>225</v>
      </c>
      <c r="CT381" s="41">
        <v>1</v>
      </c>
      <c r="CU381" s="41">
        <v>220</v>
      </c>
      <c r="CV381" s="41">
        <v>20</v>
      </c>
      <c r="CW381" s="41" t="s">
        <v>4706</v>
      </c>
      <c r="CX381" s="41" t="s">
        <v>4716</v>
      </c>
      <c r="CY381" s="40" t="s">
        <v>6124</v>
      </c>
    </row>
    <row r="382" spans="25:103" ht="14.6">
      <c r="Y382" s="12" t="s">
        <v>28</v>
      </c>
      <c r="AA382">
        <f ca="1">IF(AA59=0,0,SUM(OFFSET('2.1家乡主力军'!$X22,,,AA59)))</f>
        <v>0</v>
      </c>
      <c r="AB382">
        <f ca="1">IF(AB59=0,0,SUM(OFFSET('2.1家乡主力军'!$X22,,,AB59)))</f>
        <v>0</v>
      </c>
      <c r="AC382">
        <f ca="1">IF(AC59=0,0,SUM(OFFSET('2.1家乡主力军'!$X22,,,AC59)))</f>
        <v>0</v>
      </c>
      <c r="AD382">
        <f ca="1">IF(AD59=0,0,SUM(OFFSET('2.1家乡主力军'!$X22,,,AD59)))</f>
        <v>0.25</v>
      </c>
      <c r="AE382">
        <f ca="1">IF(AE59=0,0,SUM(OFFSET('2.1家乡主力军'!$X22,,,AE59)))</f>
        <v>0.25</v>
      </c>
      <c r="AF382">
        <f ca="1">IF(AF59=0,0,SUM(OFFSET('2.1家乡主力军'!$X22,,,AF59)))</f>
        <v>0.75</v>
      </c>
      <c r="AG382">
        <f ca="1">IF(AG59=0,0,SUM(OFFSET('2.1家乡主力军'!$X22,,,AG59)))</f>
        <v>1.5</v>
      </c>
      <c r="AH382">
        <f ca="1">IF(AH59=0,0,SUM(OFFSET('2.1家乡主力军'!$X22,,,AH59)))</f>
        <v>2.5</v>
      </c>
      <c r="AI382">
        <f ca="1">IF(AI59=0,0,SUM(OFFSET('2.1家乡主力军'!$X22,,,AI59)))</f>
        <v>2.5</v>
      </c>
      <c r="AJ382">
        <f ca="1">IF(AJ59=0,0,SUM(OFFSET('2.1家乡主力军'!$X22,,,AJ59)))</f>
        <v>4.625</v>
      </c>
      <c r="AK382">
        <f ca="1">IF(AK59=0,0,SUM(OFFSET('2.1家乡主力军'!$X22,,,AK59)))</f>
        <v>11.625</v>
      </c>
      <c r="AL382">
        <f ca="1">IF(AL59=0,0,SUM(OFFSET('2.1家乡主力军'!$X22,,,AL59)))</f>
        <v>21.625</v>
      </c>
      <c r="AM382">
        <f ca="1">IF(AM59=0,0,SUM(OFFSET('2.1家乡主力军'!$X22,,,AM59)))</f>
        <v>32.625</v>
      </c>
      <c r="AN382">
        <f ca="1">IF(AN59=0,0,SUM(OFFSET('2.1家乡主力军'!$X22,,,AN59)))</f>
        <v>47.625</v>
      </c>
      <c r="AO382">
        <f ca="1">IF(AO59=0,0,SUM(OFFSET('2.1家乡主力军'!$X22,,,AO59)))</f>
        <v>63.625</v>
      </c>
      <c r="AX382">
        <v>12000</v>
      </c>
      <c r="AY382" t="s">
        <v>4824</v>
      </c>
      <c r="AZ382" t="s">
        <v>4844</v>
      </c>
      <c r="BA382" t="s">
        <v>4795</v>
      </c>
      <c r="BB382">
        <v>60</v>
      </c>
      <c r="CP382" s="40">
        <v>116</v>
      </c>
      <c r="CQ382" s="41" t="s">
        <v>4187</v>
      </c>
      <c r="CR382" s="41" t="s">
        <v>6126</v>
      </c>
      <c r="CS382" s="41">
        <v>250</v>
      </c>
      <c r="CT382" s="41">
        <v>1</v>
      </c>
      <c r="CU382" s="41">
        <v>36</v>
      </c>
      <c r="CV382" s="41">
        <v>30</v>
      </c>
      <c r="CW382" s="41" t="s">
        <v>4706</v>
      </c>
      <c r="CX382" s="41" t="s">
        <v>4716</v>
      </c>
      <c r="CY382" s="40" t="s">
        <v>6124</v>
      </c>
    </row>
    <row r="383" spans="25:103" ht="14.6">
      <c r="Y383" s="12" t="s">
        <v>34</v>
      </c>
      <c r="AA383">
        <f ca="1">IF(AA60=0,0,SUM(OFFSET('2.1家乡主力军'!$AH20,,,AA60)))</f>
        <v>0</v>
      </c>
      <c r="AB383">
        <f ca="1">IF(AB60=0,0,SUM(OFFSET('2.1家乡主力军'!$AH20,,,AB60)))</f>
        <v>0</v>
      </c>
      <c r="AC383">
        <f ca="1">IF(AC60=0,0,SUM(OFFSET('2.1家乡主力军'!$AH20,,,AC60)))</f>
        <v>0</v>
      </c>
      <c r="AD383">
        <f ca="1">IF(AD60=0,0,SUM(OFFSET('2.1家乡主力军'!$AH20,,,AD60)))</f>
        <v>0.33333333333333298</v>
      </c>
      <c r="AE383">
        <f ca="1">IF(AE60=0,0,SUM(OFFSET('2.1家乡主力军'!$AH20,,,AE60)))</f>
        <v>0.33333333333333298</v>
      </c>
      <c r="AF383">
        <f ca="1">IF(AF60=0,0,SUM(OFFSET('2.1家乡主力军'!$AH20,,,AF60)))</f>
        <v>0.83333333333333304</v>
      </c>
      <c r="AG383">
        <f ca="1">IF(AG60=0,0,SUM(OFFSET('2.1家乡主力军'!$AH20,,,AG60)))</f>
        <v>1.583333333333333</v>
      </c>
      <c r="AH383">
        <f ca="1">IF(AH60=0,0,SUM(OFFSET('2.1家乡主力军'!$AH20,,,AH60)))</f>
        <v>2.583333333333333</v>
      </c>
      <c r="AI383">
        <f ca="1">IF(AI60=0,0,SUM(OFFSET('2.1家乡主力军'!$AH20,,,AI60)))</f>
        <v>6.083333333333333</v>
      </c>
      <c r="AJ383">
        <f ca="1">IF(AJ60=0,0,SUM(OFFSET('2.1家乡主力军'!$AH20,,,AJ60)))</f>
        <v>6.083333333333333</v>
      </c>
      <c r="AK383">
        <f ca="1">IF(AK60=0,0,SUM(OFFSET('2.1家乡主力军'!$AH20,,,AK60)))</f>
        <v>11.333333333333332</v>
      </c>
      <c r="AL383">
        <f ca="1">IF(AL60=0,0,SUM(OFFSET('2.1家乡主力军'!$AH20,,,AL60)))</f>
        <v>20.833333333333332</v>
      </c>
      <c r="AM383">
        <f ca="1">IF(AM60=0,0,SUM(OFFSET('2.1家乡主力军'!$AH20,,,AM60)))</f>
        <v>32.833333333333329</v>
      </c>
      <c r="AN383">
        <f ca="1">IF(AN60=0,0,SUM(OFFSET('2.1家乡主力军'!$AH20,,,AN60)))</f>
        <v>49.833333333333329</v>
      </c>
      <c r="AO383">
        <f ca="1">IF(AO60=0,0,SUM(OFFSET('2.1家乡主力军'!$AH20,,,AO60)))</f>
        <v>49.833333333333329</v>
      </c>
      <c r="AX383">
        <v>18000</v>
      </c>
      <c r="AY383" t="s">
        <v>5527</v>
      </c>
      <c r="AZ383" t="s">
        <v>5885</v>
      </c>
      <c r="BA383" t="s">
        <v>4845</v>
      </c>
      <c r="BB383">
        <v>80</v>
      </c>
      <c r="CP383" s="40">
        <v>117</v>
      </c>
      <c r="CQ383" s="41" t="s">
        <v>3529</v>
      </c>
      <c r="CR383" s="41" t="s">
        <v>5513</v>
      </c>
      <c r="CS383" s="41">
        <v>250</v>
      </c>
      <c r="CT383" s="41">
        <v>1</v>
      </c>
      <c r="CU383" s="41">
        <v>14</v>
      </c>
      <c r="CV383" s="41">
        <v>30</v>
      </c>
      <c r="CW383" s="41" t="s">
        <v>4706</v>
      </c>
      <c r="CX383" s="41" t="s">
        <v>4716</v>
      </c>
      <c r="CY383" s="40" t="s">
        <v>6124</v>
      </c>
    </row>
    <row r="384" spans="25:103" ht="14.6">
      <c r="Y384" s="12" t="s">
        <v>40</v>
      </c>
      <c r="AA384">
        <f ca="1">IF(AA61=0,0,SUM(OFFSET('2.1家乡主力军'!$M33,,,AA61)))</f>
        <v>0</v>
      </c>
      <c r="AB384">
        <f ca="1">IF(AB61=0,0,SUM(OFFSET('2.1家乡主力军'!$M33,,,AB61)))</f>
        <v>0</v>
      </c>
      <c r="AC384">
        <f ca="1">IF(AC61=0,0,SUM(OFFSET('2.1家乡主力军'!$M33,,,AC61)))</f>
        <v>0</v>
      </c>
      <c r="AD384">
        <f ca="1">IF(AD61=0,0,SUM(OFFSET('2.1家乡主力军'!$M33,,,AD61)))</f>
        <v>0</v>
      </c>
      <c r="AE384">
        <f ca="1">IF(AE61=0,0,SUM(OFFSET('2.1家乡主力军'!$M33,,,AE61)))</f>
        <v>0.33333333333333298</v>
      </c>
      <c r="AF384">
        <f ca="1">IF(AF61=0,0,SUM(OFFSET('2.1家乡主力军'!$M33,,,AF61)))</f>
        <v>0.83333333333333304</v>
      </c>
      <c r="AG384">
        <f ca="1">IF(AG61=0,0,SUM(OFFSET('2.1家乡主力军'!$M33,,,AG61)))</f>
        <v>1.583333333333333</v>
      </c>
      <c r="AH384">
        <f ca="1">IF(AH61=0,0,SUM(OFFSET('2.1家乡主力军'!$M33,,,AH61)))</f>
        <v>2.583333333333333</v>
      </c>
      <c r="AI384">
        <f ca="1">IF(AI61=0,0,SUM(OFFSET('2.1家乡主力军'!$M33,,,AI61)))</f>
        <v>4.583333333333333</v>
      </c>
      <c r="AJ384">
        <f ca="1">IF(AJ61=0,0,SUM(OFFSET('2.1家乡主力军'!$M33,,,AJ61)))</f>
        <v>8.0833333333333321</v>
      </c>
      <c r="AK384">
        <f ca="1">IF(AK61=0,0,SUM(OFFSET('2.1家乡主力军'!$M33,,,AK61)))</f>
        <v>13.333333333333332</v>
      </c>
      <c r="AL384">
        <f ca="1">IF(AL61=0,0,SUM(OFFSET('2.1家乡主力军'!$M33,,,AL61)))</f>
        <v>22.083333333333332</v>
      </c>
      <c r="AM384">
        <f ca="1">IF(AM61=0,0,SUM(OFFSET('2.1家乡主力军'!$M33,,,AM61)))</f>
        <v>33.083333333333329</v>
      </c>
      <c r="AN384">
        <f ca="1">IF(AN61=0,0,SUM(OFFSET('2.1家乡主力军'!$M33,,,AN61)))</f>
        <v>33.083333333333329</v>
      </c>
      <c r="AO384">
        <f ca="1">IF(AO61=0,0,SUM(OFFSET('2.1家乡主力军'!$M33,,,AO61)))</f>
        <v>49.083333333333329</v>
      </c>
      <c r="AX384">
        <v>30000</v>
      </c>
      <c r="AY384" t="s">
        <v>6127</v>
      </c>
      <c r="AZ384" t="s">
        <v>5151</v>
      </c>
      <c r="BA384" t="s">
        <v>5709</v>
      </c>
      <c r="BB384">
        <v>100</v>
      </c>
      <c r="CP384" s="40">
        <v>118</v>
      </c>
      <c r="CQ384" s="41" t="s">
        <v>3538</v>
      </c>
      <c r="CR384" s="41" t="s">
        <v>5979</v>
      </c>
      <c r="CS384" s="41">
        <v>200</v>
      </c>
      <c r="CT384" s="41">
        <v>1</v>
      </c>
      <c r="CU384" s="41">
        <v>14</v>
      </c>
      <c r="CV384" s="41">
        <v>30</v>
      </c>
      <c r="CW384" s="41" t="s">
        <v>4706</v>
      </c>
      <c r="CX384" s="41" t="s">
        <v>4716</v>
      </c>
      <c r="CY384" s="40" t="s">
        <v>6124</v>
      </c>
    </row>
    <row r="385" spans="25:103" ht="14.6">
      <c r="Y385" s="12" t="s">
        <v>45</v>
      </c>
      <c r="AA385">
        <f ca="1">IF(AA62=0,0,SUM(OFFSET('2.1家乡主力军'!$W36,,,AA62)))</f>
        <v>0</v>
      </c>
      <c r="AB385">
        <f ca="1">IF(AB62=0,0,SUM(OFFSET('2.1家乡主力军'!$W36,,,AB62)))</f>
        <v>0</v>
      </c>
      <c r="AC385">
        <f ca="1">IF(AC62=0,0,SUM(OFFSET('2.1家乡主力军'!$W36,,,AC62)))</f>
        <v>0</v>
      </c>
      <c r="AD385">
        <f ca="1">IF(AD62=0,0,SUM(OFFSET('2.1家乡主力军'!$W36,,,AD62)))</f>
        <v>0</v>
      </c>
      <c r="AE385">
        <f ca="1">IF(AE62=0,0,SUM(OFFSET('2.1家乡主力军'!$W36,,,AE62)))</f>
        <v>0</v>
      </c>
      <c r="AF385">
        <f ca="1">IF(AF62=0,0,SUM(OFFSET('2.1家乡主力军'!$W36,,,AF62)))</f>
        <v>0</v>
      </c>
      <c r="AG385">
        <f ca="1">IF(AG62=0,0,SUM(OFFSET('2.1家乡主力军'!$W36,,,AG62)))</f>
        <v>0.5</v>
      </c>
      <c r="AH385">
        <f ca="1">IF(AH62=0,0,SUM(OFFSET('2.1家乡主力军'!$W36,,,AH62)))</f>
        <v>1.5</v>
      </c>
      <c r="AI385">
        <f ca="1">IF(AI62=0,0,SUM(OFFSET('2.1家乡主力军'!$W36,,,AI62)))</f>
        <v>3.5</v>
      </c>
      <c r="AJ385">
        <f ca="1">IF(AJ62=0,0,SUM(OFFSET('2.1家乡主力军'!$W36,,,AJ62)))</f>
        <v>3.5</v>
      </c>
      <c r="AK385">
        <f ca="1">IF(AK62=0,0,SUM(OFFSET('2.1家乡主力军'!$W36,,,AK62)))</f>
        <v>10.5</v>
      </c>
      <c r="AL385">
        <f ca="1">IF(AL62=0,0,SUM(OFFSET('2.1家乡主力军'!$W36,,,AL62)))</f>
        <v>10.5</v>
      </c>
      <c r="AM385">
        <f ca="1">IF(AM62=0,0,SUM(OFFSET('2.1家乡主力军'!$W36,,,AM62)))</f>
        <v>21</v>
      </c>
      <c r="AN385">
        <f ca="1">IF(AN62=0,0,SUM(OFFSET('2.1家乡主力军'!$W36,,,AN62)))</f>
        <v>37</v>
      </c>
      <c r="AO385">
        <f ca="1">IF(AO62=0,0,SUM(OFFSET('2.1家乡主力军'!$W36,,,AO62)))</f>
        <v>37</v>
      </c>
      <c r="AX385">
        <v>50000</v>
      </c>
      <c r="AY385" t="s">
        <v>4745</v>
      </c>
      <c r="AZ385" t="s">
        <v>4866</v>
      </c>
      <c r="BA385" t="s">
        <v>3432</v>
      </c>
      <c r="BB385">
        <v>120</v>
      </c>
      <c r="CP385" s="40">
        <v>119</v>
      </c>
      <c r="CQ385" s="41" t="s">
        <v>3550</v>
      </c>
      <c r="CR385" s="41" t="s">
        <v>5985</v>
      </c>
      <c r="CS385" s="41">
        <v>200</v>
      </c>
      <c r="CT385" s="41">
        <v>1</v>
      </c>
      <c r="CU385" s="41">
        <v>14</v>
      </c>
      <c r="CV385" s="41">
        <v>30</v>
      </c>
      <c r="CW385" s="41" t="s">
        <v>4706</v>
      </c>
      <c r="CX385" s="41" t="s">
        <v>4716</v>
      </c>
      <c r="CY385" s="40" t="s">
        <v>6124</v>
      </c>
    </row>
    <row r="386" spans="25:103" ht="14.6">
      <c r="Y386" s="12" t="s">
        <v>51</v>
      </c>
      <c r="AA386">
        <f ca="1">IF(AA63=0,0,SUM(OFFSET('2.1家乡主力军'!$AG33,,,AA63)))</f>
        <v>0</v>
      </c>
      <c r="AB386">
        <f ca="1">IF(AB63=0,0,SUM(OFFSET('2.1家乡主力军'!$AG33,,,AB63)))</f>
        <v>0</v>
      </c>
      <c r="AC386">
        <f ca="1">IF(AC63=0,0,SUM(OFFSET('2.1家乡主力军'!$AG33,,,AC63)))</f>
        <v>0</v>
      </c>
      <c r="AD386">
        <f ca="1">IF(AD63=0,0,SUM(OFFSET('2.1家乡主力军'!$AG33,,,AD63)))</f>
        <v>0</v>
      </c>
      <c r="AE386">
        <f ca="1">IF(AE63=0,0,SUM(OFFSET('2.1家乡主力军'!$AG33,,,AE63)))</f>
        <v>0</v>
      </c>
      <c r="AF386">
        <f ca="1">IF(AF63=0,0,SUM(OFFSET('2.1家乡主力军'!$AG33,,,AF63)))</f>
        <v>0</v>
      </c>
      <c r="AG386">
        <f ca="1">IF(AG63=0,0,SUM(OFFSET('2.1家乡主力军'!$AG33,,,AG63)))</f>
        <v>0.75</v>
      </c>
      <c r="AH386">
        <f ca="1">IF(AH63=0,0,SUM(OFFSET('2.1家乡主力军'!$AG33,,,AH63)))</f>
        <v>2.25</v>
      </c>
      <c r="AI386">
        <f ca="1">IF(AI63=0,0,SUM(OFFSET('2.1家乡主力军'!$AG33,,,AI63)))</f>
        <v>5.25</v>
      </c>
      <c r="AJ386">
        <f ca="1">IF(AJ63=0,0,SUM(OFFSET('2.1家乡主力军'!$AG33,,,AJ63)))</f>
        <v>10.5</v>
      </c>
      <c r="AK386">
        <f ca="1">IF(AK63=0,0,SUM(OFFSET('2.1家乡主力军'!$AG33,,,AK63)))</f>
        <v>16</v>
      </c>
      <c r="AL386">
        <f ca="1">IF(AL63=0,0,SUM(OFFSET('2.1家乡主力军'!$AG33,,,AL63)))</f>
        <v>26</v>
      </c>
      <c r="AM386">
        <f ca="1">IF(AM63=0,0,SUM(OFFSET('2.1家乡主力军'!$AG33,,,AM63)))</f>
        <v>38</v>
      </c>
      <c r="AN386">
        <f ca="1">IF(AN63=0,0,SUM(OFFSET('2.1家乡主力军'!$AG33,,,AN63)))</f>
        <v>55</v>
      </c>
      <c r="AO386">
        <f ca="1">IF(AO63=0,0,SUM(OFFSET('2.1家乡主力军'!$AG33,,,AO63)))</f>
        <v>55</v>
      </c>
      <c r="AX386">
        <v>3000</v>
      </c>
      <c r="AY386" t="s">
        <v>4673</v>
      </c>
      <c r="AZ386" t="s">
        <v>5467</v>
      </c>
      <c r="BA386" t="s">
        <v>4878</v>
      </c>
      <c r="BB386">
        <v>10</v>
      </c>
      <c r="CP386" s="40">
        <v>120</v>
      </c>
      <c r="CQ386" s="41" t="s">
        <v>3544</v>
      </c>
      <c r="CR386" s="41" t="s">
        <v>5988</v>
      </c>
      <c r="CS386" s="41">
        <v>250</v>
      </c>
      <c r="CT386" s="41">
        <v>1</v>
      </c>
      <c r="CU386" s="41">
        <v>14</v>
      </c>
      <c r="CV386" s="41">
        <v>30</v>
      </c>
      <c r="CW386" s="41" t="s">
        <v>4706</v>
      </c>
      <c r="CX386" s="41" t="s">
        <v>4716</v>
      </c>
      <c r="CY386" s="40" t="s">
        <v>6124</v>
      </c>
    </row>
    <row r="387" spans="25:103" ht="14.6">
      <c r="Y387" s="12" t="s">
        <v>56</v>
      </c>
      <c r="AA387">
        <f ca="1">IF(AA64=0,0,SUM(OFFSET('2.1家乡主力军'!$M46,,,AA64)))</f>
        <v>0</v>
      </c>
      <c r="AB387">
        <f ca="1">IF(AB64=0,0,SUM(OFFSET('2.1家乡主力军'!$M46,,,AB64)))</f>
        <v>0</v>
      </c>
      <c r="AC387">
        <f ca="1">IF(AC64=0,0,SUM(OFFSET('2.1家乡主力军'!$M46,,,AC64)))</f>
        <v>0</v>
      </c>
      <c r="AD387">
        <f ca="1">IF(AD64=0,0,SUM(OFFSET('2.1家乡主力军'!$M46,,,AD64)))</f>
        <v>0</v>
      </c>
      <c r="AE387">
        <f ca="1">IF(AE64=0,0,SUM(OFFSET('2.1家乡主力军'!$M46,,,AE64)))</f>
        <v>0</v>
      </c>
      <c r="AF387">
        <f ca="1">IF(AF64=0,0,SUM(OFFSET('2.1家乡主力军'!$M46,,,AF64)))</f>
        <v>0</v>
      </c>
      <c r="AG387">
        <f ca="1">IF(AG64=0,0,SUM(OFFSET('2.1家乡主力军'!$M46,,,AG64)))</f>
        <v>0</v>
      </c>
      <c r="AH387">
        <f ca="1">IF(AH64=0,0,SUM(OFFSET('2.1家乡主力军'!$M46,,,AH64)))</f>
        <v>1.5</v>
      </c>
      <c r="AI387">
        <f ca="1">IF(AI64=0,0,SUM(OFFSET('2.1家乡主力军'!$M46,,,AI64)))</f>
        <v>3.5</v>
      </c>
      <c r="AJ387">
        <f ca="1">IF(AJ64=0,0,SUM(OFFSET('2.1家乡主力军'!$M46,,,AJ64)))</f>
        <v>86</v>
      </c>
      <c r="AK387">
        <f ca="1">IF(AK64=0,0,SUM(OFFSET('2.1家乡主力军'!$M46,,,AK64)))</f>
        <v>92</v>
      </c>
      <c r="AL387">
        <f ca="1">IF(AL64=0,0,SUM(OFFSET('2.1家乡主力军'!$M46,,,AL64)))</f>
        <v>102</v>
      </c>
      <c r="AM387">
        <f ca="1">IF(AM64=0,0,SUM(OFFSET('2.1家乡主力军'!$M46,,,AM64)))</f>
        <v>113.25</v>
      </c>
      <c r="AN387">
        <f ca="1">IF(AN64=0,0,SUM(OFFSET('2.1家乡主力军'!$M46,,,AN64)))</f>
        <v>113.25</v>
      </c>
      <c r="AO387">
        <f ca="1">IF(AO64=0,0,SUM(OFFSET('2.1家乡主力军'!$M46,,,AO64)))</f>
        <v>113.25</v>
      </c>
      <c r="AX387">
        <v>7500</v>
      </c>
      <c r="AY387" t="s">
        <v>4963</v>
      </c>
      <c r="AZ387" t="s">
        <v>4845</v>
      </c>
      <c r="BA387" t="s">
        <v>4770</v>
      </c>
      <c r="BB387">
        <v>20</v>
      </c>
      <c r="CP387" s="40">
        <v>121</v>
      </c>
      <c r="CQ387" s="41" t="s">
        <v>3560</v>
      </c>
      <c r="CR387" s="41" t="s">
        <v>5992</v>
      </c>
      <c r="CS387" s="41">
        <v>250</v>
      </c>
      <c r="CT387" s="41">
        <v>1</v>
      </c>
      <c r="CU387" s="41">
        <v>14</v>
      </c>
      <c r="CV387" s="41">
        <v>30</v>
      </c>
      <c r="CW387" s="41" t="s">
        <v>4706</v>
      </c>
      <c r="CX387" s="41" t="s">
        <v>4716</v>
      </c>
      <c r="CY387" s="40" t="s">
        <v>6124</v>
      </c>
    </row>
    <row r="388" spans="25:103" ht="14.6">
      <c r="Y388" s="12" t="s">
        <v>61</v>
      </c>
      <c r="AA388">
        <f ca="1">IF(AA65=0,0,SUM(OFFSET('2.1家乡主力军'!$W49,,,AA65)))</f>
        <v>0</v>
      </c>
      <c r="AB388">
        <f ca="1">IF(AB65=0,0,SUM(OFFSET('2.1家乡主力军'!$W49,,,AB65)))</f>
        <v>0</v>
      </c>
      <c r="AC388">
        <f ca="1">IF(AC65=0,0,SUM(OFFSET('2.1家乡主力军'!$W49,,,AC65)))</f>
        <v>0</v>
      </c>
      <c r="AD388">
        <f ca="1">IF(AD65=0,0,SUM(OFFSET('2.1家乡主力军'!$W49,,,AD65)))</f>
        <v>0</v>
      </c>
      <c r="AE388">
        <f ca="1">IF(AE65=0,0,SUM(OFFSET('2.1家乡主力军'!$W49,,,AE65)))</f>
        <v>0</v>
      </c>
      <c r="AF388">
        <f ca="1">IF(AF65=0,0,SUM(OFFSET('2.1家乡主力军'!$W49,,,AF65)))</f>
        <v>0</v>
      </c>
      <c r="AG388">
        <f ca="1">IF(AG65=0,0,SUM(OFFSET('2.1家乡主力军'!$W49,,,AG65)))</f>
        <v>0</v>
      </c>
      <c r="AH388">
        <f ca="1">IF(AH65=0,0,SUM(OFFSET('2.1家乡主力军'!$W49,,,AH65)))</f>
        <v>0</v>
      </c>
      <c r="AI388">
        <f ca="1">IF(AI65=0,0,SUM(OFFSET('2.1家乡主力军'!$W49,,,AI65)))</f>
        <v>2</v>
      </c>
      <c r="AJ388">
        <f ca="1">IF(AJ65=0,0,SUM(OFFSET('2.1家乡主力军'!$W49,,,AJ65)))</f>
        <v>10.5</v>
      </c>
      <c r="AK388">
        <f ca="1">IF(AK65=0,0,SUM(OFFSET('2.1家乡主力军'!$W49,,,AK65)))</f>
        <v>16.75</v>
      </c>
      <c r="AL388">
        <f ca="1">IF(AL65=0,0,SUM(OFFSET('2.1家乡主力军'!$W49,,,AL65)))</f>
        <v>25</v>
      </c>
      <c r="AM388">
        <f ca="1">IF(AM65=0,0,SUM(OFFSET('2.1家乡主力军'!$W49,,,AM65)))</f>
        <v>35.5</v>
      </c>
      <c r="AN388">
        <f ca="1">IF(AN65=0,0,SUM(OFFSET('2.1家乡主力军'!$W49,,,AN65)))</f>
        <v>51.25</v>
      </c>
      <c r="AO388">
        <f ca="1">IF(AO65=0,0,SUM(OFFSET('2.1家乡主力军'!$W49,,,AO65)))</f>
        <v>51.25</v>
      </c>
      <c r="AX388">
        <v>12000</v>
      </c>
      <c r="AY388" t="s">
        <v>4689</v>
      </c>
      <c r="AZ388" t="s">
        <v>5538</v>
      </c>
      <c r="BA388" t="s">
        <v>5468</v>
      </c>
      <c r="BB388">
        <v>40</v>
      </c>
      <c r="CP388" s="40">
        <v>122</v>
      </c>
      <c r="CQ388" s="41" t="s">
        <v>3586</v>
      </c>
      <c r="CR388" s="41" t="s">
        <v>5997</v>
      </c>
      <c r="CS388" s="41">
        <v>250</v>
      </c>
      <c r="CT388" s="41">
        <v>1</v>
      </c>
      <c r="CU388" s="41">
        <v>14</v>
      </c>
      <c r="CV388" s="41">
        <v>30</v>
      </c>
      <c r="CW388" s="41" t="s">
        <v>4706</v>
      </c>
      <c r="CX388" s="41" t="s">
        <v>4716</v>
      </c>
      <c r="CY388" s="40" t="s">
        <v>6124</v>
      </c>
    </row>
    <row r="389" spans="25:103" ht="14.6">
      <c r="Y389" s="12" t="s">
        <v>65</v>
      </c>
      <c r="AA389">
        <f ca="1">IF(AA66=0,0,SUM(OFFSET('2.1家乡主力军'!$AG46,,,AA66)))</f>
        <v>0</v>
      </c>
      <c r="AB389">
        <f ca="1">IF(AB66=0,0,SUM(OFFSET('2.1家乡主力军'!$AG46,,,AB66)))</f>
        <v>0</v>
      </c>
      <c r="AC389">
        <f ca="1">IF(AC66=0,0,SUM(OFFSET('2.1家乡主力军'!$AG46,,,AC66)))</f>
        <v>0</v>
      </c>
      <c r="AD389">
        <f ca="1">IF(AD66=0,0,SUM(OFFSET('2.1家乡主力军'!$AG46,,,AD66)))</f>
        <v>0</v>
      </c>
      <c r="AE389">
        <f ca="1">IF(AE66=0,0,SUM(OFFSET('2.1家乡主力军'!$AG46,,,AE66)))</f>
        <v>0</v>
      </c>
      <c r="AF389">
        <f ca="1">IF(AF66=0,0,SUM(OFFSET('2.1家乡主力军'!$AG46,,,AF66)))</f>
        <v>0</v>
      </c>
      <c r="AG389">
        <f ca="1">IF(AG66=0,0,SUM(OFFSET('2.1家乡主力军'!$AG46,,,AG66)))</f>
        <v>0</v>
      </c>
      <c r="AH389">
        <f ca="1">IF(AH66=0,0,SUM(OFFSET('2.1家乡主力军'!$AG46,,,AH66)))</f>
        <v>0</v>
      </c>
      <c r="AI389">
        <f ca="1">IF(AI66=0,0,SUM(OFFSET('2.1家乡主力军'!$AG46,,,AI66)))</f>
        <v>0</v>
      </c>
      <c r="AJ389">
        <f ca="1">IF(AJ66=0,0,SUM(OFFSET('2.1家乡主力军'!$AG46,,,AJ66)))</f>
        <v>5.6666666666666696</v>
      </c>
      <c r="AK389">
        <f ca="1">IF(AK66=0,0,SUM(OFFSET('2.1家乡主力军'!$AG46,,,AK66)))</f>
        <v>16.666666666666671</v>
      </c>
      <c r="AL389">
        <f ca="1">IF(AL66=0,0,SUM(OFFSET('2.1家乡主力军'!$AG46,,,AL66)))</f>
        <v>25.666666666666671</v>
      </c>
      <c r="AM389">
        <f ca="1">IF(AM66=0,0,SUM(OFFSET('2.1家乡主力军'!$AG46,,,AM66)))</f>
        <v>37.416666666666671</v>
      </c>
      <c r="AN389">
        <f ca="1">IF(AN66=0,0,SUM(OFFSET('2.1家乡主力军'!$AG46,,,AN66)))</f>
        <v>53.416666666666671</v>
      </c>
      <c r="AO389">
        <f ca="1">IF(AO66=0,0,SUM(OFFSET('2.1家乡主力军'!$AG46,,,AO66)))</f>
        <v>53.416666666666671</v>
      </c>
      <c r="AX389">
        <v>18000</v>
      </c>
      <c r="AY389" t="s">
        <v>5117</v>
      </c>
      <c r="AZ389" t="s">
        <v>5885</v>
      </c>
      <c r="BA389" t="s">
        <v>5693</v>
      </c>
      <c r="BB389">
        <v>60</v>
      </c>
      <c r="CP389" s="40">
        <v>123</v>
      </c>
      <c r="CQ389" s="41" t="s">
        <v>3623</v>
      </c>
      <c r="CR389" s="41" t="s">
        <v>5670</v>
      </c>
      <c r="CS389" s="41">
        <v>250</v>
      </c>
      <c r="CT389" s="41">
        <v>1</v>
      </c>
      <c r="CU389" s="41">
        <v>14</v>
      </c>
      <c r="CV389" s="41">
        <v>30</v>
      </c>
      <c r="CW389" s="41" t="s">
        <v>4706</v>
      </c>
      <c r="CX389" s="41" t="s">
        <v>4716</v>
      </c>
      <c r="CY389" s="40" t="s">
        <v>6124</v>
      </c>
    </row>
    <row r="390" spans="25:103" ht="14.6">
      <c r="Y390" s="12" t="s">
        <v>69</v>
      </c>
      <c r="AA390">
        <f ca="1">IF(AA67=0,0,SUM(OFFSET('2.1家乡主力军'!$N58,,,AA67)))</f>
        <v>0</v>
      </c>
      <c r="AB390">
        <f ca="1">IF(AB67=0,0,SUM(OFFSET('2.1家乡主力军'!$N58,,,AB67)))</f>
        <v>0</v>
      </c>
      <c r="AC390">
        <f ca="1">IF(AC67=0,0,SUM(OFFSET('2.1家乡主力军'!$N58,,,AC67)))</f>
        <v>0</v>
      </c>
      <c r="AD390">
        <f ca="1">IF(AD67=0,0,SUM(OFFSET('2.1家乡主力军'!$N58,,,AD67)))</f>
        <v>0</v>
      </c>
      <c r="AE390">
        <f ca="1">IF(AE67=0,0,SUM(OFFSET('2.1家乡主力军'!$N58,,,AE67)))</f>
        <v>0</v>
      </c>
      <c r="AF390">
        <f ca="1">IF(AF67=0,0,SUM(OFFSET('2.1家乡主力军'!$N58,,,AF67)))</f>
        <v>0</v>
      </c>
      <c r="AG390">
        <f ca="1">IF(AG67=0,0,SUM(OFFSET('2.1家乡主力军'!$N58,,,AG67)))</f>
        <v>0</v>
      </c>
      <c r="AH390">
        <f ca="1">IF(AH67=0,0,SUM(OFFSET('2.1家乡主力军'!$N58,,,AH67)))</f>
        <v>0</v>
      </c>
      <c r="AI390">
        <f ca="1">IF(AI67=0,0,SUM(OFFSET('2.1家乡主力军'!$N58,,,AI67)))</f>
        <v>0</v>
      </c>
      <c r="AJ390">
        <f ca="1">IF(AJ67=0,0,SUM(OFFSET('2.1家乡主力军'!$N58,,,AJ67)))</f>
        <v>0</v>
      </c>
      <c r="AK390">
        <f ca="1">IF(AK67=0,0,SUM(OFFSET('2.1家乡主力军'!$N58,,,AK67)))</f>
        <v>5.5</v>
      </c>
      <c r="AL390">
        <f ca="1">IF(AL67=0,0,SUM(OFFSET('2.1家乡主力军'!$N58,,,AL67)))</f>
        <v>15.25</v>
      </c>
      <c r="AM390">
        <f ca="1">IF(AM67=0,0,SUM(OFFSET('2.1家乡主力军'!$N58,,,AM67)))</f>
        <v>27.25</v>
      </c>
      <c r="AN390">
        <f ca="1">IF(AN67=0,0,SUM(OFFSET('2.1家乡主力军'!$N58,,,AN67)))</f>
        <v>44.25</v>
      </c>
      <c r="AO390">
        <f ca="1">IF(AO67=0,0,SUM(OFFSET('2.1家乡主力军'!$N58,,,AO67)))</f>
        <v>44.25</v>
      </c>
      <c r="AX390">
        <v>30000</v>
      </c>
      <c r="AY390" t="s">
        <v>4945</v>
      </c>
      <c r="AZ390" t="s">
        <v>5164</v>
      </c>
      <c r="BA390" t="s">
        <v>5569</v>
      </c>
      <c r="BB390">
        <v>80</v>
      </c>
      <c r="CP390" s="40">
        <v>124</v>
      </c>
      <c r="CQ390" s="41" t="s">
        <v>3502</v>
      </c>
      <c r="CR390" s="41" t="s">
        <v>6003</v>
      </c>
      <c r="CS390" s="41">
        <v>250</v>
      </c>
      <c r="CT390" s="41">
        <v>1</v>
      </c>
      <c r="CU390" s="41">
        <v>14</v>
      </c>
      <c r="CV390" s="41">
        <v>30</v>
      </c>
      <c r="CW390" s="41" t="s">
        <v>4706</v>
      </c>
      <c r="CX390" s="41" t="s">
        <v>4716</v>
      </c>
      <c r="CY390" s="40" t="s">
        <v>6124</v>
      </c>
    </row>
    <row r="391" spans="25:103" ht="14.6">
      <c r="Y391" s="12" t="s">
        <v>75</v>
      </c>
      <c r="AA391">
        <f ca="1">IF(AA68=0,0,SUM(OFFSET('2.1家乡主力军'!$W61,,,AA68)))</f>
        <v>0</v>
      </c>
      <c r="AB391">
        <f ca="1">IF(AB68=0,0,SUM(OFFSET('2.1家乡主力军'!$W61,,,AB68)))</f>
        <v>0</v>
      </c>
      <c r="AC391">
        <f ca="1">IF(AC68=0,0,SUM(OFFSET('2.1家乡主力军'!$W61,,,AC68)))</f>
        <v>0</v>
      </c>
      <c r="AD391">
        <f ca="1">IF(AD68=0,0,SUM(OFFSET('2.1家乡主力军'!$W61,,,AD68)))</f>
        <v>0</v>
      </c>
      <c r="AE391">
        <f ca="1">IF(AE68=0,0,SUM(OFFSET('2.1家乡主力军'!$W61,,,AE68)))</f>
        <v>0</v>
      </c>
      <c r="AF391">
        <f ca="1">IF(AF68=0,0,SUM(OFFSET('2.1家乡主力军'!$W61,,,AF68)))</f>
        <v>0</v>
      </c>
      <c r="AG391">
        <f ca="1">IF(AG68=0,0,SUM(OFFSET('2.1家乡主力军'!$W61,,,AG68)))</f>
        <v>0</v>
      </c>
      <c r="AH391">
        <f ca="1">IF(AH68=0,0,SUM(OFFSET('2.1家乡主力军'!$W61,,,AH68)))</f>
        <v>0</v>
      </c>
      <c r="AI391">
        <f ca="1">IF(AI68=0,0,SUM(OFFSET('2.1家乡主力军'!$W61,,,AI68)))</f>
        <v>0</v>
      </c>
      <c r="AJ391">
        <f ca="1">IF(AJ68=0,0,SUM(OFFSET('2.1家乡主力军'!$W61,,,AJ68)))</f>
        <v>0</v>
      </c>
      <c r="AK391">
        <f ca="1">IF(AK68=0,0,SUM(OFFSET('2.1家乡主力军'!$W61,,,AK68)))</f>
        <v>0</v>
      </c>
      <c r="AL391">
        <f ca="1">IF(AL68=0,0,SUM(OFFSET('2.1家乡主力军'!$W61,,,AL68)))</f>
        <v>7.5</v>
      </c>
      <c r="AM391">
        <f ca="1">IF(AM68=0,0,SUM(OFFSET('2.1家乡主力军'!$W61,,,AM68)))</f>
        <v>19.5</v>
      </c>
      <c r="AN391">
        <f ca="1">IF(AN68=0,0,SUM(OFFSET('2.1家乡主力军'!$W61,,,AN68)))</f>
        <v>36.5</v>
      </c>
      <c r="AO391">
        <f ca="1">IF(AO68=0,0,SUM(OFFSET('2.1家乡主力军'!$W61,,,AO68)))</f>
        <v>36.5</v>
      </c>
      <c r="AX391">
        <v>50000</v>
      </c>
      <c r="AY391" t="s">
        <v>5376</v>
      </c>
      <c r="AZ391" t="s">
        <v>4844</v>
      </c>
      <c r="BA391" t="s">
        <v>5455</v>
      </c>
      <c r="BB391">
        <v>100</v>
      </c>
      <c r="CP391" s="40">
        <v>125</v>
      </c>
      <c r="CQ391" s="41" t="s">
        <v>3485</v>
      </c>
      <c r="CR391" s="41" t="s">
        <v>6009</v>
      </c>
      <c r="CS391" s="41">
        <v>250</v>
      </c>
      <c r="CT391" s="41">
        <v>1</v>
      </c>
      <c r="CU391" s="41">
        <v>14</v>
      </c>
      <c r="CV391" s="41">
        <v>30</v>
      </c>
      <c r="CW391" s="41" t="s">
        <v>4706</v>
      </c>
      <c r="CX391" s="41" t="s">
        <v>4716</v>
      </c>
      <c r="CY391" s="40" t="s">
        <v>6124</v>
      </c>
    </row>
    <row r="392" spans="25:103" ht="14.6">
      <c r="Y392" t="s">
        <v>80</v>
      </c>
      <c r="AA392">
        <f ca="1">IF(AA69=0,0,SUM(OFFSET('2.1家乡主力军'!$N71,,,AA69)))</f>
        <v>0</v>
      </c>
      <c r="AB392">
        <f ca="1">IF(AB69=0,0,SUM(OFFSET('2.1家乡主力军'!$N71,,,AB69)))</f>
        <v>0</v>
      </c>
      <c r="AC392">
        <f ca="1">IF(AC69=0,0,SUM(OFFSET('2.1家乡主力军'!$N71,,,AC69)))</f>
        <v>0</v>
      </c>
      <c r="AD392">
        <f ca="1">IF(AD69=0,0,SUM(OFFSET('2.1家乡主力军'!$N71,,,AD69)))</f>
        <v>0</v>
      </c>
      <c r="AE392">
        <f ca="1">IF(AE69=0,0,SUM(OFFSET('2.1家乡主力军'!$N71,,,AE69)))</f>
        <v>0</v>
      </c>
      <c r="AF392">
        <f ca="1">IF(AF69=0,0,SUM(OFFSET('2.1家乡主力军'!$N71,,,AF69)))</f>
        <v>0</v>
      </c>
      <c r="AG392">
        <f ca="1">IF(AG69=0,0,SUM(OFFSET('2.1家乡主力军'!$N71,,,AG69)))</f>
        <v>0</v>
      </c>
      <c r="AH392">
        <f ca="1">IF(AH69=0,0,SUM(OFFSET('2.1家乡主力军'!$N71,,,AH69)))</f>
        <v>0</v>
      </c>
      <c r="AI392">
        <f ca="1">IF(AI69=0,0,SUM(OFFSET('2.1家乡主力军'!$N71,,,AI69)))</f>
        <v>0</v>
      </c>
      <c r="AJ392">
        <f ca="1">IF(AJ69=0,0,SUM(OFFSET('2.1家乡主力军'!$N71,,,AJ69)))</f>
        <v>0</v>
      </c>
      <c r="AK392">
        <f ca="1">IF(AK69=0,0,SUM(OFFSET('2.1家乡主力军'!$N71,,,AK69)))</f>
        <v>0</v>
      </c>
      <c r="AL392">
        <f ca="1">IF(AL69=0,0,SUM(OFFSET('2.1家乡主力军'!$N71,,,AL69)))</f>
        <v>0</v>
      </c>
      <c r="AM392">
        <f ca="1">IF(AM69=0,0,SUM(OFFSET('2.1家乡主力军'!$N71,,,AM69)))</f>
        <v>11.25</v>
      </c>
      <c r="AN392">
        <f ca="1">IF(AN69=0,0,SUM(OFFSET('2.1家乡主力军'!$N71,,,AN69)))</f>
        <v>27.25</v>
      </c>
      <c r="AO392">
        <f ca="1">IF(AO69=0,0,SUM(OFFSET('2.1家乡主力军'!$N71,,,AO69)))</f>
        <v>27.25</v>
      </c>
      <c r="AX392">
        <v>75000</v>
      </c>
      <c r="AY392" t="s">
        <v>4943</v>
      </c>
      <c r="AZ392" t="s">
        <v>4855</v>
      </c>
      <c r="BA392" t="s">
        <v>3432</v>
      </c>
      <c r="BB392">
        <v>120</v>
      </c>
      <c r="CP392" s="40">
        <v>126</v>
      </c>
      <c r="CQ392" s="41" t="s">
        <v>3512</v>
      </c>
      <c r="CR392" s="41" t="s">
        <v>6013</v>
      </c>
      <c r="CS392" s="41">
        <v>200</v>
      </c>
      <c r="CT392" s="41">
        <v>1</v>
      </c>
      <c r="CU392" s="41">
        <v>14</v>
      </c>
      <c r="CV392" s="41">
        <v>30</v>
      </c>
      <c r="CW392" s="41" t="s">
        <v>4706</v>
      </c>
      <c r="CX392" s="41" t="s">
        <v>4716</v>
      </c>
      <c r="CY392" s="40" t="s">
        <v>6124</v>
      </c>
    </row>
    <row r="393" spans="25:103" ht="14.6">
      <c r="Y393" t="s">
        <v>83</v>
      </c>
      <c r="AA393">
        <f ca="1">IF(AA70=0,0,SUM(OFFSET('2.1家乡主力军'!$Y73,,,AA70)))</f>
        <v>0</v>
      </c>
      <c r="AB393">
        <f ca="1">IF(AB70=0,0,SUM(OFFSET('2.1家乡主力军'!$Y73,,,AB70)))</f>
        <v>0</v>
      </c>
      <c r="AC393">
        <f ca="1">IF(AC70=0,0,SUM(OFFSET('2.1家乡主力军'!$Y73,,,AC70)))</f>
        <v>0</v>
      </c>
      <c r="AD393">
        <f ca="1">IF(AD70=0,0,SUM(OFFSET('2.1家乡主力军'!$Y73,,,AD70)))</f>
        <v>0</v>
      </c>
      <c r="AE393">
        <f ca="1">IF(AE70=0,0,SUM(OFFSET('2.1家乡主力军'!$Y73,,,AE70)))</f>
        <v>0</v>
      </c>
      <c r="AF393">
        <f ca="1">IF(AF70=0,0,SUM(OFFSET('2.1家乡主力军'!$Y73,,,AF70)))</f>
        <v>0</v>
      </c>
      <c r="AG393">
        <f ca="1">IF(AG70=0,0,SUM(OFFSET('2.1家乡主力军'!$Y73,,,AG70)))</f>
        <v>0</v>
      </c>
      <c r="AH393">
        <f ca="1">IF(AH70=0,0,SUM(OFFSET('2.1家乡主力军'!$Y73,,,AH70)))</f>
        <v>0</v>
      </c>
      <c r="AI393">
        <f ca="1">IF(AI70=0,0,SUM(OFFSET('2.1家乡主力军'!$Y73,,,AI70)))</f>
        <v>0</v>
      </c>
      <c r="AJ393">
        <f ca="1">IF(AJ70=0,0,SUM(OFFSET('2.1家乡主力军'!$Y73,,,AJ70)))</f>
        <v>0</v>
      </c>
      <c r="AK393">
        <f ca="1">IF(AK70=0,0,SUM(OFFSET('2.1家乡主力军'!$Y73,,,AK70)))</f>
        <v>0</v>
      </c>
      <c r="AL393">
        <f ca="1">IF(AL70=0,0,SUM(OFFSET('2.1家乡主力军'!$Y73,,,AL70)))</f>
        <v>0</v>
      </c>
      <c r="AM393">
        <f ca="1">IF(AM70=0,0,SUM(OFFSET('2.1家乡主力军'!$Y73,,,AM70)))</f>
        <v>0</v>
      </c>
      <c r="AN393">
        <f ca="1">IF(AN70=0,0,SUM(OFFSET('2.1家乡主力军'!$Y73,,,AN70)))</f>
        <v>17.5</v>
      </c>
      <c r="AO393">
        <f ca="1">IF(AO70=0,0,SUM(OFFSET('2.1家乡主力军'!$Y73,,,AO70)))</f>
        <v>36.5</v>
      </c>
      <c r="AX393">
        <v>3000</v>
      </c>
      <c r="AY393" t="s">
        <v>6056</v>
      </c>
      <c r="AZ393" t="s">
        <v>5467</v>
      </c>
      <c r="BA393" t="s">
        <v>4878</v>
      </c>
      <c r="BB393">
        <v>20</v>
      </c>
      <c r="CP393" s="40">
        <v>127</v>
      </c>
      <c r="CQ393" s="41" t="s">
        <v>3517</v>
      </c>
      <c r="CR393" s="41" t="s">
        <v>5485</v>
      </c>
      <c r="CS393" s="41">
        <v>250</v>
      </c>
      <c r="CT393" s="41">
        <v>1</v>
      </c>
      <c r="CU393" s="41">
        <v>14</v>
      </c>
      <c r="CV393" s="41">
        <v>30</v>
      </c>
      <c r="CW393" s="41" t="s">
        <v>4706</v>
      </c>
      <c r="CX393" s="41" t="s">
        <v>4716</v>
      </c>
      <c r="CY393" s="40" t="s">
        <v>6124</v>
      </c>
    </row>
    <row r="394" spans="25:103" ht="14.6">
      <c r="AX394">
        <v>7500</v>
      </c>
      <c r="AY394" t="s">
        <v>6128</v>
      </c>
      <c r="AZ394" t="s">
        <v>4689</v>
      </c>
      <c r="BA394" t="s">
        <v>4770</v>
      </c>
      <c r="BB394">
        <v>40</v>
      </c>
      <c r="CP394" s="40">
        <v>128</v>
      </c>
      <c r="CQ394" s="41" t="s">
        <v>3507</v>
      </c>
      <c r="CR394" s="41" t="s">
        <v>5465</v>
      </c>
      <c r="CS394" s="41">
        <v>250</v>
      </c>
      <c r="CT394" s="41">
        <v>1</v>
      </c>
      <c r="CU394" s="41">
        <v>14</v>
      </c>
      <c r="CV394" s="41">
        <v>30</v>
      </c>
      <c r="CW394" s="41" t="s">
        <v>4706</v>
      </c>
      <c r="CX394" s="41" t="s">
        <v>4716</v>
      </c>
      <c r="CY394" s="40" t="s">
        <v>6124</v>
      </c>
    </row>
    <row r="395" spans="25:103" ht="14.6">
      <c r="Y395" s="12" t="s">
        <v>87</v>
      </c>
      <c r="AA395">
        <f ca="1">IF(AA72=0,0,SUM(OFFSET('2.1家乡主力军'!$L87,,,AA72)))</f>
        <v>0</v>
      </c>
      <c r="AB395">
        <f ca="1">IF(AB72=0,0,SUM(OFFSET('2.1家乡主力军'!$L87,,,AB72)))</f>
        <v>0</v>
      </c>
      <c r="AC395">
        <f ca="1">IF(AC72=0,0,SUM(OFFSET('2.1家乡主力军'!$L87,,,AC72)))</f>
        <v>0</v>
      </c>
      <c r="AD395">
        <f ca="1">IF(AD72=0,0,SUM(OFFSET('2.1家乡主力军'!$L87,,,AD72)))</f>
        <v>0</v>
      </c>
      <c r="AE395">
        <f ca="1">IF(AE72=0,0,SUM(OFFSET('2.1家乡主力军'!$L87,,,AE72)))</f>
        <v>0</v>
      </c>
      <c r="AF395">
        <f ca="1">IF(AF72=0,0,SUM(OFFSET('2.1家乡主力军'!$L87,,,AF72)))</f>
        <v>0</v>
      </c>
      <c r="AG395">
        <f ca="1">IF(AG72=0,0,SUM(OFFSET('2.1家乡主力军'!$L87,,,AG72)))</f>
        <v>0.33333333333333298</v>
      </c>
      <c r="AH395">
        <f ca="1">IF(AH72=0,0,SUM(OFFSET('2.1家乡主力军'!$L87,,,AH72)))</f>
        <v>2</v>
      </c>
      <c r="AI395">
        <f ca="1">IF(AI72=0,0,SUM(OFFSET('2.1家乡主力军'!$L87,,,AI72)))</f>
        <v>4</v>
      </c>
      <c r="AJ395">
        <f ca="1">IF(AJ72=0,0,SUM(OFFSET('2.1家乡主力军'!$L87,,,AJ72)))</f>
        <v>7.5</v>
      </c>
      <c r="AK395">
        <f ca="1">IF(AK72=0,0,SUM(OFFSET('2.1家乡主力军'!$L87,,,AK72)))</f>
        <v>12.5</v>
      </c>
      <c r="AL395">
        <f ca="1">IF(AL72=0,0,SUM(OFFSET('2.1家乡主力军'!$L87,,,AL72)))</f>
        <v>22.25</v>
      </c>
      <c r="AM395">
        <f ca="1">IF(AM72=0,0,SUM(OFFSET('2.1家乡主力军'!$L87,,,AM72)))</f>
        <v>33.75</v>
      </c>
      <c r="AN395">
        <f ca="1">IF(AN72=0,0,SUM(OFFSET('2.1家乡主力军'!$L87,,,AN72)))</f>
        <v>49.25</v>
      </c>
      <c r="AO395">
        <f ca="1">IF(AO72=0,0,SUM(OFFSET('2.1家乡主力军'!$L87,,,AO72)))</f>
        <v>65.75</v>
      </c>
      <c r="AX395">
        <v>12000</v>
      </c>
      <c r="AY395" t="s">
        <v>4824</v>
      </c>
      <c r="AZ395" t="s">
        <v>5569</v>
      </c>
      <c r="BA395" t="s">
        <v>4795</v>
      </c>
      <c r="BB395">
        <v>60</v>
      </c>
      <c r="CP395" s="40">
        <v>129</v>
      </c>
      <c r="CQ395" s="41" t="s">
        <v>3579</v>
      </c>
      <c r="CR395" s="41" t="s">
        <v>5585</v>
      </c>
      <c r="CS395" s="41">
        <v>200</v>
      </c>
      <c r="CT395" s="41">
        <v>1</v>
      </c>
      <c r="CU395" s="41">
        <v>5</v>
      </c>
      <c r="CV395" s="41">
        <v>20</v>
      </c>
      <c r="CW395" s="41" t="s">
        <v>4706</v>
      </c>
      <c r="CX395" s="41" t="s">
        <v>4716</v>
      </c>
      <c r="CY395" s="40" t="s">
        <v>6124</v>
      </c>
    </row>
    <row r="396" spans="25:103" ht="14.6">
      <c r="Y396" s="12" t="s">
        <v>90</v>
      </c>
      <c r="AA396">
        <f ca="1">IF(AA73=0,0,SUM(OFFSET('2.1家乡主力军'!$V87,,,AA73)))</f>
        <v>0</v>
      </c>
      <c r="AB396">
        <f ca="1">IF(AB73=0,0,SUM(OFFSET('2.1家乡主力军'!$V87,,,AB73)))</f>
        <v>0</v>
      </c>
      <c r="AC396">
        <f ca="1">IF(AC73=0,0,SUM(OFFSET('2.1家乡主力军'!$V87,,,AC73)))</f>
        <v>0</v>
      </c>
      <c r="AD396">
        <f ca="1">IF(AD73=0,0,SUM(OFFSET('2.1家乡主力军'!$V87,,,AD73)))</f>
        <v>0</v>
      </c>
      <c r="AE396">
        <f ca="1">IF(AE73=0,0,SUM(OFFSET('2.1家乡主力军'!$V87,,,AE73)))</f>
        <v>0</v>
      </c>
      <c r="AF396">
        <f ca="1">IF(AF73=0,0,SUM(OFFSET('2.1家乡主力军'!$V87,,,AF73)))</f>
        <v>0</v>
      </c>
      <c r="AG396">
        <f ca="1">IF(AG73=0,0,SUM(OFFSET('2.1家乡主力军'!$V87,,,AG73)))</f>
        <v>0.41666666666666702</v>
      </c>
      <c r="AH396">
        <f ca="1">IF(AH73=0,0,SUM(OFFSET('2.1家乡主力军'!$V87,,,AH73)))</f>
        <v>2.5</v>
      </c>
      <c r="AI396">
        <f ca="1">IF(AI73=0,0,SUM(OFFSET('2.1家乡主力军'!$V87,,,AI73)))</f>
        <v>4.5</v>
      </c>
      <c r="AJ396">
        <f ca="1">IF(AJ73=0,0,SUM(OFFSET('2.1家乡主力军'!$V87,,,AJ73)))</f>
        <v>8</v>
      </c>
      <c r="AK396">
        <f ca="1">IF(AK73=0,0,SUM(OFFSET('2.1家乡主力军'!$V87,,,AK73)))</f>
        <v>13.25</v>
      </c>
      <c r="AL396">
        <f ca="1">IF(AL73=0,0,SUM(OFFSET('2.1家乡主力军'!$V87,,,AL73)))</f>
        <v>31</v>
      </c>
      <c r="AM396">
        <f ca="1">IF(AM73=0,0,SUM(OFFSET('2.1家乡主力军'!$V87,,,AM73)))</f>
        <v>43</v>
      </c>
      <c r="AN396">
        <f ca="1">IF(AN73=0,0,SUM(OFFSET('2.1家乡主力军'!$V87,,,AN73)))</f>
        <v>59.25</v>
      </c>
      <c r="AO396">
        <f ca="1">IF(AO73=0,0,SUM(OFFSET('2.1家乡主力军'!$V87,,,AO73)))</f>
        <v>59.25</v>
      </c>
      <c r="AX396">
        <v>18000</v>
      </c>
      <c r="AY396" t="s">
        <v>6111</v>
      </c>
      <c r="AZ396" t="s">
        <v>5885</v>
      </c>
      <c r="BA396" t="s">
        <v>4845</v>
      </c>
      <c r="BB396">
        <v>80</v>
      </c>
      <c r="CP396" s="40">
        <v>130</v>
      </c>
      <c r="CQ396" s="41" t="s">
        <v>3606</v>
      </c>
      <c r="CR396" s="41" t="s">
        <v>5634</v>
      </c>
      <c r="CS396" s="41">
        <v>200</v>
      </c>
      <c r="CT396" s="41">
        <v>1</v>
      </c>
      <c r="CU396" s="41">
        <v>5</v>
      </c>
      <c r="CV396" s="41">
        <v>20</v>
      </c>
      <c r="CW396" s="41" t="s">
        <v>4706</v>
      </c>
      <c r="CX396" s="41" t="s">
        <v>4716</v>
      </c>
      <c r="CY396" s="40" t="s">
        <v>6124</v>
      </c>
    </row>
    <row r="397" spans="25:103" ht="14.6">
      <c r="Y397" s="12" t="s">
        <v>93</v>
      </c>
      <c r="AA397">
        <f ca="1">IF(AA74=0,0,SUM(OFFSET('2.1家乡主力军'!$AG87,,,AA74)))</f>
        <v>0</v>
      </c>
      <c r="AB397">
        <f ca="1">IF(AB74=0,0,SUM(OFFSET('2.1家乡主力军'!$AG87,,,AB74)))</f>
        <v>0</v>
      </c>
      <c r="AC397">
        <f ca="1">IF(AC74=0,0,SUM(OFFSET('2.1家乡主力军'!$AG87,,,AC74)))</f>
        <v>0</v>
      </c>
      <c r="AD397">
        <f ca="1">IF(AD74=0,0,SUM(OFFSET('2.1家乡主力军'!$AG87,,,AD74)))</f>
        <v>0</v>
      </c>
      <c r="AE397">
        <f ca="1">IF(AE74=0,0,SUM(OFFSET('2.1家乡主力军'!$AG87,,,AE74)))</f>
        <v>0</v>
      </c>
      <c r="AF397">
        <f ca="1">IF(AF74=0,0,SUM(OFFSET('2.1家乡主力军'!$AG87,,,AF74)))</f>
        <v>0</v>
      </c>
      <c r="AG397">
        <f ca="1">IF(AG74=0,0,SUM(OFFSET('2.1家乡主力军'!$AG87,,,AG74)))</f>
        <v>0</v>
      </c>
      <c r="AH397">
        <f ca="1">IF(AH74=0,0,SUM(OFFSET('2.1家乡主力军'!$AG87,,,AH74)))</f>
        <v>1</v>
      </c>
      <c r="AI397">
        <f ca="1">IF(AI74=0,0,SUM(OFFSET('2.1家乡主力军'!$AG87,,,AI74)))</f>
        <v>6</v>
      </c>
      <c r="AJ397">
        <f ca="1">IF(AJ74=0,0,SUM(OFFSET('2.1家乡主力军'!$AG87,,,AJ74)))</f>
        <v>10.25</v>
      </c>
      <c r="AK397">
        <f ca="1">IF(AK74=0,0,SUM(OFFSET('2.1家乡主力军'!$AG87,,,AK74)))</f>
        <v>15.5</v>
      </c>
      <c r="AL397">
        <f ca="1">IF(AL74=0,0,SUM(OFFSET('2.1家乡主力军'!$AG87,,,AL74)))</f>
        <v>23.25</v>
      </c>
      <c r="AM397">
        <f ca="1">IF(AM74=0,0,SUM(OFFSET('2.1家乡主力军'!$AG87,,,AM74)))</f>
        <v>35.25</v>
      </c>
      <c r="AN397">
        <f ca="1">IF(AN74=0,0,SUM(OFFSET('2.1家乡主力军'!$AG87,,,AN74)))</f>
        <v>51.5</v>
      </c>
      <c r="AO397">
        <f ca="1">IF(AO74=0,0,SUM(OFFSET('2.1家乡主力军'!$AG87,,,AO74)))</f>
        <v>51.5</v>
      </c>
      <c r="AX397">
        <v>30000</v>
      </c>
      <c r="AY397" t="s">
        <v>6122</v>
      </c>
      <c r="AZ397" t="s">
        <v>5164</v>
      </c>
      <c r="BA397" t="s">
        <v>5709</v>
      </c>
      <c r="BB397">
        <v>100</v>
      </c>
      <c r="CP397" s="40">
        <v>131</v>
      </c>
      <c r="CQ397" s="41" t="s">
        <v>3523</v>
      </c>
      <c r="CR397" s="41" t="s">
        <v>5493</v>
      </c>
      <c r="CS397" s="41">
        <v>200</v>
      </c>
      <c r="CT397" s="41">
        <v>1</v>
      </c>
      <c r="CU397" s="41">
        <v>5</v>
      </c>
      <c r="CV397" s="41">
        <v>20</v>
      </c>
      <c r="CW397" s="41" t="s">
        <v>4706</v>
      </c>
      <c r="CX397" s="41" t="s">
        <v>4716</v>
      </c>
      <c r="CY397" s="40" t="s">
        <v>6124</v>
      </c>
    </row>
    <row r="398" spans="25:103" ht="14.6">
      <c r="Y398" s="12" t="s">
        <v>96</v>
      </c>
      <c r="AA398">
        <f ca="1">IF(AA75=0,0,SUM(OFFSET('2.1家乡主力军'!$N100,,,AA75)))</f>
        <v>0</v>
      </c>
      <c r="AB398">
        <f ca="1">IF(AB75=0,0,SUM(OFFSET('2.1家乡主力军'!$N100,,,AB75)))</f>
        <v>0</v>
      </c>
      <c r="AC398">
        <f ca="1">IF(AC75=0,0,SUM(OFFSET('2.1家乡主力军'!$N100,,,AC75)))</f>
        <v>0</v>
      </c>
      <c r="AD398">
        <f ca="1">IF(AD75=0,0,SUM(OFFSET('2.1家乡主力军'!$N100,,,AD75)))</f>
        <v>0</v>
      </c>
      <c r="AE398">
        <f ca="1">IF(AE75=0,0,SUM(OFFSET('2.1家乡主力军'!$N100,,,AE75)))</f>
        <v>0</v>
      </c>
      <c r="AF398">
        <f ca="1">IF(AF75=0,0,SUM(OFFSET('2.1家乡主力军'!$N100,,,AF75)))</f>
        <v>0</v>
      </c>
      <c r="AG398">
        <f ca="1">IF(AG75=0,0,SUM(OFFSET('2.1家乡主力军'!$N100,,,AG75)))</f>
        <v>0</v>
      </c>
      <c r="AH398">
        <f ca="1">IF(AH75=0,0,SUM(OFFSET('2.1家乡主力军'!$N100,,,AH75)))</f>
        <v>1.25</v>
      </c>
      <c r="AI398">
        <f ca="1">IF(AI75=0,0,SUM(OFFSET('2.1家乡主力军'!$N100,,,AI75)))</f>
        <v>7.5</v>
      </c>
      <c r="AJ398">
        <f ca="1">IF(AJ75=0,0,SUM(OFFSET('2.1家乡主力军'!$N100,,,AJ75)))</f>
        <v>14</v>
      </c>
      <c r="AK398">
        <f ca="1">IF(AK75=0,0,SUM(OFFSET('2.1家乡主力军'!$N100,,,AK75)))</f>
        <v>24.5</v>
      </c>
      <c r="AL398">
        <f ca="1">IF(AL75=0,0,SUM(OFFSET('2.1家乡主力军'!$N100,,,AL75)))</f>
        <v>41.5</v>
      </c>
      <c r="AM398">
        <f ca="1">IF(AM75=0,0,SUM(OFFSET('2.1家乡主力军'!$N100,,,AM75)))</f>
        <v>53.5</v>
      </c>
      <c r="AN398">
        <f ca="1">IF(AN75=0,0,SUM(OFFSET('2.1家乡主力军'!$N100,,,AN75)))</f>
        <v>69.5</v>
      </c>
      <c r="AO398">
        <f ca="1">IF(AO75=0,0,SUM(OFFSET('2.1家乡主力军'!$N100,,,AO75)))</f>
        <v>69.5</v>
      </c>
      <c r="AX398">
        <v>50000</v>
      </c>
      <c r="AY398" t="s">
        <v>4746</v>
      </c>
      <c r="AZ398" t="s">
        <v>4866</v>
      </c>
      <c r="BA398" t="s">
        <v>3432</v>
      </c>
      <c r="BB398">
        <v>120</v>
      </c>
      <c r="CP398" s="40">
        <v>132</v>
      </c>
      <c r="CQ398" s="41" t="s">
        <v>3481</v>
      </c>
      <c r="CR398" s="41" t="s">
        <v>6027</v>
      </c>
      <c r="CS398" s="41">
        <v>250</v>
      </c>
      <c r="CT398" s="41">
        <v>1</v>
      </c>
      <c r="CU398" s="41">
        <v>14</v>
      </c>
      <c r="CV398" s="41">
        <v>30</v>
      </c>
      <c r="CW398" s="41" t="s">
        <v>4706</v>
      </c>
      <c r="CX398" s="41" t="s">
        <v>4716</v>
      </c>
      <c r="CY398" s="40" t="s">
        <v>6124</v>
      </c>
    </row>
    <row r="399" spans="25:103" ht="14.6">
      <c r="Y399" s="12" t="s">
        <v>101</v>
      </c>
      <c r="AA399">
        <f ca="1">IF(AA76=0,0,SUM(OFFSET('2.1家乡主力军'!$X100,,,AA76)))</f>
        <v>0</v>
      </c>
      <c r="AB399">
        <f ca="1">IF(AB76=0,0,SUM(OFFSET('2.1家乡主力军'!$X100,,,AB76)))</f>
        <v>0</v>
      </c>
      <c r="AC399">
        <f ca="1">IF(AC76=0,0,SUM(OFFSET('2.1家乡主力军'!$X100,,,AC76)))</f>
        <v>0</v>
      </c>
      <c r="AD399">
        <f ca="1">IF(AD76=0,0,SUM(OFFSET('2.1家乡主力军'!$X100,,,AD76)))</f>
        <v>0</v>
      </c>
      <c r="AE399">
        <f ca="1">IF(AE76=0,0,SUM(OFFSET('2.1家乡主力军'!$X100,,,AE76)))</f>
        <v>0</v>
      </c>
      <c r="AF399">
        <f ca="1">IF(AF76=0,0,SUM(OFFSET('2.1家乡主力军'!$X100,,,AF76)))</f>
        <v>0</v>
      </c>
      <c r="AG399">
        <f ca="1">IF(AG76=0,0,SUM(OFFSET('2.1家乡主力军'!$X100,,,AG76)))</f>
        <v>0</v>
      </c>
      <c r="AH399">
        <f ca="1">IF(AH76=0,0,SUM(OFFSET('2.1家乡主力军'!$X100,,,AH76)))</f>
        <v>0</v>
      </c>
      <c r="AI399">
        <f ca="1">IF(AI76=0,0,SUM(OFFSET('2.1家乡主力军'!$X100,,,AI76)))</f>
        <v>4</v>
      </c>
      <c r="AJ399">
        <f ca="1">IF(AJ76=0,0,SUM(OFFSET('2.1家乡主力军'!$X100,,,AJ76)))</f>
        <v>8.75</v>
      </c>
      <c r="AK399">
        <f ca="1">IF(AK76=0,0,SUM(OFFSET('2.1家乡主力军'!$X100,,,AK76)))</f>
        <v>15.5</v>
      </c>
      <c r="AL399">
        <f ca="1">IF(AL76=0,0,SUM(OFFSET('2.1家乡主力军'!$X100,,,AL76)))</f>
        <v>25.5</v>
      </c>
      <c r="AM399">
        <f ca="1">IF(AM76=0,0,SUM(OFFSET('2.1家乡主力军'!$X100,,,AM76)))</f>
        <v>25.5</v>
      </c>
      <c r="AN399">
        <f ca="1">IF(AN76=0,0,SUM(OFFSET('2.1家乡主力军'!$X100,,,AN76)))</f>
        <v>25.5</v>
      </c>
      <c r="AO399">
        <f ca="1">IF(AO76=0,0,SUM(OFFSET('2.1家乡主力军'!$X100,,,AO76)))</f>
        <v>43</v>
      </c>
      <c r="AX399">
        <v>3000</v>
      </c>
      <c r="AY399" t="s">
        <v>4877</v>
      </c>
      <c r="AZ399" t="s">
        <v>4878</v>
      </c>
      <c r="BA399" t="s">
        <v>4770</v>
      </c>
      <c r="BB399">
        <v>20</v>
      </c>
      <c r="CP399" s="40">
        <v>133</v>
      </c>
      <c r="CQ399" s="41" t="s">
        <v>3477</v>
      </c>
      <c r="CR399" s="41" t="s">
        <v>6028</v>
      </c>
      <c r="CS399" s="41">
        <v>250</v>
      </c>
      <c r="CT399" s="41">
        <v>1</v>
      </c>
      <c r="CU399" s="41">
        <v>14</v>
      </c>
      <c r="CV399" s="41">
        <v>30</v>
      </c>
      <c r="CW399" s="41" t="s">
        <v>4706</v>
      </c>
      <c r="CX399" s="41" t="s">
        <v>4716</v>
      </c>
      <c r="CY399" s="40" t="s">
        <v>6124</v>
      </c>
    </row>
    <row r="400" spans="25:103" ht="14.6">
      <c r="Y400" s="12" t="s">
        <v>105</v>
      </c>
      <c r="AA400">
        <f ca="1">IF(AA77=0,0,SUM(OFFSET('2.1家乡主力军'!$AG100,,,AA77)))</f>
        <v>0</v>
      </c>
      <c r="AB400">
        <f ca="1">IF(AB77=0,0,SUM(OFFSET('2.1家乡主力军'!$AG100,,,AB77)))</f>
        <v>0</v>
      </c>
      <c r="AC400">
        <f ca="1">IF(AC77=0,0,SUM(OFFSET('2.1家乡主力军'!$AG100,,,AC77)))</f>
        <v>0</v>
      </c>
      <c r="AD400">
        <f ca="1">IF(AD77=0,0,SUM(OFFSET('2.1家乡主力军'!$AG100,,,AD77)))</f>
        <v>0</v>
      </c>
      <c r="AE400">
        <f ca="1">IF(AE77=0,0,SUM(OFFSET('2.1家乡主力军'!$AG100,,,AE77)))</f>
        <v>0</v>
      </c>
      <c r="AF400">
        <f ca="1">IF(AF77=0,0,SUM(OFFSET('2.1家乡主力军'!$AG100,,,AF77)))</f>
        <v>0</v>
      </c>
      <c r="AG400">
        <f ca="1">IF(AG77=0,0,SUM(OFFSET('2.1家乡主力军'!$AG100,,,AG77)))</f>
        <v>0</v>
      </c>
      <c r="AH400">
        <f ca="1">IF(AH77=0,0,SUM(OFFSET('2.1家乡主力军'!$AG100,,,AH77)))</f>
        <v>0</v>
      </c>
      <c r="AI400">
        <f ca="1">IF(AI77=0,0,SUM(OFFSET('2.1家乡主力军'!$AG100,,,AI77)))</f>
        <v>2.5</v>
      </c>
      <c r="AJ400">
        <f ca="1">IF(AJ77=0,0,SUM(OFFSET('2.1家乡主力军'!$AG100,,,AJ77)))</f>
        <v>6.75</v>
      </c>
      <c r="AK400">
        <f ca="1">IF(AK77=0,0,SUM(OFFSET('2.1家乡主力军'!$AG100,,,AK77)))</f>
        <v>13</v>
      </c>
      <c r="AL400">
        <f ca="1">IF(AL77=0,0,SUM(OFFSET('2.1家乡主力军'!$AG100,,,AL77)))</f>
        <v>23</v>
      </c>
      <c r="AM400">
        <f ca="1">IF(AM77=0,0,SUM(OFFSET('2.1家乡主力军'!$AG100,,,AM77)))</f>
        <v>35</v>
      </c>
      <c r="AN400">
        <f ca="1">IF(AN77=0,0,SUM(OFFSET('2.1家乡主力军'!$AG100,,,AN77)))</f>
        <v>35</v>
      </c>
      <c r="AO400">
        <f ca="1">IF(AO77=0,0,SUM(OFFSET('2.1家乡主力军'!$AG100,,,AO77)))</f>
        <v>35</v>
      </c>
      <c r="AX400">
        <v>7500</v>
      </c>
      <c r="AY400" t="s">
        <v>4739</v>
      </c>
      <c r="AZ400" t="s">
        <v>4688</v>
      </c>
      <c r="BA400" t="s">
        <v>5467</v>
      </c>
      <c r="BB400">
        <v>40</v>
      </c>
      <c r="CP400" s="40">
        <v>134</v>
      </c>
      <c r="CQ400" s="41" t="s">
        <v>3566</v>
      </c>
      <c r="CR400" s="41" t="s">
        <v>5559</v>
      </c>
      <c r="CS400" s="41">
        <v>250</v>
      </c>
      <c r="CT400" s="41">
        <v>1</v>
      </c>
      <c r="CU400" s="41">
        <v>14</v>
      </c>
      <c r="CV400" s="41">
        <v>30</v>
      </c>
      <c r="CW400" s="41" t="s">
        <v>4706</v>
      </c>
      <c r="CX400" s="41" t="s">
        <v>4716</v>
      </c>
      <c r="CY400" s="40" t="s">
        <v>6124</v>
      </c>
    </row>
    <row r="401" spans="25:103" ht="14.6">
      <c r="Y401" s="12" t="s">
        <v>109</v>
      </c>
      <c r="AA401">
        <f ca="1">IF(AA78=0,0,SUM(OFFSET('2.1家乡主力军'!$M129,,,AA78)))</f>
        <v>0</v>
      </c>
      <c r="AB401">
        <f ca="1">IF(AB78=0,0,SUM(OFFSET('2.1家乡主力军'!$M129,,,AB78)))</f>
        <v>0</v>
      </c>
      <c r="AC401">
        <f ca="1">IF(AC78=0,0,SUM(OFFSET('2.1家乡主力军'!$M129,,,AC78)))</f>
        <v>0</v>
      </c>
      <c r="AD401">
        <f ca="1">IF(AD78=0,0,SUM(OFFSET('2.1家乡主力军'!$M129,,,AD78)))</f>
        <v>0</v>
      </c>
      <c r="AE401">
        <f ca="1">IF(AE78=0,0,SUM(OFFSET('2.1家乡主力军'!$M129,,,AE78)))</f>
        <v>0</v>
      </c>
      <c r="AF401">
        <f ca="1">IF(AF78=0,0,SUM(OFFSET('2.1家乡主力军'!$M129,,,AF78)))</f>
        <v>0</v>
      </c>
      <c r="AG401">
        <f ca="1">IF(AG78=0,0,SUM(OFFSET('2.1家乡主力军'!$M129,,,AG78)))</f>
        <v>0</v>
      </c>
      <c r="AH401">
        <f ca="1">IF(AH78=0,0,SUM(OFFSET('2.1家乡主力军'!$M129,,,AH78)))</f>
        <v>0</v>
      </c>
      <c r="AI401">
        <f ca="1">IF(AI78=0,0,SUM(OFFSET('2.1家乡主力军'!$M129,,,AI78)))</f>
        <v>0</v>
      </c>
      <c r="AJ401">
        <f ca="1">IF(AJ78=0,0,SUM(OFFSET('2.1家乡主力军'!$M129,,,AJ78)))</f>
        <v>3.5</v>
      </c>
      <c r="AK401">
        <f ca="1">IF(AK78=0,0,SUM(OFFSET('2.1家乡主力军'!$M129,,,AK78)))</f>
        <v>8.5</v>
      </c>
      <c r="AL401">
        <f ca="1">IF(AL78=0,0,SUM(OFFSET('2.1家乡主力军'!$M129,,,AL78)))</f>
        <v>17</v>
      </c>
      <c r="AM401">
        <f ca="1">IF(AM78=0,0,SUM(OFFSET('2.1家乡主力军'!$M129,,,AM78)))</f>
        <v>28</v>
      </c>
      <c r="AN401">
        <f ca="1">IF(AN78=0,0,SUM(OFFSET('2.1家乡主力军'!$M129,,,AN78)))</f>
        <v>44.75</v>
      </c>
      <c r="AO401">
        <f ca="1">IF(AO78=0,0,SUM(OFFSET('2.1家乡主力军'!$M129,,,AO78)))</f>
        <v>44.75</v>
      </c>
      <c r="AX401">
        <v>12000</v>
      </c>
      <c r="AY401" t="s">
        <v>4824</v>
      </c>
      <c r="AZ401" t="s">
        <v>5538</v>
      </c>
      <c r="BA401" t="s">
        <v>4795</v>
      </c>
      <c r="BB401">
        <v>60</v>
      </c>
      <c r="CP401" s="40">
        <v>135</v>
      </c>
      <c r="CQ401" s="41" t="s">
        <v>3493</v>
      </c>
      <c r="CR401" s="41" t="s">
        <v>6029</v>
      </c>
      <c r="CS401" s="41">
        <v>250</v>
      </c>
      <c r="CT401" s="41">
        <v>1</v>
      </c>
      <c r="CU401" s="41">
        <v>14</v>
      </c>
      <c r="CV401" s="41">
        <v>30</v>
      </c>
      <c r="CW401" s="41" t="s">
        <v>4706</v>
      </c>
      <c r="CX401" s="41" t="s">
        <v>4716</v>
      </c>
      <c r="CY401" s="40" t="s">
        <v>6124</v>
      </c>
    </row>
    <row r="402" spans="25:103" ht="14.6">
      <c r="Y402" s="12" t="s">
        <v>114</v>
      </c>
      <c r="AA402">
        <f ca="1">IF(AA79=0,0,SUM(OFFSET('2.1家乡主力军'!$X129,,,AA79)))</f>
        <v>0</v>
      </c>
      <c r="AB402">
        <f ca="1">IF(AB79=0,0,SUM(OFFSET('2.1家乡主力军'!$X129,,,AB79)))</f>
        <v>0</v>
      </c>
      <c r="AC402">
        <f ca="1">IF(AC79=0,0,SUM(OFFSET('2.1家乡主力军'!$X129,,,AC79)))</f>
        <v>0</v>
      </c>
      <c r="AD402">
        <f ca="1">IF(AD79=0,0,SUM(OFFSET('2.1家乡主力军'!$X129,,,AD79)))</f>
        <v>0</v>
      </c>
      <c r="AE402">
        <f ca="1">IF(AE79=0,0,SUM(OFFSET('2.1家乡主力军'!$X129,,,AE79)))</f>
        <v>0</v>
      </c>
      <c r="AF402">
        <f ca="1">IF(AF79=0,0,SUM(OFFSET('2.1家乡主力军'!$X129,,,AF79)))</f>
        <v>0</v>
      </c>
      <c r="AG402">
        <f ca="1">IF(AG79=0,0,SUM(OFFSET('2.1家乡主力军'!$X129,,,AG79)))</f>
        <v>0</v>
      </c>
      <c r="AH402">
        <f ca="1">IF(AH79=0,0,SUM(OFFSET('2.1家乡主力军'!$X129,,,AH79)))</f>
        <v>0</v>
      </c>
      <c r="AI402">
        <f ca="1">IF(AI79=0,0,SUM(OFFSET('2.1家乡主力军'!$X129,,,AI79)))</f>
        <v>0</v>
      </c>
      <c r="AJ402">
        <f ca="1">IF(AJ79=0,0,SUM(OFFSET('2.1家乡主力军'!$X129,,,AJ79)))</f>
        <v>0</v>
      </c>
      <c r="AK402">
        <f ca="1">IF(AK79=0,0,SUM(OFFSET('2.1家乡主力军'!$X129,,,AK79)))</f>
        <v>7.8333333333333304</v>
      </c>
      <c r="AL402">
        <f ca="1">IF(AL79=0,0,SUM(OFFSET('2.1家乡主力军'!$X129,,,AL79)))</f>
        <v>24.583333333333329</v>
      </c>
      <c r="AM402">
        <f ca="1">IF(AM79=0,0,SUM(OFFSET('2.1家乡主力军'!$X129,,,AM79)))</f>
        <v>24.583333333333329</v>
      </c>
      <c r="AN402">
        <f ca="1">IF(AN79=0,0,SUM(OFFSET('2.1家乡主力军'!$X129,,,AN79)))</f>
        <v>40.583333333333329</v>
      </c>
      <c r="AO402">
        <f ca="1">IF(AO79=0,0,SUM(OFFSET('2.1家乡主力军'!$X129,,,AO79)))</f>
        <v>40.583333333333329</v>
      </c>
      <c r="AX402">
        <v>18000</v>
      </c>
      <c r="AY402" t="s">
        <v>5885</v>
      </c>
      <c r="AZ402" t="s">
        <v>4933</v>
      </c>
      <c r="BA402" t="s">
        <v>4689</v>
      </c>
      <c r="BB402">
        <v>80</v>
      </c>
      <c r="CP402" s="40">
        <v>136</v>
      </c>
      <c r="CQ402" s="41" t="s">
        <v>3612</v>
      </c>
      <c r="CR402" s="41" t="s">
        <v>6030</v>
      </c>
      <c r="CS402" s="41">
        <v>250</v>
      </c>
      <c r="CT402" s="41">
        <v>1</v>
      </c>
      <c r="CU402" s="41">
        <v>14</v>
      </c>
      <c r="CV402" s="41">
        <v>30</v>
      </c>
      <c r="CW402" s="41" t="s">
        <v>4706</v>
      </c>
      <c r="CX402" s="41" t="s">
        <v>4716</v>
      </c>
      <c r="CY402" s="40" t="s">
        <v>6124</v>
      </c>
    </row>
    <row r="403" spans="25:103" ht="14.6">
      <c r="Y403" s="12" t="s">
        <v>118</v>
      </c>
      <c r="AA403">
        <f ca="1">IF(AA80=0,0,SUM(OFFSET('2.1家乡主力军'!$AI129,,,AA80)))</f>
        <v>0</v>
      </c>
      <c r="AB403">
        <f ca="1">IF(AB80=0,0,SUM(OFFSET('2.1家乡主力军'!$AI129,,,AB80)))</f>
        <v>0</v>
      </c>
      <c r="AC403">
        <f ca="1">IF(AC80=0,0,SUM(OFFSET('2.1家乡主力军'!$AI129,,,AC80)))</f>
        <v>0</v>
      </c>
      <c r="AD403">
        <f ca="1">IF(AD80=0,0,SUM(OFFSET('2.1家乡主力军'!$AI129,,,AD80)))</f>
        <v>0</v>
      </c>
      <c r="AE403">
        <f ca="1">IF(AE80=0,0,SUM(OFFSET('2.1家乡主力军'!$AI129,,,AE80)))</f>
        <v>0</v>
      </c>
      <c r="AF403">
        <f ca="1">IF(AF80=0,0,SUM(OFFSET('2.1家乡主力军'!$AI129,,,AF80)))</f>
        <v>0</v>
      </c>
      <c r="AG403">
        <f ca="1">IF(AG80=0,0,SUM(OFFSET('2.1家乡主力军'!$AI129,,,AG80)))</f>
        <v>0</v>
      </c>
      <c r="AH403">
        <f ca="1">IF(AH80=0,0,SUM(OFFSET('2.1家乡主力军'!$AI129,,,AH80)))</f>
        <v>0</v>
      </c>
      <c r="AI403">
        <f ca="1">IF(AI80=0,0,SUM(OFFSET('2.1家乡主力军'!$AI129,,,AI80)))</f>
        <v>0</v>
      </c>
      <c r="AJ403">
        <f ca="1">IF(AJ80=0,0,SUM(OFFSET('2.1家乡主力军'!$AI129,,,AJ80)))</f>
        <v>0</v>
      </c>
      <c r="AK403">
        <f ca="1">IF(AK80=0,0,SUM(OFFSET('2.1家乡主力军'!$AI129,,,AK80)))</f>
        <v>0</v>
      </c>
      <c r="AL403">
        <f ca="1">IF(AL80=0,0,SUM(OFFSET('2.1家乡主力军'!$AI129,,,AL80)))</f>
        <v>9.75</v>
      </c>
      <c r="AM403">
        <f ca="1">IF(AM80=0,0,SUM(OFFSET('2.1家乡主力军'!$AI129,,,AM80)))</f>
        <v>21.75</v>
      </c>
      <c r="AN403">
        <f ca="1">IF(AN80=0,0,SUM(OFFSET('2.1家乡主力军'!$AI129,,,AN80)))</f>
        <v>21.75</v>
      </c>
      <c r="AO403">
        <f ca="1">IF(AO80=0,0,SUM(OFFSET('2.1家乡主力军'!$AI129,,,AO80)))</f>
        <v>21.75</v>
      </c>
      <c r="AX403">
        <v>30000</v>
      </c>
      <c r="AY403" t="s">
        <v>5643</v>
      </c>
      <c r="AZ403" t="s">
        <v>5163</v>
      </c>
      <c r="BA403" t="s">
        <v>4855</v>
      </c>
      <c r="BB403">
        <v>100</v>
      </c>
      <c r="CP403" s="40">
        <v>137</v>
      </c>
      <c r="CQ403" s="41" t="s">
        <v>3629</v>
      </c>
      <c r="CR403" s="41" t="s">
        <v>6031</v>
      </c>
      <c r="CS403" s="41">
        <v>250</v>
      </c>
      <c r="CT403" s="41">
        <v>1</v>
      </c>
      <c r="CU403" s="41">
        <v>14</v>
      </c>
      <c r="CV403" s="41">
        <v>30</v>
      </c>
      <c r="CW403" s="41" t="s">
        <v>4706</v>
      </c>
      <c r="CX403" s="41" t="s">
        <v>4716</v>
      </c>
      <c r="CY403" s="40" t="s">
        <v>6124</v>
      </c>
    </row>
    <row r="404" spans="25:103" ht="14.6">
      <c r="AX404">
        <v>50000</v>
      </c>
      <c r="AY404" t="s">
        <v>4865</v>
      </c>
      <c r="AZ404" t="s">
        <v>4750</v>
      </c>
      <c r="BA404" t="s">
        <v>3432</v>
      </c>
      <c r="BB404">
        <v>120</v>
      </c>
      <c r="CP404" s="40">
        <v>138</v>
      </c>
      <c r="CQ404" s="41" t="s">
        <v>3573</v>
      </c>
      <c r="CR404" s="41" t="s">
        <v>5573</v>
      </c>
      <c r="CS404" s="41">
        <v>250</v>
      </c>
      <c r="CT404" s="41">
        <v>1</v>
      </c>
      <c r="CU404" s="41">
        <v>5</v>
      </c>
      <c r="CV404" s="41">
        <v>20</v>
      </c>
      <c r="CW404" s="41" t="s">
        <v>4706</v>
      </c>
      <c r="CX404" s="41" t="s">
        <v>4716</v>
      </c>
      <c r="CY404" s="40" t="s">
        <v>6124</v>
      </c>
    </row>
    <row r="405" spans="25:103" ht="14.6">
      <c r="AX405">
        <v>3000</v>
      </c>
      <c r="AY405" t="s">
        <v>6035</v>
      </c>
      <c r="AZ405" t="s">
        <v>4878</v>
      </c>
      <c r="BA405" t="s">
        <v>5467</v>
      </c>
      <c r="BB405">
        <v>20</v>
      </c>
      <c r="CP405" s="40">
        <v>139</v>
      </c>
      <c r="CQ405" s="41" t="s">
        <v>3592</v>
      </c>
      <c r="CR405" s="41" t="s">
        <v>5608</v>
      </c>
      <c r="CS405" s="41">
        <v>250</v>
      </c>
      <c r="CT405" s="41">
        <v>1</v>
      </c>
      <c r="CU405" s="41">
        <v>5</v>
      </c>
      <c r="CV405" s="41">
        <v>20</v>
      </c>
      <c r="CW405" s="41" t="s">
        <v>4706</v>
      </c>
      <c r="CX405" s="41" t="s">
        <v>4716</v>
      </c>
      <c r="CY405" s="40" t="s">
        <v>6124</v>
      </c>
    </row>
    <row r="406" spans="25:103" ht="14.6">
      <c r="Y406" s="12" t="s">
        <v>5</v>
      </c>
      <c r="AA406">
        <f ca="1">IF(AA83=0,0,SUM(OFFSET('2.2家乡支援军'!$K7,,,AA83)))</f>
        <v>0</v>
      </c>
      <c r="AB406">
        <f ca="1">IF(AB83=0,0,SUM(OFFSET('2.2家乡支援军'!$K7,,,AB83)))</f>
        <v>0</v>
      </c>
      <c r="AC406">
        <f ca="1">IF(AC83=0,0,SUM(OFFSET('2.2家乡支援军'!$K7,,,AC83)))</f>
        <v>0</v>
      </c>
      <c r="AD406">
        <f ca="1">IF(AD83=0,0,SUM(OFFSET('2.2家乡支援军'!$K7,,,AD83)))</f>
        <v>0</v>
      </c>
      <c r="AE406">
        <f ca="1">IF(AE83=0,0,SUM(OFFSET('2.2家乡支援军'!$K7,,,AE83)))</f>
        <v>1</v>
      </c>
      <c r="AF406">
        <f ca="1">IF(AF83=0,0,SUM(OFFSET('2.2家乡支援军'!$K7,,,AF83)))</f>
        <v>1</v>
      </c>
      <c r="AG406">
        <f ca="1">IF(AG83=0,0,SUM(OFFSET('2.2家乡支援军'!$K7,,,AG83)))</f>
        <v>1</v>
      </c>
      <c r="AH406">
        <f ca="1">IF(AH83=0,0,SUM(OFFSET('2.2家乡支援军'!$K7,,,AH83)))</f>
        <v>2</v>
      </c>
      <c r="AI406">
        <f ca="1">IF(AI83=0,0,SUM(OFFSET('2.2家乡支援军'!$K7,,,AI83)))</f>
        <v>6</v>
      </c>
      <c r="AJ406">
        <f ca="1">IF(AJ83=0,0,SUM(OFFSET('2.2家乡支援军'!$K7,,,AJ83)))</f>
        <v>12</v>
      </c>
      <c r="AK406">
        <f ca="1">IF(AK83=0,0,SUM(OFFSET('2.2家乡支援军'!$K7,,,AK83)))</f>
        <v>19.25</v>
      </c>
      <c r="AL406">
        <f ca="1">IF(AL83=0,0,SUM(OFFSET('2.2家乡支援军'!$K7,,,AL83)))</f>
        <v>28.25</v>
      </c>
      <c r="AM406">
        <f ca="1">IF(AM83=0,0,SUM(OFFSET('2.2家乡支援军'!$K7,,,AM83)))</f>
        <v>28.25</v>
      </c>
      <c r="AN406">
        <f ca="1">IF(AN83=0,0,SUM(OFFSET('2.2家乡支援军'!$K7,,,AN83)))</f>
        <v>28.25</v>
      </c>
      <c r="AO406">
        <f ca="1">IF(AO83=0,0,SUM(OFFSET('2.2家乡支援军'!$K7,,,AO83)))</f>
        <v>44.25</v>
      </c>
      <c r="AX406">
        <v>7500</v>
      </c>
      <c r="AY406" t="s">
        <v>6034</v>
      </c>
      <c r="AZ406" t="s">
        <v>4689</v>
      </c>
      <c r="BA406" t="s">
        <v>4770</v>
      </c>
      <c r="BB406">
        <v>40</v>
      </c>
      <c r="CP406" s="40">
        <v>140</v>
      </c>
      <c r="CQ406" s="41" t="s">
        <v>3618</v>
      </c>
      <c r="CR406" s="41" t="s">
        <v>5655</v>
      </c>
      <c r="CS406" s="41">
        <v>250</v>
      </c>
      <c r="CT406" s="41">
        <v>1</v>
      </c>
      <c r="CU406" s="41">
        <v>5</v>
      </c>
      <c r="CV406" s="41">
        <v>20</v>
      </c>
      <c r="CW406" s="41" t="s">
        <v>4706</v>
      </c>
      <c r="CX406" s="41" t="s">
        <v>4716</v>
      </c>
      <c r="CY406" s="40" t="s">
        <v>6124</v>
      </c>
    </row>
    <row r="407" spans="25:103" ht="14.6">
      <c r="Y407" s="12" t="s">
        <v>12</v>
      </c>
      <c r="AA407">
        <f ca="1">IF(AA84=0,0,SUM(OFFSET('2.2家乡支援军'!$W7,,,AA84)))</f>
        <v>0</v>
      </c>
      <c r="AB407">
        <f ca="1">IF(AB84=0,0,SUM(OFFSET('2.2家乡支援军'!$W7,,,AB84)))</f>
        <v>0</v>
      </c>
      <c r="AC407">
        <f ca="1">IF(AC84=0,0,SUM(OFFSET('2.2家乡支援军'!$W7,,,AC84)))</f>
        <v>0</v>
      </c>
      <c r="AD407">
        <f ca="1">IF(AD84=0,0,SUM(OFFSET('2.2家乡支援军'!$W7,,,AD84)))</f>
        <v>0</v>
      </c>
      <c r="AE407">
        <f ca="1">IF(AE84=0,0,SUM(OFFSET('2.2家乡支援军'!$W7,,,AE84)))</f>
        <v>0</v>
      </c>
      <c r="AF407">
        <f ca="1">IF(AF84=0,0,SUM(OFFSET('2.2家乡支援军'!$W7,,,AF84)))</f>
        <v>0.625</v>
      </c>
      <c r="AG407">
        <f ca="1">IF(AG84=0,0,SUM(OFFSET('2.2家乡支援军'!$W7,,,AG84)))</f>
        <v>1.458333333333333</v>
      </c>
      <c r="AH407">
        <f ca="1">IF(AH84=0,0,SUM(OFFSET('2.2家乡支援军'!$W7,,,AH84)))</f>
        <v>2.958333333333333</v>
      </c>
      <c r="AI407">
        <f ca="1">IF(AI84=0,0,SUM(OFFSET('2.2家乡支援军'!$W7,,,AI84)))</f>
        <v>6.958333333333333</v>
      </c>
      <c r="AJ407">
        <f ca="1">IF(AJ84=0,0,SUM(OFFSET('2.2家乡支援军'!$W7,,,AJ84)))</f>
        <v>12.958333333333332</v>
      </c>
      <c r="AK407">
        <f ca="1">IF(AK84=0,0,SUM(OFFSET('2.2家乡支援军'!$W7,,,AK84)))</f>
        <v>12.958333333333332</v>
      </c>
      <c r="AL407">
        <f ca="1">IF(AL84=0,0,SUM(OFFSET('2.2家乡支援军'!$W7,,,AL84)))</f>
        <v>12.958333333333332</v>
      </c>
      <c r="AM407">
        <f ca="1">IF(AM84=0,0,SUM(OFFSET('2.2家乡支援军'!$W7,,,AM84)))</f>
        <v>24.958333333333332</v>
      </c>
      <c r="AN407">
        <f ca="1">IF(AN84=0,0,SUM(OFFSET('2.2家乡支援军'!$W7,,,AN84)))</f>
        <v>24.958333333333332</v>
      </c>
      <c r="AO407">
        <f ca="1">IF(AO84=0,0,SUM(OFFSET('2.2家乡支援军'!$W7,,,AO84)))</f>
        <v>40.958333333333329</v>
      </c>
      <c r="AX407">
        <v>12000</v>
      </c>
      <c r="AY407" t="s">
        <v>4824</v>
      </c>
      <c r="AZ407" t="s">
        <v>4844</v>
      </c>
      <c r="BA407" t="s">
        <v>4795</v>
      </c>
      <c r="BB407">
        <v>60</v>
      </c>
      <c r="CP407" s="40">
        <v>141</v>
      </c>
      <c r="CQ407" s="41" t="s">
        <v>3378</v>
      </c>
      <c r="CR407" s="41" t="s">
        <v>6129</v>
      </c>
      <c r="CS407" s="41">
        <v>250</v>
      </c>
      <c r="CT407" s="41">
        <v>1</v>
      </c>
      <c r="CU407" s="41">
        <v>45</v>
      </c>
      <c r="CV407" s="41">
        <v>30</v>
      </c>
      <c r="CW407" s="41" t="s">
        <v>4706</v>
      </c>
      <c r="CX407" s="41" t="s">
        <v>4716</v>
      </c>
      <c r="CY407" s="40" t="s">
        <v>6124</v>
      </c>
    </row>
    <row r="408" spans="25:103" ht="14.6">
      <c r="Y408" s="12" t="s">
        <v>17</v>
      </c>
      <c r="AA408">
        <f ca="1">IF(AA85=0,0,SUM(OFFSET('2.2家乡支援军'!$L21,,,AA85)))</f>
        <v>0</v>
      </c>
      <c r="AB408">
        <f ca="1">IF(AB85=0,0,SUM(OFFSET('2.2家乡支援军'!$L21,,,AB85)))</f>
        <v>0</v>
      </c>
      <c r="AC408">
        <f ca="1">IF(AC85=0,0,SUM(OFFSET('2.2家乡支援军'!$L21,,,AC85)))</f>
        <v>0</v>
      </c>
      <c r="AD408">
        <f ca="1">IF(AD85=0,0,SUM(OFFSET('2.2家乡支援军'!$L21,,,AD85)))</f>
        <v>0</v>
      </c>
      <c r="AE408">
        <f ca="1">IF(AE85=0,0,SUM(OFFSET('2.2家乡支援军'!$L21,,,AE85)))</f>
        <v>0</v>
      </c>
      <c r="AF408">
        <f ca="1">IF(AF85=0,0,SUM(OFFSET('2.2家乡支援军'!$L21,,,AF85)))</f>
        <v>0</v>
      </c>
      <c r="AG408">
        <f ca="1">IF(AG85=0,0,SUM(OFFSET('2.2家乡支援军'!$L21,,,AG85)))</f>
        <v>3.5</v>
      </c>
      <c r="AH408">
        <f ca="1">IF(AH85=0,0,SUM(OFFSET('2.2家乡支援军'!$L21,,,AH85)))</f>
        <v>7.5</v>
      </c>
      <c r="AI408">
        <f ca="1">IF(AI85=0,0,SUM(OFFSET('2.2家乡支援军'!$L21,,,AI85)))</f>
        <v>7.5</v>
      </c>
      <c r="AJ408">
        <f ca="1">IF(AJ85=0,0,SUM(OFFSET('2.2家乡支援军'!$L21,,,AJ85)))</f>
        <v>7.5</v>
      </c>
      <c r="AK408">
        <f ca="1">IF(AK85=0,0,SUM(OFFSET('2.2家乡支援军'!$L21,,,AK85)))</f>
        <v>7.5</v>
      </c>
      <c r="AL408">
        <f ca="1">IF(AL85=0,0,SUM(OFFSET('2.2家乡支援军'!$L21,,,AL85)))</f>
        <v>15.5</v>
      </c>
      <c r="AM408">
        <f ca="1">IF(AM85=0,0,SUM(OFFSET('2.2家乡支援军'!$L21,,,AM85)))</f>
        <v>15.5</v>
      </c>
      <c r="AN408">
        <f ca="1">IF(AN85=0,0,SUM(OFFSET('2.2家乡支援军'!$L21,,,AN85)))</f>
        <v>15.5</v>
      </c>
      <c r="AO408">
        <f ca="1">IF(AO85=0,0,SUM(OFFSET('2.2家乡支援军'!$L21,,,AO85)))</f>
        <v>15.5</v>
      </c>
      <c r="AX408">
        <v>18000</v>
      </c>
      <c r="AY408" t="s">
        <v>6115</v>
      </c>
      <c r="AZ408" t="s">
        <v>6110</v>
      </c>
      <c r="BA408" t="s">
        <v>4845</v>
      </c>
      <c r="BB408">
        <v>80</v>
      </c>
      <c r="CP408" s="40">
        <v>142</v>
      </c>
      <c r="CQ408" s="41" t="s">
        <v>3373</v>
      </c>
      <c r="CR408" s="41" t="s">
        <v>6130</v>
      </c>
      <c r="CS408" s="41">
        <v>250</v>
      </c>
      <c r="CT408" s="41">
        <v>1</v>
      </c>
      <c r="CU408" s="41">
        <v>45</v>
      </c>
      <c r="CV408" s="41">
        <v>30</v>
      </c>
      <c r="CW408" s="41" t="s">
        <v>4706</v>
      </c>
      <c r="CX408" s="41" t="s">
        <v>4716</v>
      </c>
      <c r="CY408" s="40" t="s">
        <v>6124</v>
      </c>
    </row>
    <row r="409" spans="25:103" ht="14.6">
      <c r="Y409" s="12" t="s">
        <v>23</v>
      </c>
      <c r="AA409">
        <f ca="1">IF(AA86=0,0,SUM(OFFSET('2.2家乡支援军'!$V21,,,AA86)))</f>
        <v>0</v>
      </c>
      <c r="AB409">
        <f ca="1">IF(AB86=0,0,SUM(OFFSET('2.2家乡支援军'!$V21,,,AB86)))</f>
        <v>0</v>
      </c>
      <c r="AC409">
        <f ca="1">IF(AC86=0,0,SUM(OFFSET('2.2家乡支援军'!$V21,,,AC86)))</f>
        <v>0</v>
      </c>
      <c r="AD409">
        <f ca="1">IF(AD86=0,0,SUM(OFFSET('2.2家乡支援军'!$V21,,,AD86)))</f>
        <v>0</v>
      </c>
      <c r="AE409">
        <f ca="1">IF(AE86=0,0,SUM(OFFSET('2.2家乡支援军'!$V21,,,AE86)))</f>
        <v>0</v>
      </c>
      <c r="AF409">
        <f ca="1">IF(AF86=0,0,SUM(OFFSET('2.2家乡支援军'!$V21,,,AF86)))</f>
        <v>0</v>
      </c>
      <c r="AG409">
        <f ca="1">IF(AG86=0,0,SUM(OFFSET('2.2家乡支援军'!$V21,,,AG86)))</f>
        <v>0</v>
      </c>
      <c r="AH409">
        <f ca="1">IF(AH86=0,0,SUM(OFFSET('2.2家乡支援军'!$V21,,,AH86)))</f>
        <v>0</v>
      </c>
      <c r="AI409">
        <f ca="1">IF(AI86=0,0,SUM(OFFSET('2.2家乡支援军'!$V21,,,AI86)))</f>
        <v>4</v>
      </c>
      <c r="AJ409">
        <f ca="1">IF(AJ86=0,0,SUM(OFFSET('2.2家乡支援军'!$V21,,,AJ86)))</f>
        <v>10</v>
      </c>
      <c r="AK409">
        <f ca="1">IF(AK86=0,0,SUM(OFFSET('2.2家乡支援军'!$V21,,,AK86)))</f>
        <v>10</v>
      </c>
      <c r="AL409">
        <f ca="1">IF(AL86=0,0,SUM(OFFSET('2.2家乡支援军'!$V21,,,AL86)))</f>
        <v>10</v>
      </c>
      <c r="AM409">
        <f ca="1">IF(AM86=0,0,SUM(OFFSET('2.2家乡支援军'!$V21,,,AM86)))</f>
        <v>21.25</v>
      </c>
      <c r="AN409">
        <f ca="1">IF(AN86=0,0,SUM(OFFSET('2.2家乡支援军'!$V21,,,AN86)))</f>
        <v>21.25</v>
      </c>
      <c r="AO409">
        <f ca="1">IF(AO86=0,0,SUM(OFFSET('2.2家乡支援军'!$V21,,,AO86)))</f>
        <v>37.75</v>
      </c>
      <c r="AX409">
        <v>30000</v>
      </c>
      <c r="AY409" t="s">
        <v>6117</v>
      </c>
      <c r="AZ409" t="s">
        <v>5151</v>
      </c>
      <c r="BA409" t="s">
        <v>5709</v>
      </c>
      <c r="BB409">
        <v>100</v>
      </c>
      <c r="CP409" s="40">
        <v>143</v>
      </c>
      <c r="CQ409" s="41" t="s">
        <v>3367</v>
      </c>
      <c r="CR409" s="41" t="s">
        <v>6131</v>
      </c>
      <c r="CS409" s="41">
        <v>250</v>
      </c>
      <c r="CT409" s="41">
        <v>1</v>
      </c>
      <c r="CU409" s="41">
        <v>30</v>
      </c>
      <c r="CV409" s="41">
        <v>30</v>
      </c>
      <c r="CW409" s="41" t="s">
        <v>4706</v>
      </c>
      <c r="CX409" s="41" t="s">
        <v>4716</v>
      </c>
      <c r="CY409" s="40" t="s">
        <v>6124</v>
      </c>
    </row>
    <row r="410" spans="25:103" ht="14.6">
      <c r="Y410" s="12" t="s">
        <v>29</v>
      </c>
      <c r="AA410">
        <f ca="1">IF(AA87=0,0,SUM(OFFSET('2.2家乡支援军'!$K34,,,AA87)))</f>
        <v>0</v>
      </c>
      <c r="AB410">
        <f ca="1">IF(AB87=0,0,SUM(OFFSET('2.2家乡支援军'!$K34,,,AB87)))</f>
        <v>0</v>
      </c>
      <c r="AC410">
        <f ca="1">IF(AC87=0,0,SUM(OFFSET('2.2家乡支援军'!$K34,,,AC87)))</f>
        <v>0</v>
      </c>
      <c r="AD410">
        <f ca="1">IF(AD87=0,0,SUM(OFFSET('2.2家乡支援军'!$K34,,,AD87)))</f>
        <v>0</v>
      </c>
      <c r="AE410">
        <f ca="1">IF(AE87=0,0,SUM(OFFSET('2.2家乡支援军'!$K34,,,AE87)))</f>
        <v>0</v>
      </c>
      <c r="AF410">
        <f ca="1">IF(AF87=0,0,SUM(OFFSET('2.2家乡支援军'!$K34,,,AF87)))</f>
        <v>0</v>
      </c>
      <c r="AG410">
        <f ca="1">IF(AG87=0,0,SUM(OFFSET('2.2家乡支援军'!$K34,,,AG87)))</f>
        <v>0</v>
      </c>
      <c r="AH410">
        <f ca="1">IF(AH87=0,0,SUM(OFFSET('2.2家乡支援军'!$K34,,,AH87)))</f>
        <v>0</v>
      </c>
      <c r="AI410">
        <f ca="1">IF(AI87=0,0,SUM(OFFSET('2.2家乡支援军'!$K34,,,AI87)))</f>
        <v>1.5</v>
      </c>
      <c r="AJ410">
        <f ca="1">IF(AJ87=0,0,SUM(OFFSET('2.2家乡支援军'!$K34,,,AJ87)))</f>
        <v>14.33333333333333</v>
      </c>
      <c r="AK410">
        <f ca="1">IF(AK87=0,0,SUM(OFFSET('2.2家乡支援军'!$K34,,,AK87)))</f>
        <v>22.083333333333329</v>
      </c>
      <c r="AL410">
        <f ca="1">IF(AL87=0,0,SUM(OFFSET('2.2家乡支援军'!$K34,,,AL87)))</f>
        <v>30.333333333333329</v>
      </c>
      <c r="AM410">
        <f ca="1">IF(AM87=0,0,SUM(OFFSET('2.2家乡支援军'!$K34,,,AM87)))</f>
        <v>30.333333333333329</v>
      </c>
      <c r="AN410">
        <f ca="1">IF(AN87=0,0,SUM(OFFSET('2.2家乡支援军'!$K34,,,AN87)))</f>
        <v>30.333333333333329</v>
      </c>
      <c r="AO410">
        <f ca="1">IF(AO87=0,0,SUM(OFFSET('2.2家乡支援军'!$K34,,,AO87)))</f>
        <v>30.333333333333329</v>
      </c>
      <c r="AX410">
        <v>50000</v>
      </c>
      <c r="AY410" t="s">
        <v>4751</v>
      </c>
      <c r="AZ410" t="s">
        <v>4943</v>
      </c>
      <c r="BA410" t="s">
        <v>3432</v>
      </c>
      <c r="BB410">
        <v>120</v>
      </c>
      <c r="CP410" s="40">
        <v>144</v>
      </c>
      <c r="CQ410" s="41" t="s">
        <v>3339</v>
      </c>
      <c r="CR410" s="41" t="s">
        <v>4238</v>
      </c>
      <c r="CS410" s="41">
        <v>300</v>
      </c>
      <c r="CT410" s="41">
        <v>1</v>
      </c>
      <c r="CU410" s="41">
        <v>24</v>
      </c>
      <c r="CV410" s="41">
        <v>30</v>
      </c>
      <c r="CW410" s="41" t="s">
        <v>4706</v>
      </c>
      <c r="CX410" s="41" t="s">
        <v>5196</v>
      </c>
      <c r="CY410" s="40" t="s">
        <v>6124</v>
      </c>
    </row>
    <row r="411" spans="25:103" ht="14.6">
      <c r="Y411" s="12" t="s">
        <v>35</v>
      </c>
      <c r="AA411">
        <f ca="1">IF(AA88=0,0,SUM(OFFSET('2.2家乡支援军'!$U34,,,AA88)))</f>
        <v>0</v>
      </c>
      <c r="AB411">
        <f ca="1">IF(AB88=0,0,SUM(OFFSET('2.2家乡支援军'!$U34,,,AB88)))</f>
        <v>0</v>
      </c>
      <c r="AC411">
        <f ca="1">IF(AC88=0,0,SUM(OFFSET('2.2家乡支援军'!$U34,,,AC88)))</f>
        <v>0</v>
      </c>
      <c r="AD411">
        <f ca="1">IF(AD88=0,0,SUM(OFFSET('2.2家乡支援军'!$U34,,,AD88)))</f>
        <v>0</v>
      </c>
      <c r="AE411">
        <f ca="1">IF(AE88=0,0,SUM(OFFSET('2.2家乡支援军'!$U34,,,AE88)))</f>
        <v>0</v>
      </c>
      <c r="AF411">
        <f ca="1">IF(AF88=0,0,SUM(OFFSET('2.2家乡支援军'!$U34,,,AF88)))</f>
        <v>0</v>
      </c>
      <c r="AG411">
        <f ca="1">IF(AG88=0,0,SUM(OFFSET('2.2家乡支援军'!$U34,,,AG88)))</f>
        <v>0</v>
      </c>
      <c r="AH411">
        <f ca="1">IF(AH88=0,0,SUM(OFFSET('2.2家乡支援军'!$U34,,,AH88)))</f>
        <v>0</v>
      </c>
      <c r="AI411">
        <f ca="1">IF(AI88=0,0,SUM(OFFSET('2.2家乡支援军'!$U34,,,AI88)))</f>
        <v>0</v>
      </c>
      <c r="AJ411">
        <f ca="1">IF(AJ88=0,0,SUM(OFFSET('2.2家乡支援军'!$U34,,,AJ88)))</f>
        <v>5.25</v>
      </c>
      <c r="AK411">
        <f ca="1">IF(AK88=0,0,SUM(OFFSET('2.2家乡支援军'!$U34,,,AK88)))</f>
        <v>16.25</v>
      </c>
      <c r="AL411">
        <f ca="1">IF(AL88=0,0,SUM(OFFSET('2.2家乡支援军'!$U34,,,AL88)))</f>
        <v>16.25</v>
      </c>
      <c r="AM411">
        <f ca="1">IF(AM88=0,0,SUM(OFFSET('2.2家乡支援军'!$U34,,,AM88)))</f>
        <v>27.5</v>
      </c>
      <c r="AN411">
        <f ca="1">IF(AN88=0,0,SUM(OFFSET('2.2家乡支援军'!$U34,,,AN88)))</f>
        <v>43.25</v>
      </c>
      <c r="AO411">
        <f ca="1">IF(AO88=0,0,SUM(OFFSET('2.2家乡支援军'!$U34,,,AO88)))</f>
        <v>43.25</v>
      </c>
      <c r="AX411" s="11">
        <v>3000</v>
      </c>
      <c r="AY411" s="11" t="s">
        <v>4688</v>
      </c>
      <c r="AZ411" s="11" t="s">
        <v>4770</v>
      </c>
      <c r="BA411" s="11" t="s">
        <v>4878</v>
      </c>
      <c r="BB411" s="11">
        <v>10</v>
      </c>
      <c r="CP411" s="40">
        <v>145</v>
      </c>
      <c r="CQ411" s="41" t="s">
        <v>3339</v>
      </c>
      <c r="CR411" s="41" t="s">
        <v>5201</v>
      </c>
      <c r="CS411" s="41">
        <v>500</v>
      </c>
      <c r="CT411" s="41">
        <v>24</v>
      </c>
      <c r="CU411" s="41">
        <v>24</v>
      </c>
      <c r="CV411" s="41">
        <v>60</v>
      </c>
      <c r="CW411" s="41" t="s">
        <v>4706</v>
      </c>
      <c r="CX411" s="41" t="s">
        <v>5196</v>
      </c>
      <c r="CY411" s="40" t="s">
        <v>3104</v>
      </c>
    </row>
    <row r="412" spans="25:103" ht="14.6">
      <c r="Y412" s="12" t="s">
        <v>41</v>
      </c>
      <c r="AA412">
        <f ca="1">IF(AA89=0,0,SUM(OFFSET('2.2家乡支援军'!$L46,,,AA89)))</f>
        <v>0</v>
      </c>
      <c r="AB412">
        <f ca="1">IF(AB89=0,0,SUM(OFFSET('2.2家乡支援军'!$L46,,,AB89)))</f>
        <v>0</v>
      </c>
      <c r="AC412">
        <f ca="1">IF(AC89=0,0,SUM(OFFSET('2.2家乡支援军'!$L46,,,AC89)))</f>
        <v>0</v>
      </c>
      <c r="AD412">
        <f ca="1">IF(AD89=0,0,SUM(OFFSET('2.2家乡支援军'!$L46,,,AD89)))</f>
        <v>0</v>
      </c>
      <c r="AE412">
        <f ca="1">IF(AE89=0,0,SUM(OFFSET('2.2家乡支援军'!$L46,,,AE89)))</f>
        <v>0</v>
      </c>
      <c r="AF412">
        <f ca="1">IF(AF89=0,0,SUM(OFFSET('2.2家乡支援军'!$L46,,,AF89)))</f>
        <v>0</v>
      </c>
      <c r="AG412">
        <f ca="1">IF(AG89=0,0,SUM(OFFSET('2.2家乡支援军'!$L46,,,AG89)))</f>
        <v>0</v>
      </c>
      <c r="AH412">
        <f ca="1">IF(AH89=0,0,SUM(OFFSET('2.2家乡支援军'!$L46,,,AH89)))</f>
        <v>0</v>
      </c>
      <c r="AI412">
        <f ca="1">IF(AI89=0,0,SUM(OFFSET('2.2家乡支援军'!$L46,,,AI89)))</f>
        <v>0</v>
      </c>
      <c r="AJ412">
        <f ca="1">IF(AJ89=0,0,SUM(OFFSET('2.2家乡支援军'!$L46,,,AJ89)))</f>
        <v>0</v>
      </c>
      <c r="AK412">
        <f ca="1">IF(AK89=0,0,SUM(OFFSET('2.2家乡支援军'!$L46,,,AK89)))</f>
        <v>5.5</v>
      </c>
      <c r="AL412">
        <f ca="1">IF(AL89=0,0,SUM(OFFSET('2.2家乡支援军'!$L46,,,AL89)))</f>
        <v>13.5</v>
      </c>
      <c r="AM412">
        <f ca="1">IF(AM89=0,0,SUM(OFFSET('2.2家乡支援军'!$L46,,,AM89)))</f>
        <v>25.25</v>
      </c>
      <c r="AN412">
        <f ca="1">IF(AN89=0,0,SUM(OFFSET('2.2家乡支援军'!$L46,,,AN89)))</f>
        <v>25.25</v>
      </c>
      <c r="AO412">
        <f ca="1">IF(AO89=0,0,SUM(OFFSET('2.2家乡支援军'!$L46,,,AO89)))</f>
        <v>25.25</v>
      </c>
      <c r="AX412">
        <v>7500</v>
      </c>
      <c r="AY412" t="s">
        <v>4909</v>
      </c>
      <c r="AZ412" t="s">
        <v>6132</v>
      </c>
      <c r="BA412" t="s">
        <v>5467</v>
      </c>
      <c r="BB412">
        <v>20</v>
      </c>
      <c r="CP412" s="40">
        <v>146</v>
      </c>
      <c r="CQ412" s="41" t="s">
        <v>3529</v>
      </c>
      <c r="CR412" s="41" t="s">
        <v>5519</v>
      </c>
      <c r="CS412" s="41">
        <v>400</v>
      </c>
      <c r="CT412" s="41">
        <v>24</v>
      </c>
      <c r="CU412" s="41">
        <v>14</v>
      </c>
      <c r="CV412" s="41">
        <v>30</v>
      </c>
      <c r="CW412" s="41" t="s">
        <v>4706</v>
      </c>
      <c r="CX412" s="41" t="s">
        <v>4716</v>
      </c>
      <c r="CY412" s="40" t="s">
        <v>3104</v>
      </c>
    </row>
    <row r="413" spans="25:103" ht="14.6">
      <c r="Y413" s="12" t="s">
        <v>46</v>
      </c>
      <c r="AA413">
        <f ca="1">IF(AA90=0,0,SUM(OFFSET('2.2家乡支援军'!$U46,,,AA90)))</f>
        <v>0</v>
      </c>
      <c r="AB413">
        <f ca="1">IF(AB90=0,0,SUM(OFFSET('2.2家乡支援军'!$U46,,,AB90)))</f>
        <v>0</v>
      </c>
      <c r="AC413">
        <f ca="1">IF(AC90=0,0,SUM(OFFSET('2.2家乡支援军'!$U46,,,AC90)))</f>
        <v>0</v>
      </c>
      <c r="AD413">
        <f ca="1">IF(AD90=0,0,SUM(OFFSET('2.2家乡支援军'!$U46,,,AD90)))</f>
        <v>0</v>
      </c>
      <c r="AE413">
        <f ca="1">IF(AE90=0,0,SUM(OFFSET('2.2家乡支援军'!$U46,,,AE90)))</f>
        <v>0</v>
      </c>
      <c r="AF413">
        <f ca="1">IF(AF90=0,0,SUM(OFFSET('2.2家乡支援军'!$U46,,,AF90)))</f>
        <v>0</v>
      </c>
      <c r="AG413">
        <f ca="1">IF(AG90=0,0,SUM(OFFSET('2.2家乡支援军'!$U46,,,AG90)))</f>
        <v>0</v>
      </c>
      <c r="AH413">
        <f ca="1">IF(AH90=0,0,SUM(OFFSET('2.2家乡支援军'!$U46,,,AH90)))</f>
        <v>0</v>
      </c>
      <c r="AI413">
        <f ca="1">IF(AI90=0,0,SUM(OFFSET('2.2家乡支援军'!$U46,,,AI90)))</f>
        <v>0</v>
      </c>
      <c r="AJ413">
        <f ca="1">IF(AJ90=0,0,SUM(OFFSET('2.2家乡支援军'!$U46,,,AJ90)))</f>
        <v>0</v>
      </c>
      <c r="AK413">
        <f ca="1">IF(AK90=0,0,SUM(OFFSET('2.2家乡支援军'!$U46,,,AK90)))</f>
        <v>0</v>
      </c>
      <c r="AL413">
        <f ca="1">IF(AL90=0,0,SUM(OFFSET('2.2家乡支援军'!$U46,,,AL90)))</f>
        <v>0</v>
      </c>
      <c r="AM413">
        <f ca="1">IF(AM90=0,0,SUM(OFFSET('2.2家乡支援军'!$U46,,,AM90)))</f>
        <v>11.5</v>
      </c>
      <c r="AN413">
        <f ca="1">IF(AN90=0,0,SUM(OFFSET('2.2家乡支援军'!$U46,,,AN90)))</f>
        <v>27</v>
      </c>
      <c r="AO413">
        <f ca="1">IF(AO90=0,0,SUM(OFFSET('2.2家乡支援军'!$U46,,,AO90)))</f>
        <v>44.5</v>
      </c>
      <c r="AX413">
        <v>12000</v>
      </c>
      <c r="AY413" t="s">
        <v>4689</v>
      </c>
      <c r="AZ413" t="s">
        <v>6133</v>
      </c>
      <c r="BA413" t="s">
        <v>6134</v>
      </c>
      <c r="BB413">
        <v>40</v>
      </c>
      <c r="CP413" s="40">
        <v>147</v>
      </c>
      <c r="CQ413" s="41" t="s">
        <v>3566</v>
      </c>
      <c r="CR413" s="41" t="s">
        <v>5561</v>
      </c>
      <c r="CS413" s="41">
        <v>400</v>
      </c>
      <c r="CT413" s="41">
        <v>24</v>
      </c>
      <c r="CU413" s="41">
        <v>14</v>
      </c>
      <c r="CV413" s="41">
        <v>30</v>
      </c>
      <c r="CW413" s="41" t="s">
        <v>4706</v>
      </c>
      <c r="CX413" s="41" t="s">
        <v>4716</v>
      </c>
      <c r="CY413" s="40" t="s">
        <v>3104</v>
      </c>
    </row>
    <row r="414" spans="25:103" ht="14.6">
      <c r="AX414">
        <v>18000</v>
      </c>
      <c r="AY414" t="s">
        <v>6135</v>
      </c>
      <c r="AZ414" t="s">
        <v>6136</v>
      </c>
      <c r="BA414" t="s">
        <v>6099</v>
      </c>
      <c r="BB414">
        <v>60</v>
      </c>
      <c r="CP414" s="40">
        <v>148</v>
      </c>
      <c r="CQ414" s="41" t="s">
        <v>3241</v>
      </c>
      <c r="CR414" s="41" t="s">
        <v>5054</v>
      </c>
      <c r="CS414" s="41">
        <v>250</v>
      </c>
      <c r="CT414" s="41">
        <v>24</v>
      </c>
      <c r="CU414" s="41">
        <v>90</v>
      </c>
      <c r="CV414" s="41">
        <v>30</v>
      </c>
      <c r="CW414" s="41" t="s">
        <v>4706</v>
      </c>
      <c r="CX414" s="41" t="s">
        <v>4716</v>
      </c>
      <c r="CY414" s="40" t="s">
        <v>3104</v>
      </c>
    </row>
    <row r="415" spans="25:103" ht="14.6">
      <c r="AX415">
        <v>30000</v>
      </c>
      <c r="AY415" t="s">
        <v>6137</v>
      </c>
      <c r="AZ415" t="s">
        <v>5163</v>
      </c>
      <c r="BA415" t="s">
        <v>6138</v>
      </c>
      <c r="BB415">
        <v>80</v>
      </c>
      <c r="CP415" s="40">
        <v>149</v>
      </c>
      <c r="CQ415" s="41" t="s">
        <v>4187</v>
      </c>
      <c r="CR415" s="41" t="s">
        <v>6139</v>
      </c>
      <c r="CS415" s="41">
        <v>250</v>
      </c>
      <c r="CT415" s="41">
        <v>24</v>
      </c>
      <c r="CU415" s="41">
        <v>36</v>
      </c>
      <c r="CV415" s="41">
        <v>30</v>
      </c>
      <c r="CW415" s="41" t="s">
        <v>4706</v>
      </c>
      <c r="CX415" s="41" t="s">
        <v>4716</v>
      </c>
      <c r="CY415" s="40" t="s">
        <v>3104</v>
      </c>
    </row>
    <row r="416" spans="25:103" ht="14.6">
      <c r="Y416" s="12" t="s">
        <v>57</v>
      </c>
      <c r="AA416">
        <f ca="1">IF(AA93=0,0,SUM(OFFSET('2.2家乡支援军'!$M60,,,AA93)))</f>
        <v>0</v>
      </c>
      <c r="AB416">
        <f ca="1">IF(AB93=0,0,SUM(OFFSET('2.2家乡支援军'!$M60,,,AB93)))</f>
        <v>0</v>
      </c>
      <c r="AC416">
        <f ca="1">IF(AC93=0,0,SUM(OFFSET('2.2家乡支援军'!$M60,,,AC93)))</f>
        <v>0</v>
      </c>
      <c r="AD416">
        <f ca="1">IF(AD93=0,0,SUM(OFFSET('2.2家乡支援军'!$M60,,,AD93)))</f>
        <v>0</v>
      </c>
      <c r="AE416">
        <f ca="1">IF(AE93=0,0,SUM(OFFSET('2.2家乡支援军'!$M60,,,AE93)))</f>
        <v>0</v>
      </c>
      <c r="AF416">
        <f ca="1">IF(AF93=0,0,SUM(OFFSET('2.2家乡支援军'!$M60,,,AF93)))</f>
        <v>0</v>
      </c>
      <c r="AG416">
        <f ca="1">IF(AG93=0,0,SUM(OFFSET('2.2家乡支援军'!$M60,,,AG93)))</f>
        <v>0</v>
      </c>
      <c r="AH416">
        <f ca="1">IF(AH93=0,0,SUM(OFFSET('2.2家乡支援军'!$M60,,,AH93)))</f>
        <v>0.33333333333333298</v>
      </c>
      <c r="AI416">
        <f ca="1">IF(AI93=0,0,SUM(OFFSET('2.2家乡支援军'!$M60,,,AI93)))</f>
        <v>1.333333333333333</v>
      </c>
      <c r="AJ416">
        <f ca="1">IF(AJ93=0,0,SUM(OFFSET('2.2家乡支援军'!$M60,,,AJ93)))</f>
        <v>3.916666666666663</v>
      </c>
      <c r="AK416">
        <f ca="1">IF(AK93=0,0,SUM(OFFSET('2.2家乡支援军'!$M60,,,AK93)))</f>
        <v>10.166666666666663</v>
      </c>
      <c r="AL416">
        <f ca="1">IF(AL93=0,0,SUM(OFFSET('2.2家乡支援军'!$M60,,,AL93)))</f>
        <v>17.916666666666664</v>
      </c>
      <c r="AM416">
        <f ca="1">IF(AM93=0,0,SUM(OFFSET('2.2家乡支援军'!$M60,,,AM93)))</f>
        <v>29.666666666666664</v>
      </c>
      <c r="AN416">
        <f ca="1">IF(AN93=0,0,SUM(OFFSET('2.2家乡支援军'!$M60,,,AN93)))</f>
        <v>46.416666666666664</v>
      </c>
      <c r="AO416">
        <f ca="1">IF(AO93=0,0,SUM(OFFSET('2.2家乡支援军'!$M60,,,AO93)))</f>
        <v>63.916666666666664</v>
      </c>
      <c r="AX416">
        <v>50000</v>
      </c>
      <c r="AY416" t="s">
        <v>4865</v>
      </c>
      <c r="AZ416" t="s">
        <v>6140</v>
      </c>
      <c r="BA416" t="s">
        <v>3432</v>
      </c>
      <c r="BB416">
        <v>100</v>
      </c>
      <c r="CP416" s="40">
        <v>150</v>
      </c>
      <c r="CQ416" s="41" t="s">
        <v>3215</v>
      </c>
      <c r="CR416" s="41" t="s">
        <v>6141</v>
      </c>
      <c r="CS416" s="41">
        <v>250</v>
      </c>
      <c r="CT416" s="41">
        <v>24</v>
      </c>
      <c r="CU416" s="41">
        <v>135</v>
      </c>
      <c r="CV416" s="41">
        <v>30</v>
      </c>
      <c r="CW416" s="41" t="s">
        <v>4706</v>
      </c>
      <c r="CX416" s="41" t="s">
        <v>4716</v>
      </c>
      <c r="CY416" s="40" t="s">
        <v>3104</v>
      </c>
    </row>
    <row r="417" spans="25:103" ht="14.6">
      <c r="Y417" s="12" t="s">
        <v>62</v>
      </c>
      <c r="AA417">
        <f ca="1">IF(AA94=0,0,SUM(OFFSET('2.2家乡支援军'!$V60,,,AA94)))</f>
        <v>0</v>
      </c>
      <c r="AB417">
        <f ca="1">IF(AB94=0,0,SUM(OFFSET('2.2家乡支援军'!$V60,,,AB94)))</f>
        <v>0</v>
      </c>
      <c r="AC417">
        <f ca="1">IF(AC94=0,0,SUM(OFFSET('2.2家乡支援军'!$V60,,,AC94)))</f>
        <v>0</v>
      </c>
      <c r="AD417">
        <f ca="1">IF(AD94=0,0,SUM(OFFSET('2.2家乡支援军'!$V60,,,AD94)))</f>
        <v>0</v>
      </c>
      <c r="AE417">
        <f ca="1">IF(AE94=0,0,SUM(OFFSET('2.2家乡支援军'!$V60,,,AE94)))</f>
        <v>0</v>
      </c>
      <c r="AF417">
        <f ca="1">IF(AF94=0,0,SUM(OFFSET('2.2家乡支援军'!$V60,,,AF94)))</f>
        <v>0</v>
      </c>
      <c r="AG417">
        <f ca="1">IF(AG94=0,0,SUM(OFFSET('2.2家乡支援军'!$V60,,,AG94)))</f>
        <v>0</v>
      </c>
      <c r="AH417">
        <f ca="1">IF(AH94=0,0,SUM(OFFSET('2.2家乡支援军'!$V60,,,AH94)))</f>
        <v>0.75</v>
      </c>
      <c r="AI417">
        <f ca="1">IF(AI94=0,0,SUM(OFFSET('2.2家乡支援军'!$V60,,,AI94)))</f>
        <v>2.25</v>
      </c>
      <c r="AJ417">
        <f ca="1">IF(AJ94=0,0,SUM(OFFSET('2.2家乡支援军'!$V60,,,AJ94)))</f>
        <v>6.5</v>
      </c>
      <c r="AK417">
        <f ca="1">IF(AK94=0,0,SUM(OFFSET('2.2家乡支援军'!$V60,,,AK94)))</f>
        <v>14.25</v>
      </c>
      <c r="AL417">
        <f ca="1">IF(AL94=0,0,SUM(OFFSET('2.2家乡支援军'!$V60,,,AL94)))</f>
        <v>14.25</v>
      </c>
      <c r="AM417">
        <f ca="1">IF(AM94=0,0,SUM(OFFSET('2.2家乡支援军'!$V60,,,AM94)))</f>
        <v>14.25</v>
      </c>
      <c r="AN417">
        <f ca="1">IF(AN94=0,0,SUM(OFFSET('2.2家乡支援军'!$V60,,,AN94)))</f>
        <v>14.25</v>
      </c>
      <c r="AO417">
        <f ca="1">IF(AO94=0,0,SUM(OFFSET('2.2家乡支援军'!$V60,,,AO94)))</f>
        <v>14.25</v>
      </c>
      <c r="AX417" s="47">
        <v>75000</v>
      </c>
      <c r="AY417" s="47" t="s">
        <v>4866</v>
      </c>
      <c r="AZ417" s="47" t="s">
        <v>4689</v>
      </c>
      <c r="BA417" s="47" t="s">
        <v>5455</v>
      </c>
      <c r="BB417" s="47">
        <v>120</v>
      </c>
      <c r="CP417" s="40">
        <v>151</v>
      </c>
      <c r="CQ417" s="41" t="s">
        <v>3378</v>
      </c>
      <c r="CR417" s="41" t="s">
        <v>6142</v>
      </c>
      <c r="CS417" s="41">
        <v>250</v>
      </c>
      <c r="CT417" s="41">
        <v>24</v>
      </c>
      <c r="CU417" s="41">
        <v>45</v>
      </c>
      <c r="CV417" s="41">
        <v>30</v>
      </c>
      <c r="CW417" s="41" t="s">
        <v>4706</v>
      </c>
      <c r="CX417" s="41" t="s">
        <v>4716</v>
      </c>
      <c r="CY417" s="40" t="s">
        <v>3104</v>
      </c>
    </row>
    <row r="418" spans="25:103" ht="14.6">
      <c r="Y418" s="12" t="s">
        <v>66</v>
      </c>
      <c r="AA418">
        <f ca="1">IF(AA95=0,0,SUM(OFFSET('2.2家乡支援军'!$L73,,,AA95)))</f>
        <v>0</v>
      </c>
      <c r="AB418">
        <f ca="1">IF(AB95=0,0,SUM(OFFSET('2.2家乡支援军'!$L73,,,AB95)))</f>
        <v>0</v>
      </c>
      <c r="AC418">
        <f ca="1">IF(AC95=0,0,SUM(OFFSET('2.2家乡支援军'!$L73,,,AC95)))</f>
        <v>0</v>
      </c>
      <c r="AD418">
        <f ca="1">IF(AD95=0,0,SUM(OFFSET('2.2家乡支援军'!$L73,,,AD95)))</f>
        <v>0</v>
      </c>
      <c r="AE418">
        <f ca="1">IF(AE95=0,0,SUM(OFFSET('2.2家乡支援军'!$L73,,,AE95)))</f>
        <v>0</v>
      </c>
      <c r="AF418">
        <f ca="1">IF(AF95=0,0,SUM(OFFSET('2.2家乡支援军'!$L73,,,AF95)))</f>
        <v>0</v>
      </c>
      <c r="AG418">
        <f ca="1">IF(AG95=0,0,SUM(OFFSET('2.2家乡支援军'!$L73,,,AG95)))</f>
        <v>0</v>
      </c>
      <c r="AH418">
        <f ca="1">IF(AH95=0,0,SUM(OFFSET('2.2家乡支援军'!$L73,,,AH95)))</f>
        <v>0</v>
      </c>
      <c r="AI418">
        <f ca="1">IF(AI95=0,0,SUM(OFFSET('2.2家乡支援军'!$L73,,,AI95)))</f>
        <v>1.5</v>
      </c>
      <c r="AJ418">
        <f ca="1">IF(AJ95=0,0,SUM(OFFSET('2.2家乡支援军'!$L73,,,AJ95)))</f>
        <v>9.0833333333333304</v>
      </c>
      <c r="AK418">
        <f ca="1">IF(AK95=0,0,SUM(OFFSET('2.2家乡支援军'!$L73,,,AK95)))</f>
        <v>9.0833333333333304</v>
      </c>
      <c r="AL418">
        <f ca="1">IF(AL95=0,0,SUM(OFFSET('2.2家乡支援军'!$L73,,,AL95)))</f>
        <v>16.833333333333329</v>
      </c>
      <c r="AM418">
        <f ca="1">IF(AM95=0,0,SUM(OFFSET('2.2家乡支援军'!$L73,,,AM95)))</f>
        <v>16.833333333333329</v>
      </c>
      <c r="AN418">
        <f ca="1">IF(AN95=0,0,SUM(OFFSET('2.2家乡支援军'!$L73,,,AN95)))</f>
        <v>16.833333333333329</v>
      </c>
      <c r="AO418">
        <f ca="1">IF(AO95=0,0,SUM(OFFSET('2.2家乡支援军'!$L73,,,AO95)))</f>
        <v>16.833333333333329</v>
      </c>
      <c r="AX418" s="11">
        <v>3000</v>
      </c>
      <c r="AY418" t="s">
        <v>6143</v>
      </c>
      <c r="AZ418" t="s">
        <v>4878</v>
      </c>
      <c r="BA418" t="s">
        <v>5467</v>
      </c>
      <c r="BB418">
        <v>20</v>
      </c>
      <c r="CP418" s="40">
        <v>152</v>
      </c>
      <c r="CQ418" s="41" t="s">
        <v>3373</v>
      </c>
      <c r="CR418" s="41" t="s">
        <v>6144</v>
      </c>
      <c r="CS418" s="41">
        <v>250</v>
      </c>
      <c r="CT418" s="41">
        <v>24</v>
      </c>
      <c r="CU418" s="41">
        <v>45</v>
      </c>
      <c r="CV418" s="41">
        <v>30</v>
      </c>
      <c r="CW418" s="41" t="s">
        <v>4706</v>
      </c>
      <c r="CX418" s="41" t="s">
        <v>4716</v>
      </c>
      <c r="CY418" s="40" t="s">
        <v>3104</v>
      </c>
    </row>
    <row r="419" spans="25:103" ht="14.6">
      <c r="Y419" s="12" t="s">
        <v>70</v>
      </c>
      <c r="AA419">
        <f ca="1">IF(AA96=0,0,SUM(OFFSET('2.2家乡支援军'!$V72,,,AA96)))</f>
        <v>0</v>
      </c>
      <c r="AB419">
        <f ca="1">IF(AB96=0,0,SUM(OFFSET('2.2家乡支援军'!$V72,,,AB96)))</f>
        <v>0</v>
      </c>
      <c r="AC419">
        <f ca="1">IF(AC96=0,0,SUM(OFFSET('2.2家乡支援军'!$V72,,,AC96)))</f>
        <v>0</v>
      </c>
      <c r="AD419">
        <f ca="1">IF(AD96=0,0,SUM(OFFSET('2.2家乡支援军'!$V72,,,AD96)))</f>
        <v>0</v>
      </c>
      <c r="AE419">
        <f ca="1">IF(AE96=0,0,SUM(OFFSET('2.2家乡支援军'!$V72,,,AE96)))</f>
        <v>0</v>
      </c>
      <c r="AF419">
        <f ca="1">IF(AF96=0,0,SUM(OFFSET('2.2家乡支援军'!$V72,,,AF96)))</f>
        <v>0</v>
      </c>
      <c r="AG419">
        <f ca="1">IF(AG96=0,0,SUM(OFFSET('2.2家乡支援军'!$V72,,,AG96)))</f>
        <v>0</v>
      </c>
      <c r="AH419">
        <f ca="1">IF(AH96=0,0,SUM(OFFSET('2.2家乡支援军'!$V72,,,AH96)))</f>
        <v>0</v>
      </c>
      <c r="AI419">
        <f ca="1">IF(AI96=0,0,SUM(OFFSET('2.2家乡支援军'!$V72,,,AI96)))</f>
        <v>0</v>
      </c>
      <c r="AJ419">
        <f ca="1">IF(AJ96=0,0,SUM(OFFSET('2.2家乡支援军'!$V72,,,AJ96)))</f>
        <v>3.9166666666666599</v>
      </c>
      <c r="AK419">
        <f ca="1">IF(AK96=0,0,SUM(OFFSET('2.2家乡支援军'!$V72,,,AK96)))</f>
        <v>8.1666666666666607</v>
      </c>
      <c r="AL419">
        <f ca="1">IF(AL96=0,0,SUM(OFFSET('2.2家乡支援军'!$V72,,,AL96)))</f>
        <v>21.416666666666661</v>
      </c>
      <c r="AM419">
        <f ca="1">IF(AM96=0,0,SUM(OFFSET('2.2家乡支援军'!$V72,,,AM96)))</f>
        <v>32.666666666666657</v>
      </c>
      <c r="AN419">
        <f ca="1">IF(AN96=0,0,SUM(OFFSET('2.2家乡支援军'!$V72,,,AN96)))</f>
        <v>32.666666666666657</v>
      </c>
      <c r="AO419">
        <f ca="1">IF(AO96=0,0,SUM(OFFSET('2.2家乡支援军'!$V72,,,AO96)))</f>
        <v>32.666666666666657</v>
      </c>
      <c r="AX419">
        <v>7500</v>
      </c>
      <c r="AY419" t="s">
        <v>4673</v>
      </c>
      <c r="AZ419" t="s">
        <v>4689</v>
      </c>
      <c r="BA419" s="11" t="s">
        <v>4770</v>
      </c>
      <c r="BB419">
        <v>40</v>
      </c>
      <c r="CP419" s="40">
        <v>153</v>
      </c>
      <c r="CQ419" s="41" t="s">
        <v>3367</v>
      </c>
      <c r="CR419" s="41" t="s">
        <v>6145</v>
      </c>
      <c r="CS419" s="41">
        <v>250</v>
      </c>
      <c r="CT419" s="41">
        <v>24</v>
      </c>
      <c r="CU419" s="41">
        <v>30</v>
      </c>
      <c r="CV419" s="41">
        <v>30</v>
      </c>
      <c r="CW419" s="41" t="s">
        <v>4706</v>
      </c>
      <c r="CX419" s="41" t="s">
        <v>4716</v>
      </c>
      <c r="CY419" s="40" t="s">
        <v>3104</v>
      </c>
    </row>
    <row r="420" spans="25:103" ht="14.6">
      <c r="Y420" s="12" t="s">
        <v>76</v>
      </c>
      <c r="AA420">
        <f ca="1">IF(AA97=0,0,SUM(OFFSET('2.2家乡支援军'!$L85,,,AA97)))</f>
        <v>0</v>
      </c>
      <c r="AB420">
        <f ca="1">IF(AB97=0,0,SUM(OFFSET('2.2家乡支援军'!$L85,,,AB97)))</f>
        <v>0</v>
      </c>
      <c r="AC420">
        <f ca="1">IF(AC97=0,0,SUM(OFFSET('2.2家乡支援军'!$L85,,,AC97)))</f>
        <v>0</v>
      </c>
      <c r="AD420">
        <f ca="1">IF(AD97=0,0,SUM(OFFSET('2.2家乡支援军'!$L85,,,AD97)))</f>
        <v>0</v>
      </c>
      <c r="AE420">
        <f ca="1">IF(AE97=0,0,SUM(OFFSET('2.2家乡支援军'!$L85,,,AE97)))</f>
        <v>0</v>
      </c>
      <c r="AF420">
        <f ca="1">IF(AF97=0,0,SUM(OFFSET('2.2家乡支援军'!$L85,,,AF97)))</f>
        <v>0</v>
      </c>
      <c r="AG420">
        <f ca="1">IF(AG97=0,0,SUM(OFFSET('2.2家乡支援军'!$L85,,,AG97)))</f>
        <v>0</v>
      </c>
      <c r="AH420">
        <f ca="1">IF(AH97=0,0,SUM(OFFSET('2.2家乡支援军'!$L85,,,AH97)))</f>
        <v>0</v>
      </c>
      <c r="AI420">
        <f ca="1">IF(AI97=0,0,SUM(OFFSET('2.2家乡支援军'!$L85,,,AI97)))</f>
        <v>0</v>
      </c>
      <c r="AJ420">
        <f ca="1">IF(AJ97=0,0,SUM(OFFSET('2.2家乡支援军'!$L85,,,AJ97)))</f>
        <v>5.25</v>
      </c>
      <c r="AK420">
        <f ca="1">IF(AK97=0,0,SUM(OFFSET('2.2家乡支援军'!$L85,,,AK97)))</f>
        <v>10.5</v>
      </c>
      <c r="AL420">
        <f ca="1">IF(AL97=0,0,SUM(OFFSET('2.2家乡支援军'!$L85,,,AL97)))</f>
        <v>16.75</v>
      </c>
      <c r="AM420">
        <f ca="1">IF(AM97=0,0,SUM(OFFSET('2.2家乡支援军'!$L85,,,AM97)))</f>
        <v>16.75</v>
      </c>
      <c r="AN420">
        <f ca="1">IF(AN97=0,0,SUM(OFFSET('2.2家乡支援军'!$L85,,,AN97)))</f>
        <v>16.75</v>
      </c>
      <c r="AO420">
        <f ca="1">IF(AO97=0,0,SUM(OFFSET('2.2家乡支援军'!$L85,,,AO97)))</f>
        <v>34.75</v>
      </c>
      <c r="AX420">
        <v>12000</v>
      </c>
      <c r="AY420" t="s">
        <v>4824</v>
      </c>
      <c r="AZ420" t="s">
        <v>4844</v>
      </c>
      <c r="BA420" t="s">
        <v>4795</v>
      </c>
      <c r="BB420">
        <v>60</v>
      </c>
      <c r="CP420" s="40">
        <v>154</v>
      </c>
      <c r="CQ420" s="41" t="s">
        <v>3236</v>
      </c>
      <c r="CR420" s="41" t="s">
        <v>6146</v>
      </c>
      <c r="CS420" s="41">
        <v>250</v>
      </c>
      <c r="CT420" s="41">
        <v>24</v>
      </c>
      <c r="CU420" s="41">
        <v>90</v>
      </c>
      <c r="CV420" s="41">
        <v>30</v>
      </c>
      <c r="CW420" s="41" t="s">
        <v>4706</v>
      </c>
      <c r="CX420" s="41" t="s">
        <v>4716</v>
      </c>
      <c r="CY420" s="40" t="s">
        <v>3104</v>
      </c>
    </row>
    <row r="421" spans="25:103" ht="14.6">
      <c r="AX421">
        <v>18000</v>
      </c>
      <c r="AY421" t="s">
        <v>4933</v>
      </c>
      <c r="AZ421" t="s">
        <v>4945</v>
      </c>
      <c r="BA421" t="s">
        <v>4845</v>
      </c>
      <c r="BB421">
        <v>80</v>
      </c>
      <c r="CP421" s="40">
        <v>155</v>
      </c>
      <c r="CQ421" s="41" t="s">
        <v>3208</v>
      </c>
      <c r="CR421" s="41" t="s">
        <v>6147</v>
      </c>
      <c r="CS421" s="41">
        <v>250</v>
      </c>
      <c r="CT421" s="41">
        <v>24</v>
      </c>
      <c r="CU421" s="41">
        <v>135</v>
      </c>
      <c r="CV421" s="41">
        <v>30</v>
      </c>
      <c r="CW421" s="41" t="s">
        <v>4706</v>
      </c>
      <c r="CX421" s="41" t="s">
        <v>4716</v>
      </c>
      <c r="CY421" s="40" t="s">
        <v>3104</v>
      </c>
    </row>
    <row r="422" spans="25:103" ht="14.6">
      <c r="AX422">
        <v>30000</v>
      </c>
      <c r="AY422" t="s">
        <v>5643</v>
      </c>
      <c r="AZ422" t="s">
        <v>5164</v>
      </c>
      <c r="BA422" t="s">
        <v>5709</v>
      </c>
      <c r="BB422">
        <v>100</v>
      </c>
      <c r="CP422" s="40">
        <v>156</v>
      </c>
      <c r="CQ422" s="41" t="s">
        <v>3708</v>
      </c>
      <c r="CR422" s="41" t="s">
        <v>6148</v>
      </c>
      <c r="CS422" s="41">
        <v>100</v>
      </c>
      <c r="CT422" s="41">
        <v>8</v>
      </c>
      <c r="CU422" s="41">
        <v>41</v>
      </c>
      <c r="CV422" s="41">
        <v>10</v>
      </c>
      <c r="CW422" s="41" t="s">
        <v>4706</v>
      </c>
      <c r="CX422" s="41" t="s">
        <v>4716</v>
      </c>
      <c r="CY422" s="40" t="s">
        <v>4717</v>
      </c>
    </row>
    <row r="423" spans="25:103" ht="14.6">
      <c r="Y423" s="12" t="s">
        <v>104</v>
      </c>
      <c r="AA423">
        <f ca="1">IF(AA100=0,0,SUM(OFFSET('2.1家乡主力军'!$AW7,,,AA100)))</f>
        <v>0</v>
      </c>
      <c r="AB423">
        <f ca="1">IF(AB100=0,0,SUM(OFFSET('2.1家乡主力军'!$AW7,,,AB100)))</f>
        <v>0</v>
      </c>
      <c r="AC423">
        <f ca="1">IF(AC100=0,0,SUM(OFFSET('2.1家乡主力军'!$AW7,,,AC100)))</f>
        <v>0</v>
      </c>
      <c r="AD423">
        <f ca="1">IF(AD100=0,0,SUM(OFFSET('2.1家乡主力军'!$AW7,,,AD100)))</f>
        <v>0</v>
      </c>
      <c r="AE423">
        <f ca="1">IF(AE100=0,0,SUM(OFFSET('2.1家乡主力军'!$AW7,,,AE100)))</f>
        <v>0</v>
      </c>
      <c r="AF423">
        <f ca="1">IF(AF100=0,0,SUM(OFFSET('2.1家乡主力军'!$AW7,,,AF100)))</f>
        <v>0</v>
      </c>
      <c r="AG423">
        <f ca="1">IF(AG100=0,0,SUM(OFFSET('2.1家乡主力军'!$AW7,,,AG100)))</f>
        <v>1.166666666666667</v>
      </c>
      <c r="AH423">
        <f ca="1">IF(AH100=0,0,SUM(OFFSET('2.1家乡主力军'!$AW7,,,AH100)))</f>
        <v>4.5</v>
      </c>
      <c r="AI423">
        <f ca="1">IF(AI100=0,0,SUM(OFFSET('2.1家乡主力军'!$AW7,,,AI100)))</f>
        <v>50.916666336666665</v>
      </c>
      <c r="AJ423">
        <f ca="1">IF(AJ100=0,0,SUM(OFFSET('2.1家乡主力军'!$AW7,,,AJ100)))</f>
        <v>96.166666336666665</v>
      </c>
      <c r="AK423">
        <f ca="1">IF(AK100=0,0,SUM(OFFSET('2.1家乡主力军'!$AW7,,,AK100)))</f>
        <v>152.66666633666665</v>
      </c>
      <c r="AL423">
        <f ca="1">IF(AL100=0,0,SUM(OFFSET('2.1家乡主力军'!$AW7,,,AL100)))</f>
        <v>246.41666633666665</v>
      </c>
      <c r="AM423">
        <f ca="1">IF(AM100=0,0,SUM(OFFSET('2.1家乡主力军'!$AW7,,,AM100)))</f>
        <v>316.91666633666665</v>
      </c>
      <c r="AN423">
        <f ca="1">IF(AN100=0,0,SUM(OFFSET('2.1家乡主力军'!$AW7,,,AN100)))</f>
        <v>356.91666633666665</v>
      </c>
      <c r="AO423">
        <f ca="1">IF(AO100=0,0,SUM(OFFSET('2.1家乡主力军'!$AW7,,,AO100)))</f>
        <v>396.91666633666665</v>
      </c>
      <c r="AX423">
        <v>50000</v>
      </c>
      <c r="AY423" t="s">
        <v>4865</v>
      </c>
      <c r="AZ423" t="s">
        <v>4750</v>
      </c>
      <c r="BA423" t="s">
        <v>3432</v>
      </c>
      <c r="BB423" s="47">
        <v>120</v>
      </c>
      <c r="CP423" s="40">
        <v>157</v>
      </c>
      <c r="CQ423" s="41" t="s">
        <v>3642</v>
      </c>
      <c r="CR423" s="41" t="s">
        <v>6149</v>
      </c>
      <c r="CS423" s="41">
        <v>100</v>
      </c>
      <c r="CT423" s="41">
        <v>8</v>
      </c>
      <c r="CU423" s="41">
        <v>41</v>
      </c>
      <c r="CV423" s="41">
        <v>10</v>
      </c>
      <c r="CW423" s="41" t="s">
        <v>4706</v>
      </c>
      <c r="CX423" s="41" t="s">
        <v>4716</v>
      </c>
      <c r="CY423" s="40" t="s">
        <v>4717</v>
      </c>
    </row>
    <row r="424" spans="25:103" ht="14.6">
      <c r="Y424" s="12" t="s">
        <v>5475</v>
      </c>
      <c r="AA424">
        <f ca="1">IF(AA101=0,0,SUM(OFFSET('2.1家乡主力军'!$BL7,,,AA101)))</f>
        <v>0</v>
      </c>
      <c r="AB424">
        <f ca="1">IF(AB101=0,0,SUM(OFFSET('2.1家乡主力军'!$BL7,,,AB101)))</f>
        <v>0</v>
      </c>
      <c r="AC424">
        <f ca="1">IF(AC101=0,0,SUM(OFFSET('2.1家乡主力军'!$BL7,,,AC101)))</f>
        <v>0</v>
      </c>
      <c r="AD424">
        <f ca="1">IF(AD101=0,0,SUM(OFFSET('2.1家乡主力军'!$BL7,,,AD101)))</f>
        <v>0</v>
      </c>
      <c r="AE424">
        <f ca="1">IF(AE101=0,0,SUM(OFFSET('2.1家乡主力军'!$BL7,,,AE101)))</f>
        <v>0</v>
      </c>
      <c r="AF424">
        <f ca="1">IF(AF101=0,0,SUM(OFFSET('2.1家乡主力军'!$BL7,,,AF101)))</f>
        <v>0</v>
      </c>
      <c r="AG424">
        <f ca="1">IF(AG101=0,0,SUM(OFFSET('2.1家乡主力军'!$BL7,,,AG101)))</f>
        <v>0</v>
      </c>
      <c r="AH424">
        <f ca="1">IF(AH101=0,0,SUM(OFFSET('2.1家乡主力军'!$BL7,,,AH101)))</f>
        <v>0</v>
      </c>
      <c r="AI424">
        <f ca="1">IF(AI101=0,0,SUM(OFFSET('2.1家乡主力军'!$BL7,,,AI101)))</f>
        <v>50.916666336666665</v>
      </c>
      <c r="AJ424">
        <f ca="1">IF(AJ101=0,0,SUM(OFFSET('2.1家乡主力军'!$BL7,,,AJ101)))</f>
        <v>96.166666336666665</v>
      </c>
      <c r="AK424">
        <f ca="1">IF(AK101=0,0,SUM(OFFSET('2.1家乡主力军'!$BL7,,,AK101)))</f>
        <v>152.66666633666665</v>
      </c>
      <c r="AL424">
        <f ca="1">IF(AL101=0,0,SUM(OFFSET('2.1家乡主力军'!$BL7,,,AL101)))</f>
        <v>246.41666633666665</v>
      </c>
      <c r="AM424">
        <f ca="1">IF(AM101=0,0,SUM(OFFSET('2.1家乡主力军'!$BL7,,,AM101)))</f>
        <v>316.91666633666665</v>
      </c>
      <c r="AN424">
        <f ca="1">IF(AN101=0,0,SUM(OFFSET('2.1家乡主力军'!$BL7,,,AN101)))</f>
        <v>356.91666633666665</v>
      </c>
      <c r="AO424">
        <f ca="1">IF(AO101=0,0,SUM(OFFSET('2.1家乡主力军'!$BL7,,,AO101)))</f>
        <v>396.91666633666665</v>
      </c>
      <c r="AX424" s="11">
        <v>3000</v>
      </c>
      <c r="AY424" t="s">
        <v>4712</v>
      </c>
      <c r="AZ424" t="s">
        <v>4878</v>
      </c>
      <c r="BA424" t="s">
        <v>5467</v>
      </c>
      <c r="BB424">
        <v>20</v>
      </c>
      <c r="CP424" s="40">
        <v>158</v>
      </c>
      <c r="CQ424" s="41" t="s">
        <v>3637</v>
      </c>
      <c r="CR424" s="41" t="s">
        <v>6150</v>
      </c>
      <c r="CS424" s="41">
        <v>100</v>
      </c>
      <c r="CT424" s="41">
        <v>8</v>
      </c>
      <c r="CU424" s="41">
        <v>41</v>
      </c>
      <c r="CV424" s="41">
        <v>10</v>
      </c>
      <c r="CW424" s="41" t="s">
        <v>4706</v>
      </c>
      <c r="CX424" s="41" t="s">
        <v>4716</v>
      </c>
      <c r="CY424" s="40" t="s">
        <v>4717</v>
      </c>
    </row>
    <row r="425" spans="25:103" ht="14.6">
      <c r="Y425" s="12" t="s">
        <v>113</v>
      </c>
      <c r="AA425">
        <f ca="1">IF(AA102=0,0,SUM(OFFSET('2.1家乡主力军'!$AW100,,,AA102)))</f>
        <v>0</v>
      </c>
      <c r="AB425">
        <f ca="1">IF(AB102=0,0,SUM(OFFSET('2.1家乡主力军'!$AW100,,,AB102)))</f>
        <v>0</v>
      </c>
      <c r="AC425">
        <f ca="1">IF(AC102=0,0,SUM(OFFSET('2.1家乡主力军'!$AW100,,,AC102)))</f>
        <v>0</v>
      </c>
      <c r="AD425">
        <f ca="1">IF(AD102=0,0,SUM(OFFSET('2.1家乡主力军'!$AW100,,,AD102)))</f>
        <v>0</v>
      </c>
      <c r="AE425">
        <f ca="1">IF(AE102=0,0,SUM(OFFSET('2.1家乡主力军'!$AW100,,,AE102)))</f>
        <v>0</v>
      </c>
      <c r="AF425">
        <f ca="1">IF(AF102=0,0,SUM(OFFSET('2.1家乡主力军'!$AW100,,,AF102)))</f>
        <v>0</v>
      </c>
      <c r="AG425">
        <f ca="1">IF(AG102=0,0,SUM(OFFSET('2.1家乡主力军'!$AW100,,,AG102)))</f>
        <v>0</v>
      </c>
      <c r="AH425">
        <f ca="1">IF(AH102=0,0,SUM(OFFSET('2.1家乡主力军'!$AW100,,,AH102)))</f>
        <v>0</v>
      </c>
      <c r="AI425">
        <f ca="1">IF(AI102=0,0,SUM(OFFSET('2.1家乡主力军'!$AW100,,,AI102)))</f>
        <v>0</v>
      </c>
      <c r="AJ425">
        <f ca="1">IF(AJ102=0,0,SUM(OFFSET('2.1家乡主力军'!$AW100,,,AJ102)))</f>
        <v>0</v>
      </c>
      <c r="AK425">
        <f ca="1">IF(AK102=0,0,SUM(OFFSET('2.1家乡主力军'!$AW100,,,AK102)))</f>
        <v>57</v>
      </c>
      <c r="AL425">
        <f ca="1">IF(AL102=0,0,SUM(OFFSET('2.1家乡主力军'!$AW100,,,AL102)))</f>
        <v>182</v>
      </c>
      <c r="AM425">
        <f ca="1">IF(AM102=0,0,SUM(OFFSET('2.1家乡主力军'!$AW100,,,AM102)))</f>
        <v>252</v>
      </c>
      <c r="AN425">
        <f ca="1">IF(AN102=0,0,SUM(OFFSET('2.1家乡主力军'!$AW100,,,AN102)))</f>
        <v>292</v>
      </c>
      <c r="AO425">
        <f ca="1">IF(AO102=0,0,SUM(OFFSET('2.1家乡主力军'!$AW100,,,AO102)))</f>
        <v>332</v>
      </c>
      <c r="AX425">
        <v>7500</v>
      </c>
      <c r="AY425" t="s">
        <v>6151</v>
      </c>
      <c r="AZ425" t="s">
        <v>6099</v>
      </c>
      <c r="BA425" s="11" t="s">
        <v>4770</v>
      </c>
      <c r="BB425">
        <v>40</v>
      </c>
      <c r="CP425" s="40">
        <v>159</v>
      </c>
      <c r="CQ425" s="41" t="s">
        <v>3651</v>
      </c>
      <c r="CR425" s="41" t="s">
        <v>6152</v>
      </c>
      <c r="CS425" s="41">
        <v>75</v>
      </c>
      <c r="CT425" s="41">
        <v>8</v>
      </c>
      <c r="CU425" s="41">
        <v>41</v>
      </c>
      <c r="CV425" s="41">
        <v>5</v>
      </c>
      <c r="CW425" s="41" t="s">
        <v>4706</v>
      </c>
      <c r="CX425" s="41" t="s">
        <v>4716</v>
      </c>
      <c r="CY425" s="40" t="s">
        <v>4717</v>
      </c>
    </row>
    <row r="426" spans="25:103" ht="14.6">
      <c r="Y426" s="12" t="s">
        <v>117</v>
      </c>
      <c r="AA426">
        <f ca="1">IF(AA103=0,0,SUM(OFFSET('2.1家乡主力军'!$BL100,,,AA103)))</f>
        <v>0</v>
      </c>
      <c r="AB426">
        <f ca="1">IF(AB103=0,0,SUM(OFFSET('2.1家乡主力军'!$BL100,,,AB103)))</f>
        <v>0</v>
      </c>
      <c r="AC426">
        <f ca="1">IF(AC103=0,0,SUM(OFFSET('2.1家乡主力军'!$BL100,,,AC103)))</f>
        <v>0</v>
      </c>
      <c r="AD426">
        <f ca="1">IF(AD103=0,0,SUM(OFFSET('2.1家乡主力军'!$BL100,,,AD103)))</f>
        <v>0</v>
      </c>
      <c r="AE426">
        <f ca="1">IF(AE103=0,0,SUM(OFFSET('2.1家乡主力军'!$BL100,,,AE103)))</f>
        <v>0</v>
      </c>
      <c r="AF426">
        <f ca="1">IF(AF103=0,0,SUM(OFFSET('2.1家乡主力军'!$BL100,,,AF103)))</f>
        <v>0</v>
      </c>
      <c r="AG426">
        <f ca="1">IF(AG103=0,0,SUM(OFFSET('2.1家乡主力军'!$BL100,,,AG103)))</f>
        <v>0</v>
      </c>
      <c r="AH426">
        <f ca="1">IF(AH103=0,0,SUM(OFFSET('2.1家乡主力军'!$BL100,,,AH103)))</f>
        <v>0</v>
      </c>
      <c r="AI426">
        <f ca="1">IF(AI103=0,0,SUM(OFFSET('2.1家乡主力军'!$BL100,,,AI103)))</f>
        <v>0</v>
      </c>
      <c r="AJ426">
        <f ca="1">IF(AJ103=0,0,SUM(OFFSET('2.1家乡主力军'!$BL100,,,AJ103)))</f>
        <v>0</v>
      </c>
      <c r="AK426">
        <f ca="1">IF(AK103=0,0,SUM(OFFSET('2.1家乡主力军'!$BL100,,,AK103)))</f>
        <v>0</v>
      </c>
      <c r="AL426">
        <f ca="1">IF(AL103=0,0,SUM(OFFSET('2.1家乡主力军'!$BL100,,,AL103)))</f>
        <v>0</v>
      </c>
      <c r="AM426">
        <f ca="1">IF(AM103=0,0,SUM(OFFSET('2.1家乡主力军'!$BL100,,,AM103)))</f>
        <v>121.749996</v>
      </c>
      <c r="AN426">
        <f ca="1">IF(AN103=0,0,SUM(OFFSET('2.1家乡主力军'!$BL100,,,AN103)))</f>
        <v>161.74999600000001</v>
      </c>
      <c r="AO426">
        <f ca="1">IF(AO103=0,0,SUM(OFFSET('2.1家乡主力军'!$BL100,,,AO103)))</f>
        <v>201.74999600000001</v>
      </c>
      <c r="AX426">
        <v>12000</v>
      </c>
      <c r="AY426" t="s">
        <v>4824</v>
      </c>
      <c r="AZ426" t="s">
        <v>6133</v>
      </c>
      <c r="BA426" t="s">
        <v>4795</v>
      </c>
      <c r="BB426">
        <v>60</v>
      </c>
      <c r="CP426" s="40">
        <v>160</v>
      </c>
      <c r="CQ426" s="41" t="s">
        <v>3656</v>
      </c>
      <c r="CR426" s="41" t="s">
        <v>6153</v>
      </c>
      <c r="CS426" s="41">
        <v>100</v>
      </c>
      <c r="CT426" s="41">
        <v>8</v>
      </c>
      <c r="CU426" s="41">
        <v>41</v>
      </c>
      <c r="CV426" s="41">
        <v>10</v>
      </c>
      <c r="CW426" s="41" t="s">
        <v>4706</v>
      </c>
      <c r="CX426" s="41" t="s">
        <v>4716</v>
      </c>
      <c r="CY426" s="40" t="s">
        <v>4717</v>
      </c>
    </row>
    <row r="427" spans="25:103" ht="14.6">
      <c r="AX427">
        <v>18000</v>
      </c>
      <c r="AY427" t="s">
        <v>5568</v>
      </c>
      <c r="AZ427" t="s">
        <v>5885</v>
      </c>
      <c r="BA427" t="s">
        <v>4689</v>
      </c>
      <c r="BB427">
        <v>80</v>
      </c>
      <c r="CP427" s="40">
        <v>161</v>
      </c>
      <c r="CQ427" s="41" t="s">
        <v>3661</v>
      </c>
      <c r="CR427" s="41" t="s">
        <v>6154</v>
      </c>
      <c r="CS427" s="41">
        <v>100</v>
      </c>
      <c r="CT427" s="41">
        <v>8</v>
      </c>
      <c r="CU427" s="41">
        <v>41</v>
      </c>
      <c r="CV427" s="41">
        <v>10</v>
      </c>
      <c r="CW427" s="41" t="s">
        <v>4706</v>
      </c>
      <c r="CX427" s="41" t="s">
        <v>4716</v>
      </c>
      <c r="CY427" s="40" t="s">
        <v>4717</v>
      </c>
    </row>
    <row r="428" spans="25:103" ht="14.6">
      <c r="Y428" t="s">
        <v>119</v>
      </c>
      <c r="AA428">
        <f ca="1">IF(AA105=0,0,SUM(OFFSET('2.1家乡主力军'!$M151,,,AA105)))</f>
        <v>0</v>
      </c>
      <c r="AB428">
        <f ca="1">IF(AB105=0,0,SUM(OFFSET('2.1家乡主力军'!$M151,,,AB105)))</f>
        <v>0</v>
      </c>
      <c r="AC428">
        <f ca="1">IF(AC105=0,0,SUM(OFFSET('2.1家乡主力军'!$M151,,,AC105)))</f>
        <v>0</v>
      </c>
      <c r="AD428">
        <f ca="1">IF(AD105=0,0,SUM(OFFSET('2.1家乡主力军'!$M151,,,AD105)))</f>
        <v>0</v>
      </c>
      <c r="AE428">
        <f ca="1">IF(AE105=0,0,SUM(OFFSET('2.1家乡主力军'!$M151,,,AE105)))</f>
        <v>0</v>
      </c>
      <c r="AF428">
        <f ca="1">IF(AF105=0,0,SUM(OFFSET('2.1家乡主力军'!$M151,,,AF105)))</f>
        <v>0</v>
      </c>
      <c r="AG428">
        <f ca="1">IF(AG105=0,0,SUM(OFFSET('2.1家乡主力军'!$M151,,,AG105)))</f>
        <v>0</v>
      </c>
      <c r="AH428">
        <f ca="1">IF(AH105=0,0,SUM(OFFSET('2.1家乡主力军'!$M151,,,AH105)))</f>
        <v>0</v>
      </c>
      <c r="AI428">
        <f ca="1">IF(AI105=0,0,SUM(OFFSET('2.1家乡主力军'!$M151,,,AI105)))</f>
        <v>0</v>
      </c>
      <c r="AJ428">
        <f ca="1">IF(AJ105=0,0,SUM(OFFSET('2.1家乡主力军'!$M151,,,AJ105)))</f>
        <v>0</v>
      </c>
      <c r="AK428">
        <f ca="1">IF(AK105=0,0,SUM(OFFSET('2.1家乡主力军'!$M151,,,AK105)))</f>
        <v>0</v>
      </c>
      <c r="AL428">
        <f ca="1">IF(AL105=0,0,SUM(OFFSET('2.1家乡主力军'!$M151,,,AL105)))</f>
        <v>0</v>
      </c>
      <c r="AM428">
        <f ca="1">IF(AM105=0,0,SUM(OFFSET('2.1家乡主力军'!$M151,,,AM105)))</f>
        <v>0</v>
      </c>
      <c r="AN428">
        <f ca="1">IF(AN105=0,0,SUM(OFFSET('2.1家乡主力军'!$M151,,,AN105)))</f>
        <v>52.5</v>
      </c>
      <c r="AO428">
        <f ca="1">IF(AO105=0,0,SUM(OFFSET('2.1家乡主力军'!$M151,,,AO105)))</f>
        <v>52.5</v>
      </c>
      <c r="AX428">
        <v>30000</v>
      </c>
      <c r="AY428" t="s">
        <v>6155</v>
      </c>
      <c r="AZ428" t="s">
        <v>5163</v>
      </c>
      <c r="BA428" t="s">
        <v>6138</v>
      </c>
      <c r="BB428">
        <v>100</v>
      </c>
      <c r="CP428" s="40">
        <v>162</v>
      </c>
      <c r="CQ428" s="41" t="s">
        <v>3666</v>
      </c>
      <c r="CR428" s="41" t="s">
        <v>6156</v>
      </c>
      <c r="CS428" s="41">
        <v>100</v>
      </c>
      <c r="CT428" s="41">
        <v>8</v>
      </c>
      <c r="CU428" s="41">
        <v>41</v>
      </c>
      <c r="CV428" s="41">
        <v>10</v>
      </c>
      <c r="CW428" s="41" t="s">
        <v>4706</v>
      </c>
      <c r="CX428" s="41" t="s">
        <v>4716</v>
      </c>
      <c r="CY428" s="40" t="s">
        <v>4717</v>
      </c>
    </row>
    <row r="429" spans="25:103" ht="14.6">
      <c r="Y429" t="s">
        <v>122</v>
      </c>
      <c r="AA429">
        <f ca="1">IF(AA106=0,0,SUM(OFFSET('2.1家乡主力军'!$W151,,,AA106)))</f>
        <v>0</v>
      </c>
      <c r="AB429">
        <f ca="1">IF(AB106=0,0,SUM(OFFSET('2.1家乡主力军'!$W151,,,AB106)))</f>
        <v>0</v>
      </c>
      <c r="AC429">
        <f ca="1">IF(AC106=0,0,SUM(OFFSET('2.1家乡主力军'!$W151,,,AC106)))</f>
        <v>0</v>
      </c>
      <c r="AD429">
        <f ca="1">IF(AD106=0,0,SUM(OFFSET('2.1家乡主力军'!$W151,,,AD106)))</f>
        <v>0</v>
      </c>
      <c r="AE429">
        <f ca="1">IF(AE106=0,0,SUM(OFFSET('2.1家乡主力军'!$W151,,,AE106)))</f>
        <v>0</v>
      </c>
      <c r="AF429">
        <f ca="1">IF(AF106=0,0,SUM(OFFSET('2.1家乡主力军'!$W151,,,AF106)))</f>
        <v>0</v>
      </c>
      <c r="AG429">
        <f ca="1">IF(AG106=0,0,SUM(OFFSET('2.1家乡主力军'!$W151,,,AG106)))</f>
        <v>0</v>
      </c>
      <c r="AH429">
        <f ca="1">IF(AH106=0,0,SUM(OFFSET('2.1家乡主力军'!$W151,,,AH106)))</f>
        <v>0</v>
      </c>
      <c r="AI429">
        <f ca="1">IF(AI106=0,0,SUM(OFFSET('2.1家乡主力军'!$W151,,,AI106)))</f>
        <v>0</v>
      </c>
      <c r="AJ429">
        <f ca="1">IF(AJ106=0,0,SUM(OFFSET('2.1家乡主力军'!$W151,,,AJ106)))</f>
        <v>0</v>
      </c>
      <c r="AK429">
        <f ca="1">IF(AK106=0,0,SUM(OFFSET('2.1家乡主力军'!$W151,,,AK106)))</f>
        <v>0</v>
      </c>
      <c r="AL429">
        <f ca="1">IF(AL106=0,0,SUM(OFFSET('2.1家乡主力军'!$W151,,,AL106)))</f>
        <v>0</v>
      </c>
      <c r="AM429">
        <f ca="1">IF(AM106=0,0,SUM(OFFSET('2.1家乡主力军'!$W151,,,AM106)))</f>
        <v>0</v>
      </c>
      <c r="AN429">
        <f ca="1">IF(AN106=0,0,SUM(OFFSET('2.1家乡主力军'!$W151,,,AN106)))</f>
        <v>52.5</v>
      </c>
      <c r="AO429">
        <f ca="1">IF(AO106=0,0,SUM(OFFSET('2.1家乡主力军'!$W151,,,AO106)))</f>
        <v>52.5</v>
      </c>
      <c r="AX429">
        <v>50000</v>
      </c>
      <c r="AY429" t="s">
        <v>4745</v>
      </c>
      <c r="AZ429" t="s">
        <v>4943</v>
      </c>
      <c r="BA429" t="s">
        <v>3432</v>
      </c>
      <c r="BB429" s="47">
        <v>120</v>
      </c>
      <c r="CP429" s="40">
        <v>163</v>
      </c>
      <c r="CQ429" s="41" t="s">
        <v>3671</v>
      </c>
      <c r="CR429" s="41" t="s">
        <v>6157</v>
      </c>
      <c r="CS429" s="41">
        <v>75</v>
      </c>
      <c r="CT429" s="41">
        <v>8</v>
      </c>
      <c r="CU429" s="41">
        <v>41</v>
      </c>
      <c r="CV429" s="41">
        <v>5</v>
      </c>
      <c r="CW429" s="41" t="s">
        <v>4706</v>
      </c>
      <c r="CX429" s="41" t="s">
        <v>4716</v>
      </c>
      <c r="CY429" s="40" t="s">
        <v>4717</v>
      </c>
    </row>
    <row r="430" spans="25:103" ht="14.6">
      <c r="Y430" t="s">
        <v>125</v>
      </c>
      <c r="AA430">
        <f ca="1">IF(AA107=0,0,SUM(OFFSET('2.1家乡主力军'!$M164,,,AA107)))</f>
        <v>0</v>
      </c>
      <c r="AB430">
        <f ca="1">IF(AB107=0,0,SUM(OFFSET('2.1家乡主力军'!$M164,,,AB107)))</f>
        <v>0</v>
      </c>
      <c r="AC430">
        <f ca="1">IF(AC107=0,0,SUM(OFFSET('2.1家乡主力军'!$M164,,,AC107)))</f>
        <v>0</v>
      </c>
      <c r="AD430">
        <f ca="1">IF(AD107=0,0,SUM(OFFSET('2.1家乡主力军'!$M164,,,AD107)))</f>
        <v>0</v>
      </c>
      <c r="AE430">
        <f ca="1">IF(AE107=0,0,SUM(OFFSET('2.1家乡主力军'!$M164,,,AE107)))</f>
        <v>0</v>
      </c>
      <c r="AF430">
        <f ca="1">IF(AF107=0,0,SUM(OFFSET('2.1家乡主力军'!$M164,,,AF107)))</f>
        <v>0</v>
      </c>
      <c r="AG430">
        <f ca="1">IF(AG107=0,0,SUM(OFFSET('2.1家乡主力军'!$M164,,,AG107)))</f>
        <v>0</v>
      </c>
      <c r="AH430">
        <f ca="1">IF(AH107=0,0,SUM(OFFSET('2.1家乡主力军'!$M164,,,AH107)))</f>
        <v>0</v>
      </c>
      <c r="AI430">
        <f ca="1">IF(AI107=0,0,SUM(OFFSET('2.1家乡主力军'!$M164,,,AI107)))</f>
        <v>0</v>
      </c>
      <c r="AJ430">
        <f ca="1">IF(AJ107=0,0,SUM(OFFSET('2.1家乡主力军'!$M164,,,AJ107)))</f>
        <v>0</v>
      </c>
      <c r="AK430">
        <f ca="1">IF(AK107=0,0,SUM(OFFSET('2.1家乡主力军'!$M164,,,AK107)))</f>
        <v>0</v>
      </c>
      <c r="AL430">
        <f ca="1">IF(AL107=0,0,SUM(OFFSET('2.1家乡主力军'!$M164,,,AL107)))</f>
        <v>0</v>
      </c>
      <c r="AM430">
        <f ca="1">IF(AM107=0,0,SUM(OFFSET('2.1家乡主力军'!$M164,,,AM107)))</f>
        <v>0</v>
      </c>
      <c r="AN430">
        <f ca="1">IF(AN107=0,0,SUM(OFFSET('2.1家乡主力军'!$M164,,,AN107)))</f>
        <v>52.5</v>
      </c>
      <c r="AO430">
        <f ca="1">IF(AO107=0,0,SUM(OFFSET('2.1家乡主力军'!$M164,,,AO107)))</f>
        <v>52.5</v>
      </c>
      <c r="AX430" s="11">
        <v>3000</v>
      </c>
      <c r="AY430" s="11" t="s">
        <v>4770</v>
      </c>
      <c r="AZ430" t="s">
        <v>4878</v>
      </c>
      <c r="BA430" t="s">
        <v>4673</v>
      </c>
      <c r="BB430">
        <v>20</v>
      </c>
      <c r="CP430" s="40">
        <v>164</v>
      </c>
      <c r="CQ430" s="41" t="s">
        <v>3676</v>
      </c>
      <c r="CR430" s="41" t="s">
        <v>6158</v>
      </c>
      <c r="CS430" s="41">
        <v>100</v>
      </c>
      <c r="CT430" s="41">
        <v>8</v>
      </c>
      <c r="CU430" s="41">
        <v>41</v>
      </c>
      <c r="CV430" s="41">
        <v>10</v>
      </c>
      <c r="CW430" s="41" t="s">
        <v>4706</v>
      </c>
      <c r="CX430" s="41" t="s">
        <v>4716</v>
      </c>
      <c r="CY430" s="40" t="s">
        <v>4717</v>
      </c>
    </row>
    <row r="431" spans="25:103" ht="14.6">
      <c r="Y431" t="s">
        <v>128</v>
      </c>
      <c r="AA431">
        <f ca="1">IF(AA108=0,0,SUM(OFFSET('2.1家乡主力军'!$U164,,,AA108)))</f>
        <v>0</v>
      </c>
      <c r="AB431">
        <f ca="1">IF(AB108=0,0,SUM(OFFSET('2.1家乡主力军'!$U164,,,AB108)))</f>
        <v>0</v>
      </c>
      <c r="AC431">
        <f ca="1">IF(AC108=0,0,SUM(OFFSET('2.1家乡主力军'!$U164,,,AC108)))</f>
        <v>0</v>
      </c>
      <c r="AD431">
        <f ca="1">IF(AD108=0,0,SUM(OFFSET('2.1家乡主力军'!$U164,,,AD108)))</f>
        <v>0</v>
      </c>
      <c r="AE431">
        <f ca="1">IF(AE108=0,0,SUM(OFFSET('2.1家乡主力军'!$U164,,,AE108)))</f>
        <v>0</v>
      </c>
      <c r="AF431">
        <f ca="1">IF(AF108=0,0,SUM(OFFSET('2.1家乡主力军'!$U164,,,AF108)))</f>
        <v>0</v>
      </c>
      <c r="AG431">
        <f ca="1">IF(AG108=0,0,SUM(OFFSET('2.1家乡主力军'!$U164,,,AG108)))</f>
        <v>0</v>
      </c>
      <c r="AH431">
        <f ca="1">IF(AH108=0,0,SUM(OFFSET('2.1家乡主力军'!$U164,,,AH108)))</f>
        <v>0</v>
      </c>
      <c r="AI431">
        <f ca="1">IF(AI108=0,0,SUM(OFFSET('2.1家乡主力军'!$U164,,,AI108)))</f>
        <v>0</v>
      </c>
      <c r="AJ431">
        <f ca="1">IF(AJ108=0,0,SUM(OFFSET('2.1家乡主力军'!$U164,,,AJ108)))</f>
        <v>0</v>
      </c>
      <c r="AK431">
        <f ca="1">IF(AK108=0,0,SUM(OFFSET('2.1家乡主力军'!$U164,,,AK108)))</f>
        <v>0</v>
      </c>
      <c r="AL431">
        <f ca="1">IF(AL108=0,0,SUM(OFFSET('2.1家乡主力军'!$U164,,,AL108)))</f>
        <v>0</v>
      </c>
      <c r="AM431">
        <f ca="1">IF(AM108=0,0,SUM(OFFSET('2.1家乡主力军'!$U164,,,AM108)))</f>
        <v>0</v>
      </c>
      <c r="AN431">
        <f ca="1">IF(AN108=0,0,SUM(OFFSET('2.1家乡主力军'!$U164,,,AN108)))</f>
        <v>52.5</v>
      </c>
      <c r="AO431">
        <f ca="1">IF(AO108=0,0,SUM(OFFSET('2.1家乡主力军'!$U164,,,AO108)))</f>
        <v>52.5</v>
      </c>
      <c r="AX431">
        <v>7500</v>
      </c>
      <c r="AY431" t="s">
        <v>4909</v>
      </c>
      <c r="AZ431" t="s">
        <v>4689</v>
      </c>
      <c r="BA431" t="s">
        <v>5467</v>
      </c>
      <c r="BB431">
        <v>40</v>
      </c>
      <c r="CP431" s="40">
        <v>165</v>
      </c>
      <c r="CQ431" s="41" t="s">
        <v>3681</v>
      </c>
      <c r="CR431" s="41" t="s">
        <v>6159</v>
      </c>
      <c r="CS431" s="41">
        <v>100</v>
      </c>
      <c r="CT431" s="41">
        <v>8</v>
      </c>
      <c r="CU431" s="41">
        <v>41</v>
      </c>
      <c r="CV431" s="41">
        <v>10</v>
      </c>
      <c r="CW431" s="41" t="s">
        <v>4706</v>
      </c>
      <c r="CX431" s="41" t="s">
        <v>4716</v>
      </c>
      <c r="CY431" s="40" t="s">
        <v>4717</v>
      </c>
    </row>
    <row r="432" spans="25:103" ht="14.6">
      <c r="Y432" t="s">
        <v>129</v>
      </c>
      <c r="AA432">
        <f ca="1">IF(AA109=0,0,SUM(OFFSET('2.1家乡主力军'!$AH151,,,AA109)))</f>
        <v>0</v>
      </c>
      <c r="AB432">
        <f ca="1">IF(AB109=0,0,SUM(OFFSET('2.1家乡主力军'!$AH151,,,AB109)))</f>
        <v>0</v>
      </c>
      <c r="AC432">
        <f ca="1">IF(AC109=0,0,SUM(OFFSET('2.1家乡主力军'!$AH151,,,AC109)))</f>
        <v>0</v>
      </c>
      <c r="AD432">
        <f ca="1">IF(AD109=0,0,SUM(OFFSET('2.1家乡主力军'!$AH151,,,AD109)))</f>
        <v>0</v>
      </c>
      <c r="AE432">
        <f ca="1">IF(AE109=0,0,SUM(OFFSET('2.1家乡主力军'!$AH151,,,AE109)))</f>
        <v>0</v>
      </c>
      <c r="AF432">
        <f ca="1">IF(AF109=0,0,SUM(OFFSET('2.1家乡主力军'!$AH151,,,AF109)))</f>
        <v>0</v>
      </c>
      <c r="AG432">
        <f ca="1">IF(AG109=0,0,SUM(OFFSET('2.1家乡主力军'!$AH151,,,AG109)))</f>
        <v>0</v>
      </c>
      <c r="AH432">
        <f ca="1">IF(AH109=0,0,SUM(OFFSET('2.1家乡主力军'!$AH151,,,AH109)))</f>
        <v>0</v>
      </c>
      <c r="AI432">
        <f ca="1">IF(AI109=0,0,SUM(OFFSET('2.1家乡主力军'!$AH151,,,AI109)))</f>
        <v>0</v>
      </c>
      <c r="AJ432">
        <f ca="1">IF(AJ109=0,0,SUM(OFFSET('2.1家乡主力军'!$AH151,,,AJ109)))</f>
        <v>0</v>
      </c>
      <c r="AK432">
        <f ca="1">IF(AK109=0,0,SUM(OFFSET('2.1家乡主力军'!$AH151,,,AK109)))</f>
        <v>0</v>
      </c>
      <c r="AL432">
        <f ca="1">IF(AL109=0,0,SUM(OFFSET('2.1家乡主力军'!$AH151,,,AL109)))</f>
        <v>0</v>
      </c>
      <c r="AM432">
        <f ca="1">IF(AM109=0,0,SUM(OFFSET('2.1家乡主力军'!$AH151,,,AM109)))</f>
        <v>0</v>
      </c>
      <c r="AN432">
        <f ca="1">IF(AN109=0,0,SUM(OFFSET('2.1家乡主力军'!$AH151,,,AN109)))</f>
        <v>0</v>
      </c>
      <c r="AO432">
        <f ca="1">IF(AO109=0,0,SUM(OFFSET('2.1家乡主力军'!$AH151,,,AO109)))</f>
        <v>52.5</v>
      </c>
      <c r="AX432">
        <v>12000</v>
      </c>
      <c r="AY432" t="s">
        <v>4824</v>
      </c>
      <c r="AZ432" t="s">
        <v>5569</v>
      </c>
      <c r="BA432" t="s">
        <v>4795</v>
      </c>
      <c r="BB432">
        <v>60</v>
      </c>
      <c r="CP432" s="40">
        <v>166</v>
      </c>
      <c r="CQ432" s="41" t="s">
        <v>3686</v>
      </c>
      <c r="CR432" s="41" t="s">
        <v>6160</v>
      </c>
      <c r="CS432" s="41">
        <v>75</v>
      </c>
      <c r="CT432" s="41">
        <v>8</v>
      </c>
      <c r="CU432" s="41">
        <v>41</v>
      </c>
      <c r="CV432" s="41">
        <v>5</v>
      </c>
      <c r="CW432" s="41" t="s">
        <v>4706</v>
      </c>
      <c r="CX432" s="41" t="s">
        <v>4716</v>
      </c>
      <c r="CY432" s="40" t="s">
        <v>4717</v>
      </c>
    </row>
    <row r="433" spans="25:103" ht="14.6">
      <c r="Y433" t="s">
        <v>131</v>
      </c>
      <c r="AA433">
        <f ca="1">IF(AA110=0,0,SUM(OFFSET('2.1家乡主力军'!$AG167,,,AA110)))</f>
        <v>0</v>
      </c>
      <c r="AB433">
        <f ca="1">IF(AB110=0,0,SUM(OFFSET('2.1家乡主力军'!$AG167,,,AB110)))</f>
        <v>0</v>
      </c>
      <c r="AC433">
        <f ca="1">IF(AC110=0,0,SUM(OFFSET('2.1家乡主力军'!$AG167,,,AC110)))</f>
        <v>0</v>
      </c>
      <c r="AD433">
        <f ca="1">IF(AD110=0,0,SUM(OFFSET('2.1家乡主力军'!$AG167,,,AD110)))</f>
        <v>0</v>
      </c>
      <c r="AE433">
        <f ca="1">IF(AE110=0,0,SUM(OFFSET('2.1家乡主力军'!$AG167,,,AE110)))</f>
        <v>0</v>
      </c>
      <c r="AF433">
        <f ca="1">IF(AF110=0,0,SUM(OFFSET('2.1家乡主力军'!$AG167,,,AF110)))</f>
        <v>0</v>
      </c>
      <c r="AG433">
        <f ca="1">IF(AG110=0,0,SUM(OFFSET('2.1家乡主力军'!$AG167,,,AG110)))</f>
        <v>0</v>
      </c>
      <c r="AH433">
        <f ca="1">IF(AH110=0,0,SUM(OFFSET('2.1家乡主力军'!$AG167,,,AH110)))</f>
        <v>0</v>
      </c>
      <c r="AI433">
        <f ca="1">IF(AI110=0,0,SUM(OFFSET('2.1家乡主力军'!$AG167,,,AI110)))</f>
        <v>0</v>
      </c>
      <c r="AJ433">
        <f ca="1">IF(AJ110=0,0,SUM(OFFSET('2.1家乡主力军'!$AG167,,,AJ110)))</f>
        <v>0</v>
      </c>
      <c r="AK433">
        <f ca="1">IF(AK110=0,0,SUM(OFFSET('2.1家乡主力军'!$AG167,,,AK110)))</f>
        <v>0</v>
      </c>
      <c r="AL433">
        <f ca="1">IF(AL110=0,0,SUM(OFFSET('2.1家乡主力军'!$AG167,,,AL110)))</f>
        <v>0</v>
      </c>
      <c r="AM433">
        <f ca="1">IF(AM110=0,0,SUM(OFFSET('2.1家乡主力军'!$AG167,,,AM110)))</f>
        <v>0</v>
      </c>
      <c r="AN433">
        <f ca="1">IF(AN110=0,0,SUM(OFFSET('2.1家乡主力军'!$AG167,,,AN110)))</f>
        <v>0</v>
      </c>
      <c r="AO433">
        <f ca="1">IF(AO110=0,0,SUM(OFFSET('2.1家乡主力军'!$AG167,,,AO110)))</f>
        <v>52.5</v>
      </c>
      <c r="AX433">
        <v>18000</v>
      </c>
      <c r="AY433" t="s">
        <v>4945</v>
      </c>
      <c r="AZ433" t="s">
        <v>5117</v>
      </c>
      <c r="BA433" t="s">
        <v>4845</v>
      </c>
      <c r="BB433">
        <v>80</v>
      </c>
      <c r="CP433" s="40">
        <v>167</v>
      </c>
      <c r="CQ433" s="41" t="s">
        <v>3701</v>
      </c>
      <c r="CR433" s="41" t="s">
        <v>6161</v>
      </c>
      <c r="CS433" s="41">
        <v>100</v>
      </c>
      <c r="CT433" s="41">
        <v>8</v>
      </c>
      <c r="CU433" s="41">
        <v>41</v>
      </c>
      <c r="CV433" s="41">
        <v>10</v>
      </c>
      <c r="CW433" s="41" t="s">
        <v>4706</v>
      </c>
      <c r="CX433" s="41" t="s">
        <v>4716</v>
      </c>
      <c r="CY433" s="40" t="s">
        <v>4717</v>
      </c>
    </row>
    <row r="434" spans="25:103" ht="14.6">
      <c r="Y434" t="s">
        <v>133</v>
      </c>
      <c r="AA434">
        <f ca="1">IF(AA111=0,0,SUM(OFFSET('2.1家乡主力军'!$O178,,,AA111)))</f>
        <v>0</v>
      </c>
      <c r="AB434">
        <f ca="1">IF(AB111=0,0,SUM(OFFSET('2.1家乡主力军'!$O178,,,AB111)))</f>
        <v>0</v>
      </c>
      <c r="AC434">
        <f ca="1">IF(AC111=0,0,SUM(OFFSET('2.1家乡主力军'!$O178,,,AC111)))</f>
        <v>0</v>
      </c>
      <c r="AD434">
        <f ca="1">IF(AD111=0,0,SUM(OFFSET('2.1家乡主力军'!$O178,,,AD111)))</f>
        <v>0</v>
      </c>
      <c r="AE434">
        <f ca="1">IF(AE111=0,0,SUM(OFFSET('2.1家乡主力军'!$O178,,,AE111)))</f>
        <v>0</v>
      </c>
      <c r="AF434">
        <f ca="1">IF(AF111=0,0,SUM(OFFSET('2.1家乡主力军'!$O178,,,AF111)))</f>
        <v>0</v>
      </c>
      <c r="AG434">
        <f ca="1">IF(AG111=0,0,SUM(OFFSET('2.1家乡主力军'!$O178,,,AG111)))</f>
        <v>0</v>
      </c>
      <c r="AH434">
        <f ca="1">IF(AH111=0,0,SUM(OFFSET('2.1家乡主力军'!$O178,,,AH111)))</f>
        <v>0</v>
      </c>
      <c r="AI434">
        <f ca="1">IF(AI111=0,0,SUM(OFFSET('2.1家乡主力军'!$O178,,,AI111)))</f>
        <v>0</v>
      </c>
      <c r="AJ434">
        <f ca="1">IF(AJ111=0,0,SUM(OFFSET('2.1家乡主力军'!$O178,,,AJ111)))</f>
        <v>0</v>
      </c>
      <c r="AK434">
        <f ca="1">IF(AK111=0,0,SUM(OFFSET('2.1家乡主力军'!$O178,,,AK111)))</f>
        <v>0</v>
      </c>
      <c r="AL434">
        <f ca="1">IF(AL111=0,0,SUM(OFFSET('2.1家乡主力军'!$O178,,,AL111)))</f>
        <v>0</v>
      </c>
      <c r="AM434">
        <f ca="1">IF(AM111=0,0,SUM(OFFSET('2.1家乡主力军'!$O178,,,AM111)))</f>
        <v>0</v>
      </c>
      <c r="AN434">
        <f ca="1">IF(AN111=0,0,SUM(OFFSET('2.1家乡主力军'!$O178,,,AN111)))</f>
        <v>0</v>
      </c>
      <c r="AO434">
        <f ca="1">IF(AO111=0,0,SUM(OFFSET('2.1家乡主力军'!$O178,,,AO111)))</f>
        <v>52.5</v>
      </c>
      <c r="AX434">
        <v>30000</v>
      </c>
      <c r="AY434" t="s">
        <v>6162</v>
      </c>
      <c r="AZ434" t="s">
        <v>5151</v>
      </c>
      <c r="BA434" t="s">
        <v>5709</v>
      </c>
      <c r="BB434">
        <v>100</v>
      </c>
      <c r="CP434" s="40">
        <v>168</v>
      </c>
      <c r="CQ434" s="41" t="s">
        <v>3708</v>
      </c>
      <c r="CR434" s="41" t="s">
        <v>5841</v>
      </c>
      <c r="CS434" s="41">
        <v>35</v>
      </c>
      <c r="CT434" s="41">
        <v>3</v>
      </c>
      <c r="CU434" s="41">
        <v>7</v>
      </c>
      <c r="CV434" s="41">
        <v>5</v>
      </c>
      <c r="CW434" s="41" t="s">
        <v>4706</v>
      </c>
      <c r="CX434" s="41" t="s">
        <v>4716</v>
      </c>
      <c r="CY434" s="40" t="s">
        <v>3096</v>
      </c>
    </row>
    <row r="435" spans="25:103" ht="14.6">
      <c r="Y435" t="s">
        <v>135</v>
      </c>
      <c r="AA435">
        <f ca="1">IF(AA112=0,0,SUM(OFFSET('2.1家乡主力军'!$N193,,,AA112)))</f>
        <v>0</v>
      </c>
      <c r="AB435">
        <f ca="1">IF(AB112=0,0,SUM(OFFSET('2.1家乡主力军'!$N193,,,AB112)))</f>
        <v>0</v>
      </c>
      <c r="AC435">
        <f ca="1">IF(AC112=0,0,SUM(OFFSET('2.1家乡主力军'!$N193,,,AC112)))</f>
        <v>0</v>
      </c>
      <c r="AD435">
        <f ca="1">IF(AD112=0,0,SUM(OFFSET('2.1家乡主力军'!$N193,,,AD112)))</f>
        <v>0</v>
      </c>
      <c r="AE435">
        <f ca="1">IF(AE112=0,0,SUM(OFFSET('2.1家乡主力军'!$N193,,,AE112)))</f>
        <v>0</v>
      </c>
      <c r="AF435">
        <f ca="1">IF(AF112=0,0,SUM(OFFSET('2.1家乡主力军'!$N193,,,AF112)))</f>
        <v>0</v>
      </c>
      <c r="AG435">
        <f ca="1">IF(AG112=0,0,SUM(OFFSET('2.1家乡主力军'!$N193,,,AG112)))</f>
        <v>0</v>
      </c>
      <c r="AH435">
        <f ca="1">IF(AH112=0,0,SUM(OFFSET('2.1家乡主力军'!$N193,,,AH112)))</f>
        <v>0</v>
      </c>
      <c r="AI435">
        <f ca="1">IF(AI112=0,0,SUM(OFFSET('2.1家乡主力军'!$N193,,,AI112)))</f>
        <v>0</v>
      </c>
      <c r="AJ435">
        <f ca="1">IF(AJ112=0,0,SUM(OFFSET('2.1家乡主力军'!$N193,,,AJ112)))</f>
        <v>0</v>
      </c>
      <c r="AK435">
        <f ca="1">IF(AK112=0,0,SUM(OFFSET('2.1家乡主力军'!$N193,,,AK112)))</f>
        <v>0</v>
      </c>
      <c r="AL435">
        <f ca="1">IF(AL112=0,0,SUM(OFFSET('2.1家乡主力军'!$N193,,,AL112)))</f>
        <v>0</v>
      </c>
      <c r="AM435">
        <f ca="1">IF(AM112=0,0,SUM(OFFSET('2.1家乡主力军'!$N193,,,AM112)))</f>
        <v>0</v>
      </c>
      <c r="AN435">
        <f ca="1">IF(AN112=0,0,SUM(OFFSET('2.1家乡主力军'!$N193,,,AN112)))</f>
        <v>0</v>
      </c>
      <c r="AO435">
        <f ca="1">IF(AO112=0,0,SUM(OFFSET('2.1家乡主力军'!$N193,,,AO112)))</f>
        <v>52.5</v>
      </c>
      <c r="AX435">
        <v>50000</v>
      </c>
      <c r="AY435" t="s">
        <v>4746</v>
      </c>
      <c r="AZ435" t="s">
        <v>4750</v>
      </c>
      <c r="BA435" t="s">
        <v>3432</v>
      </c>
      <c r="BB435" s="47">
        <v>120</v>
      </c>
      <c r="CP435" s="40">
        <v>169</v>
      </c>
      <c r="CQ435" s="41" t="s">
        <v>3642</v>
      </c>
      <c r="CR435" s="41" t="s">
        <v>5700</v>
      </c>
      <c r="CS435" s="41">
        <v>35</v>
      </c>
      <c r="CT435" s="41">
        <v>3</v>
      </c>
      <c r="CU435" s="41">
        <v>7</v>
      </c>
      <c r="CV435" s="41">
        <v>5</v>
      </c>
      <c r="CW435" s="41" t="s">
        <v>4706</v>
      </c>
      <c r="CX435" s="41" t="s">
        <v>4716</v>
      </c>
      <c r="CY435" s="40" t="s">
        <v>3096</v>
      </c>
    </row>
    <row r="436" spans="25:103" ht="14.6">
      <c r="AX436" s="11">
        <v>3000</v>
      </c>
      <c r="AY436" t="s">
        <v>6034</v>
      </c>
      <c r="AZ436" t="s">
        <v>4878</v>
      </c>
      <c r="BA436" t="s">
        <v>5467</v>
      </c>
      <c r="BB436">
        <v>20</v>
      </c>
      <c r="CP436" s="40">
        <v>170</v>
      </c>
      <c r="CQ436" s="41" t="s">
        <v>3637</v>
      </c>
      <c r="CR436" s="41" t="s">
        <v>5688</v>
      </c>
      <c r="CS436" s="41">
        <v>35</v>
      </c>
      <c r="CT436" s="41">
        <v>3</v>
      </c>
      <c r="CU436" s="41">
        <v>7</v>
      </c>
      <c r="CV436" s="41">
        <v>5</v>
      </c>
      <c r="CW436" s="41" t="s">
        <v>4706</v>
      </c>
      <c r="CX436" s="41" t="s">
        <v>4716</v>
      </c>
      <c r="CY436" s="40" t="s">
        <v>3096</v>
      </c>
    </row>
    <row r="437" spans="25:103" ht="14.6">
      <c r="Y437" s="12" t="s">
        <v>88</v>
      </c>
      <c r="AA437">
        <f ca="1">IF(AA114=0,0,SUM(OFFSET('2.2家乡支援军'!$AL6,,,AA114)))</f>
        <v>0</v>
      </c>
      <c r="AB437">
        <f ca="1">IF(AB114=0,0,SUM(OFFSET('2.2家乡支援军'!$AL6,,,AB114)))</f>
        <v>0</v>
      </c>
      <c r="AC437">
        <f ca="1">IF(AC114=0,0,SUM(OFFSET('2.2家乡支援军'!$AL6,,,AC114)))</f>
        <v>0</v>
      </c>
      <c r="AD437">
        <f ca="1">IF(AD114=0,0,SUM(OFFSET('2.2家乡支援军'!$AL6,,,AD114)))</f>
        <v>0</v>
      </c>
      <c r="AE437">
        <f ca="1">IF(AE114=0,0,SUM(OFFSET('2.2家乡支援军'!$AL6,,,AE114)))</f>
        <v>0</v>
      </c>
      <c r="AF437">
        <f ca="1">IF(AF114=0,0,SUM(OFFSET('2.2家乡支援军'!$AL6,,,AF114)))</f>
        <v>0</v>
      </c>
      <c r="AG437">
        <f ca="1">IF(AG114=0,0,SUM(OFFSET('2.2家乡支援军'!$AL6,,,AG114)))</f>
        <v>0</v>
      </c>
      <c r="AH437">
        <f ca="1">IF(AH114=0,0,SUM(OFFSET('2.2家乡支援军'!$AL6,,,AH114)))</f>
        <v>0</v>
      </c>
      <c r="AI437">
        <f ca="1">IF(AI114=0,0,SUM(OFFSET('2.2家乡支援军'!$AL6,,,AI114)))</f>
        <v>0</v>
      </c>
      <c r="AJ437">
        <f ca="1">IF(AJ114=0,0,SUM(OFFSET('2.2家乡支援军'!$AL6,,,AJ114)))</f>
        <v>0</v>
      </c>
      <c r="AK437">
        <f ca="1">IF(AK114=0,0,SUM(OFFSET('2.2家乡支援军'!$AL6,,,AK114)))</f>
        <v>0</v>
      </c>
      <c r="AL437">
        <f ca="1">IF(AL114=0,0,SUM(OFFSET('2.2家乡支援军'!$AL6,,,AL114)))</f>
        <v>12.5</v>
      </c>
      <c r="AM437">
        <f ca="1">IF(AM114=0,0,SUM(OFFSET('2.2家乡支援军'!$AL6,,,AM114)))</f>
        <v>24.5</v>
      </c>
      <c r="AN437">
        <f ca="1">IF(AN114=0,0,SUM(OFFSET('2.2家乡支援军'!$AL6,,,AN114)))</f>
        <v>24.5</v>
      </c>
      <c r="AO437">
        <f ca="1">IF(AO114=0,0,SUM(OFFSET('2.2家乡支援军'!$AL6,,,AO114)))</f>
        <v>24.5</v>
      </c>
      <c r="AX437">
        <v>7500</v>
      </c>
      <c r="AY437" s="11" t="s">
        <v>6163</v>
      </c>
      <c r="AZ437" t="s">
        <v>6132</v>
      </c>
      <c r="BA437" s="11" t="s">
        <v>4770</v>
      </c>
      <c r="BB437">
        <v>40</v>
      </c>
      <c r="CP437" s="40">
        <v>171</v>
      </c>
      <c r="CQ437" s="41" t="s">
        <v>3651</v>
      </c>
      <c r="CR437" s="41" t="s">
        <v>5718</v>
      </c>
      <c r="CS437" s="41">
        <v>35</v>
      </c>
      <c r="CT437" s="41">
        <v>3</v>
      </c>
      <c r="CU437" s="41">
        <v>7</v>
      </c>
      <c r="CV437" s="41">
        <v>5</v>
      </c>
      <c r="CW437" s="41" t="s">
        <v>4706</v>
      </c>
      <c r="CX437" s="41" t="s">
        <v>4716</v>
      </c>
      <c r="CY437" s="40" t="s">
        <v>3096</v>
      </c>
    </row>
    <row r="438" spans="25:103" ht="14.6">
      <c r="Y438" s="12" t="s">
        <v>91</v>
      </c>
      <c r="AA438">
        <f ca="1">IF(AA115=0,0,SUM(OFFSET('2.2家乡支援军'!$AT6,,,AA115)))</f>
        <v>0</v>
      </c>
      <c r="AB438">
        <f ca="1">IF(AB115=0,0,SUM(OFFSET('2.2家乡支援军'!$AT6,,,AB115)))</f>
        <v>0</v>
      </c>
      <c r="AC438">
        <f ca="1">IF(AC115=0,0,SUM(OFFSET('2.2家乡支援军'!$AT6,,,AC115)))</f>
        <v>0</v>
      </c>
      <c r="AD438">
        <f ca="1">IF(AD115=0,0,SUM(OFFSET('2.2家乡支援军'!$AT6,,,AD115)))</f>
        <v>0</v>
      </c>
      <c r="AE438">
        <f ca="1">IF(AE115=0,0,SUM(OFFSET('2.2家乡支援军'!$AT6,,,AE115)))</f>
        <v>0</v>
      </c>
      <c r="AF438">
        <f ca="1">IF(AF115=0,0,SUM(OFFSET('2.2家乡支援军'!$AT6,,,AF115)))</f>
        <v>0</v>
      </c>
      <c r="AG438">
        <f ca="1">IF(AG115=0,0,SUM(OFFSET('2.2家乡支援军'!$AT6,,,AG115)))</f>
        <v>0</v>
      </c>
      <c r="AH438">
        <f ca="1">IF(AH115=0,0,SUM(OFFSET('2.2家乡支援军'!$AT6,,,AH115)))</f>
        <v>0</v>
      </c>
      <c r="AI438">
        <f ca="1">IF(AI115=0,0,SUM(OFFSET('2.2家乡支援军'!$AT6,,,AI115)))</f>
        <v>0</v>
      </c>
      <c r="AJ438">
        <f ca="1">IF(AJ115=0,0,SUM(OFFSET('2.2家乡支援军'!$AT6,,,AJ115)))</f>
        <v>0</v>
      </c>
      <c r="AK438">
        <f ca="1">IF(AK115=0,0,SUM(OFFSET('2.2家乡支援军'!$AT6,,,AK115)))</f>
        <v>0</v>
      </c>
      <c r="AL438">
        <f ca="1">IF(AL115=0,0,SUM(OFFSET('2.2家乡支援军'!$AT6,,,AL115)))</f>
        <v>12.5</v>
      </c>
      <c r="AM438">
        <f ca="1">IF(AM115=0,0,SUM(OFFSET('2.2家乡支援军'!$AT6,,,AM115)))</f>
        <v>24.5</v>
      </c>
      <c r="AN438">
        <f ca="1">IF(AN115=0,0,SUM(OFFSET('2.2家乡支援军'!$AT6,,,AN115)))</f>
        <v>24.5</v>
      </c>
      <c r="AO438">
        <f ca="1">IF(AO115=0,0,SUM(OFFSET('2.2家乡支援军'!$AT6,,,AO115)))</f>
        <v>24.5</v>
      </c>
      <c r="AX438">
        <v>12000</v>
      </c>
      <c r="AY438" t="s">
        <v>4689</v>
      </c>
      <c r="AZ438" t="s">
        <v>6133</v>
      </c>
      <c r="BA438" t="s">
        <v>6134</v>
      </c>
      <c r="BB438">
        <v>60</v>
      </c>
      <c r="CP438" s="40">
        <v>172</v>
      </c>
      <c r="CQ438" s="41" t="s">
        <v>3656</v>
      </c>
      <c r="CR438" s="41" t="s">
        <v>6164</v>
      </c>
      <c r="CS438" s="41">
        <v>35</v>
      </c>
      <c r="CT438" s="41">
        <v>3</v>
      </c>
      <c r="CU438" s="41">
        <v>7</v>
      </c>
      <c r="CV438" s="41">
        <v>5</v>
      </c>
      <c r="CW438" s="41" t="s">
        <v>4706</v>
      </c>
      <c r="CX438" s="41" t="s">
        <v>4716</v>
      </c>
      <c r="CY438" s="40" t="s">
        <v>3096</v>
      </c>
    </row>
    <row r="439" spans="25:103" ht="14.6">
      <c r="Y439" s="12" t="s">
        <v>94</v>
      </c>
      <c r="AA439">
        <f ca="1">IF(AA116=0,0,SUM(OFFSET('2.2家乡支援军'!$AL15,,,AA116)))</f>
        <v>0</v>
      </c>
      <c r="AB439">
        <f ca="1">IF(AB116=0,0,SUM(OFFSET('2.2家乡支援军'!$AL15,,,AB116)))</f>
        <v>0</v>
      </c>
      <c r="AC439">
        <f ca="1">IF(AC116=0,0,SUM(OFFSET('2.2家乡支援军'!$AL15,,,AC116)))</f>
        <v>0</v>
      </c>
      <c r="AD439">
        <f ca="1">IF(AD116=0,0,SUM(OFFSET('2.2家乡支援军'!$AL15,,,AD116)))</f>
        <v>0</v>
      </c>
      <c r="AE439">
        <f ca="1">IF(AE116=0,0,SUM(OFFSET('2.2家乡支援军'!$AL15,,,AE116)))</f>
        <v>0</v>
      </c>
      <c r="AF439">
        <f ca="1">IF(AF116=0,0,SUM(OFFSET('2.2家乡支援军'!$AL15,,,AF116)))</f>
        <v>0</v>
      </c>
      <c r="AG439">
        <f ca="1">IF(AG116=0,0,SUM(OFFSET('2.2家乡支援军'!$AL15,,,AG116)))</f>
        <v>0</v>
      </c>
      <c r="AH439">
        <f ca="1">IF(AH116=0,0,SUM(OFFSET('2.2家乡支援军'!$AL15,,,AH116)))</f>
        <v>0</v>
      </c>
      <c r="AI439">
        <f ca="1">IF(AI116=0,0,SUM(OFFSET('2.2家乡支援军'!$AL15,,,AI116)))</f>
        <v>0</v>
      </c>
      <c r="AJ439">
        <f ca="1">IF(AJ116=0,0,SUM(OFFSET('2.2家乡支援军'!$AL15,,,AJ116)))</f>
        <v>0</v>
      </c>
      <c r="AK439">
        <f ca="1">IF(AK116=0,0,SUM(OFFSET('2.2家乡支援军'!$AL15,,,AK116)))</f>
        <v>0</v>
      </c>
      <c r="AL439">
        <f ca="1">IF(AL116=0,0,SUM(OFFSET('2.2家乡支援军'!$AL15,,,AL116)))</f>
        <v>12.5</v>
      </c>
      <c r="AM439">
        <f ca="1">IF(AM116=0,0,SUM(OFFSET('2.2家乡支援军'!$AL15,,,AM116)))</f>
        <v>24.5</v>
      </c>
      <c r="AN439">
        <f ca="1">IF(AN116=0,0,SUM(OFFSET('2.2家乡支援军'!$AL15,,,AN116)))</f>
        <v>24.5</v>
      </c>
      <c r="AO439">
        <f ca="1">IF(AO116=0,0,SUM(OFFSET('2.2家乡支援军'!$AL15,,,AO116)))</f>
        <v>24.5</v>
      </c>
      <c r="AX439">
        <v>18000</v>
      </c>
      <c r="AY439" t="s">
        <v>6165</v>
      </c>
      <c r="AZ439" t="s">
        <v>5885</v>
      </c>
      <c r="BA439" t="s">
        <v>5693</v>
      </c>
      <c r="BB439">
        <v>80</v>
      </c>
      <c r="CP439" s="40">
        <v>173</v>
      </c>
      <c r="CQ439" s="41" t="s">
        <v>3661</v>
      </c>
      <c r="CR439" s="41" t="s">
        <v>5737</v>
      </c>
      <c r="CS439" s="41">
        <v>35</v>
      </c>
      <c r="CT439" s="41">
        <v>3</v>
      </c>
      <c r="CU439" s="41">
        <v>7</v>
      </c>
      <c r="CV439" s="41">
        <v>5</v>
      </c>
      <c r="CW439" s="41" t="s">
        <v>4706</v>
      </c>
      <c r="CX439" s="41" t="s">
        <v>4716</v>
      </c>
      <c r="CY439" s="40" t="s">
        <v>3096</v>
      </c>
    </row>
    <row r="440" spans="25:103" ht="14.6">
      <c r="Y440" s="12" t="s">
        <v>97</v>
      </c>
      <c r="AA440">
        <f ca="1">IF(AA117=0,0,SUM(OFFSET('2.2家乡支援军'!$AU15,,,AA117)))</f>
        <v>0</v>
      </c>
      <c r="AB440">
        <f ca="1">IF(AB117=0,0,SUM(OFFSET('2.2家乡支援军'!$AU15,,,AB117)))</f>
        <v>0</v>
      </c>
      <c r="AC440">
        <f ca="1">IF(AC117=0,0,SUM(OFFSET('2.2家乡支援军'!$AU15,,,AC117)))</f>
        <v>0</v>
      </c>
      <c r="AD440">
        <f ca="1">IF(AD117=0,0,SUM(OFFSET('2.2家乡支援军'!$AU15,,,AD117)))</f>
        <v>0</v>
      </c>
      <c r="AE440">
        <f ca="1">IF(AE117=0,0,SUM(OFFSET('2.2家乡支援军'!$AU15,,,AE117)))</f>
        <v>0</v>
      </c>
      <c r="AF440">
        <f ca="1">IF(AF117=0,0,SUM(OFFSET('2.2家乡支援军'!$AU15,,,AF117)))</f>
        <v>0</v>
      </c>
      <c r="AG440">
        <f ca="1">IF(AG117=0,0,SUM(OFFSET('2.2家乡支援军'!$AU15,,,AG117)))</f>
        <v>0</v>
      </c>
      <c r="AH440">
        <f ca="1">IF(AH117=0,0,SUM(OFFSET('2.2家乡支援军'!$AU15,,,AH117)))</f>
        <v>0</v>
      </c>
      <c r="AI440">
        <f ca="1">IF(AI117=0,0,SUM(OFFSET('2.2家乡支援军'!$AU15,,,AI117)))</f>
        <v>0</v>
      </c>
      <c r="AJ440">
        <f ca="1">IF(AJ117=0,0,SUM(OFFSET('2.2家乡支援军'!$AU15,,,AJ117)))</f>
        <v>0</v>
      </c>
      <c r="AK440">
        <f ca="1">IF(AK117=0,0,SUM(OFFSET('2.2家乡支援军'!$AU15,,,AK117)))</f>
        <v>0</v>
      </c>
      <c r="AL440">
        <f ca="1">IF(AL117=0,0,SUM(OFFSET('2.2家乡支援军'!$AU15,,,AL117)))</f>
        <v>0</v>
      </c>
      <c r="AM440">
        <f ca="1">IF(AM117=0,0,SUM(OFFSET('2.2家乡支援军'!$AU15,,,AM117)))</f>
        <v>28.75</v>
      </c>
      <c r="AN440">
        <f ca="1">IF(AN117=0,0,SUM(OFFSET('2.2家乡支援军'!$AU15,,,AN117)))</f>
        <v>28.75</v>
      </c>
      <c r="AO440">
        <f ca="1">IF(AO117=0,0,SUM(OFFSET('2.2家乡支援军'!$AU15,,,AO117)))</f>
        <v>28.75</v>
      </c>
      <c r="AX440">
        <v>30000</v>
      </c>
      <c r="AY440" t="s">
        <v>6112</v>
      </c>
      <c r="AZ440" t="s">
        <v>5164</v>
      </c>
      <c r="BA440" t="s">
        <v>4855</v>
      </c>
      <c r="BB440">
        <v>100</v>
      </c>
      <c r="CP440" s="40">
        <v>174</v>
      </c>
      <c r="CQ440" s="41" t="s">
        <v>3666</v>
      </c>
      <c r="CR440" s="41" t="s">
        <v>5751</v>
      </c>
      <c r="CS440" s="41">
        <v>35</v>
      </c>
      <c r="CT440" s="41">
        <v>3</v>
      </c>
      <c r="CU440" s="41">
        <v>7</v>
      </c>
      <c r="CV440" s="41">
        <v>5</v>
      </c>
      <c r="CW440" s="41" t="s">
        <v>4706</v>
      </c>
      <c r="CX440" s="41" t="s">
        <v>4716</v>
      </c>
      <c r="CY440" s="40" t="s">
        <v>3096</v>
      </c>
    </row>
    <row r="441" spans="25:103" ht="14.6">
      <c r="Y441" s="12" t="s">
        <v>102</v>
      </c>
      <c r="AA441">
        <f ca="1">IF(AA118=0,0,SUM(OFFSET('2.2家乡支援军'!$AL26,,,AA118)))</f>
        <v>0</v>
      </c>
      <c r="AB441">
        <f ca="1">IF(AB118=0,0,SUM(OFFSET('2.2家乡支援军'!$AL26,,,AB118)))</f>
        <v>0</v>
      </c>
      <c r="AC441">
        <f ca="1">IF(AC118=0,0,SUM(OFFSET('2.2家乡支援军'!$AL26,,,AC118)))</f>
        <v>0</v>
      </c>
      <c r="AD441">
        <f ca="1">IF(AD118=0,0,SUM(OFFSET('2.2家乡支援军'!$AL26,,,AD118)))</f>
        <v>0</v>
      </c>
      <c r="AE441">
        <f ca="1">IF(AE118=0,0,SUM(OFFSET('2.2家乡支援军'!$AL26,,,AE118)))</f>
        <v>0</v>
      </c>
      <c r="AF441">
        <f ca="1">IF(AF118=0,0,SUM(OFFSET('2.2家乡支援军'!$AL26,,,AF118)))</f>
        <v>0</v>
      </c>
      <c r="AG441">
        <f ca="1">IF(AG118=0,0,SUM(OFFSET('2.2家乡支援军'!$AL26,,,AG118)))</f>
        <v>0</v>
      </c>
      <c r="AH441">
        <f ca="1">IF(AH118=0,0,SUM(OFFSET('2.2家乡支援军'!$AL26,,,AH118)))</f>
        <v>0</v>
      </c>
      <c r="AI441">
        <f ca="1">IF(AI118=0,0,SUM(OFFSET('2.2家乡支援军'!$AL26,,,AI118)))</f>
        <v>0</v>
      </c>
      <c r="AJ441">
        <f ca="1">IF(AJ118=0,0,SUM(OFFSET('2.2家乡支援军'!$AL26,,,AJ118)))</f>
        <v>0</v>
      </c>
      <c r="AK441">
        <f ca="1">IF(AK118=0,0,SUM(OFFSET('2.2家乡支援军'!$AL26,,,AK118)))</f>
        <v>0</v>
      </c>
      <c r="AL441">
        <f ca="1">IF(AL118=0,0,SUM(OFFSET('2.2家乡支援军'!$AL26,,,AL118)))</f>
        <v>0</v>
      </c>
      <c r="AM441">
        <f ca="1">IF(AM118=0,0,SUM(OFFSET('2.2家乡支援军'!$AL26,,,AM118)))</f>
        <v>30</v>
      </c>
      <c r="AN441">
        <f ca="1">IF(AN118=0,0,SUM(OFFSET('2.2家乡支援军'!$AL26,,,AN118)))</f>
        <v>30</v>
      </c>
      <c r="AO441">
        <f ca="1">IF(AO118=0,0,SUM(OFFSET('2.2家乡支援军'!$AL26,,,AO118)))</f>
        <v>30</v>
      </c>
      <c r="AX441">
        <v>50000</v>
      </c>
      <c r="AY441" t="s">
        <v>4865</v>
      </c>
      <c r="AZ441" t="s">
        <v>4866</v>
      </c>
      <c r="BA441" t="s">
        <v>3432</v>
      </c>
      <c r="BB441" s="47">
        <v>120</v>
      </c>
      <c r="CP441" s="40">
        <v>175</v>
      </c>
      <c r="CQ441" s="41" t="s">
        <v>3671</v>
      </c>
      <c r="CR441" s="41" t="s">
        <v>5759</v>
      </c>
      <c r="CS441" s="41">
        <v>35</v>
      </c>
      <c r="CT441" s="41">
        <v>3</v>
      </c>
      <c r="CU441" s="41">
        <v>7</v>
      </c>
      <c r="CV441" s="41">
        <v>5</v>
      </c>
      <c r="CW441" s="41" t="s">
        <v>4706</v>
      </c>
      <c r="CX441" s="41" t="s">
        <v>4716</v>
      </c>
      <c r="CY441" s="40" t="s">
        <v>3096</v>
      </c>
    </row>
    <row r="442" spans="25:103" ht="14.6">
      <c r="Y442" s="12" t="s">
        <v>106</v>
      </c>
      <c r="AA442">
        <f ca="1">IF(AA119=0,0,SUM(OFFSET('2.2家乡支援军'!$AW26,,,AA119)))</f>
        <v>0</v>
      </c>
      <c r="AB442">
        <f ca="1">IF(AB119=0,0,SUM(OFFSET('2.2家乡支援军'!$AW26,,,AB119)))</f>
        <v>0</v>
      </c>
      <c r="AC442">
        <f ca="1">IF(AC119=0,0,SUM(OFFSET('2.2家乡支援军'!$AW26,,,AC119)))</f>
        <v>0</v>
      </c>
      <c r="AD442">
        <f ca="1">IF(AD119=0,0,SUM(OFFSET('2.2家乡支援军'!$AW26,,,AD119)))</f>
        <v>0</v>
      </c>
      <c r="AE442">
        <f ca="1">IF(AE119=0,0,SUM(OFFSET('2.2家乡支援军'!$AW26,,,AE119)))</f>
        <v>0</v>
      </c>
      <c r="AF442">
        <f ca="1">IF(AF119=0,0,SUM(OFFSET('2.2家乡支援军'!$AW26,,,AF119)))</f>
        <v>0</v>
      </c>
      <c r="AG442">
        <f ca="1">IF(AG119=0,0,SUM(OFFSET('2.2家乡支援军'!$AW26,,,AG119)))</f>
        <v>0</v>
      </c>
      <c r="AH442">
        <f ca="1">IF(AH119=0,0,SUM(OFFSET('2.2家乡支援军'!$AW26,,,AH119)))</f>
        <v>0</v>
      </c>
      <c r="AI442">
        <f ca="1">IF(AI119=0,0,SUM(OFFSET('2.2家乡支援军'!$AW26,,,AI119)))</f>
        <v>0</v>
      </c>
      <c r="AJ442">
        <f ca="1">IF(AJ119=0,0,SUM(OFFSET('2.2家乡支援军'!$AW26,,,AJ119)))</f>
        <v>0</v>
      </c>
      <c r="AK442">
        <f ca="1">IF(AK119=0,0,SUM(OFFSET('2.2家乡支援军'!$AW26,,,AK119)))</f>
        <v>0</v>
      </c>
      <c r="AL442">
        <f ca="1">IF(AL119=0,0,SUM(OFFSET('2.2家乡支援军'!$AW26,,,AL119)))</f>
        <v>0</v>
      </c>
      <c r="AM442">
        <f ca="1">IF(AM119=0,0,SUM(OFFSET('2.2家乡支援军'!$AW26,,,AM119)))</f>
        <v>0</v>
      </c>
      <c r="AN442">
        <f ca="1">IF(AN119=0,0,SUM(OFFSET('2.2家乡支援军'!$AW26,,,AN119)))</f>
        <v>38</v>
      </c>
      <c r="AO442">
        <f ca="1">IF(AO119=0,0,SUM(OFFSET('2.2家乡支援军'!$AW26,,,AO119)))</f>
        <v>38</v>
      </c>
      <c r="AX442" s="11">
        <v>3000</v>
      </c>
      <c r="AY442" t="s">
        <v>6166</v>
      </c>
      <c r="AZ442" t="s">
        <v>4878</v>
      </c>
      <c r="BA442" t="s">
        <v>4770</v>
      </c>
      <c r="BB442">
        <v>20</v>
      </c>
      <c r="CP442" s="40">
        <v>176</v>
      </c>
      <c r="CQ442" s="41" t="s">
        <v>3676</v>
      </c>
      <c r="CR442" s="41" t="s">
        <v>5775</v>
      </c>
      <c r="CS442" s="41">
        <v>35</v>
      </c>
      <c r="CT442" s="41">
        <v>3</v>
      </c>
      <c r="CU442" s="41">
        <v>7</v>
      </c>
      <c r="CV442" s="41">
        <v>5</v>
      </c>
      <c r="CW442" s="41" t="s">
        <v>4706</v>
      </c>
      <c r="CX442" s="41" t="s">
        <v>4716</v>
      </c>
      <c r="CY442" s="40" t="s">
        <v>3096</v>
      </c>
    </row>
    <row r="443" spans="25:103" ht="14.6">
      <c r="Y443" s="12" t="s">
        <v>5541</v>
      </c>
      <c r="AA443">
        <f ca="1">IF(AA120=0,0,SUM(OFFSET('2.2家乡支援军'!$AK36,,,AA120)))</f>
        <v>0</v>
      </c>
      <c r="AB443">
        <f ca="1">IF(AB120=0,0,SUM(OFFSET('2.2家乡支援军'!$AK36,,,AB120)))</f>
        <v>0</v>
      </c>
      <c r="AC443">
        <f ca="1">IF(AC120=0,0,SUM(OFFSET('2.2家乡支援军'!$AK36,,,AC120)))</f>
        <v>0</v>
      </c>
      <c r="AD443">
        <f ca="1">IF(AD120=0,0,SUM(OFFSET('2.2家乡支援军'!$AK36,,,AD120)))</f>
        <v>0</v>
      </c>
      <c r="AE443">
        <f ca="1">IF(AE120=0,0,SUM(OFFSET('2.2家乡支援军'!$AK36,,,AE120)))</f>
        <v>0</v>
      </c>
      <c r="AF443">
        <f ca="1">IF(AF120=0,0,SUM(OFFSET('2.2家乡支援军'!$AK36,,,AF120)))</f>
        <v>0</v>
      </c>
      <c r="AG443">
        <f ca="1">IF(AG120=0,0,SUM(OFFSET('2.2家乡支援军'!$AK36,,,AG120)))</f>
        <v>0</v>
      </c>
      <c r="AH443">
        <f ca="1">IF(AH120=0,0,SUM(OFFSET('2.2家乡支援军'!$AK36,,,AH120)))</f>
        <v>0</v>
      </c>
      <c r="AI443">
        <f ca="1">IF(AI120=0,0,SUM(OFFSET('2.2家乡支援军'!$AK36,,,AI120)))</f>
        <v>0</v>
      </c>
      <c r="AJ443">
        <f ca="1">IF(AJ120=0,0,SUM(OFFSET('2.2家乡支援军'!$AK36,,,AJ120)))</f>
        <v>0</v>
      </c>
      <c r="AK443">
        <f ca="1">IF(AK120=0,0,SUM(OFFSET('2.2家乡支援军'!$AK36,,,AK120)))</f>
        <v>0</v>
      </c>
      <c r="AL443">
        <f ca="1">IF(AL120=0,0,SUM(OFFSET('2.2家乡支援军'!$AK36,,,AL120)))</f>
        <v>0</v>
      </c>
      <c r="AM443">
        <f ca="1">IF(AM120=0,0,SUM(OFFSET('2.2家乡支援军'!$AK36,,,AM120)))</f>
        <v>0</v>
      </c>
      <c r="AN443">
        <f ca="1">IF(AN120=0,0,SUM(OFFSET('2.2家乡支援军'!$AK36,,,AN120)))</f>
        <v>0</v>
      </c>
      <c r="AO443">
        <f ca="1">IF(AO120=0,0,SUM(OFFSET('2.2家乡支援军'!$AK36,,,AO120)))</f>
        <v>40</v>
      </c>
      <c r="AX443">
        <v>7500</v>
      </c>
      <c r="AY443" t="s">
        <v>6151</v>
      </c>
      <c r="AZ443" t="s">
        <v>4689</v>
      </c>
      <c r="BA443" t="s">
        <v>5467</v>
      </c>
      <c r="BB443">
        <v>40</v>
      </c>
      <c r="CP443" s="40">
        <v>177</v>
      </c>
      <c r="CQ443" s="41" t="s">
        <v>3681</v>
      </c>
      <c r="CR443" s="41" t="s">
        <v>5790</v>
      </c>
      <c r="CS443" s="41">
        <v>35</v>
      </c>
      <c r="CT443" s="41">
        <v>3</v>
      </c>
      <c r="CU443" s="41">
        <v>7</v>
      </c>
      <c r="CV443" s="41">
        <v>5</v>
      </c>
      <c r="CW443" s="41" t="s">
        <v>4706</v>
      </c>
      <c r="CX443" s="41" t="s">
        <v>4716</v>
      </c>
      <c r="CY443" s="40" t="s">
        <v>3096</v>
      </c>
    </row>
    <row r="444" spans="25:103" ht="14.6">
      <c r="AX444">
        <v>12000</v>
      </c>
      <c r="AY444" t="s">
        <v>4824</v>
      </c>
      <c r="AZ444" t="s">
        <v>4844</v>
      </c>
      <c r="BA444" t="s">
        <v>4795</v>
      </c>
      <c r="BB444">
        <v>60</v>
      </c>
      <c r="CP444" s="40">
        <v>178</v>
      </c>
      <c r="CQ444" s="41" t="s">
        <v>3686</v>
      </c>
      <c r="CR444" s="41" t="s">
        <v>5807</v>
      </c>
      <c r="CS444" s="41">
        <v>35</v>
      </c>
      <c r="CT444" s="41">
        <v>3</v>
      </c>
      <c r="CU444" s="41">
        <v>7</v>
      </c>
      <c r="CV444" s="41">
        <v>5</v>
      </c>
      <c r="CW444" s="41" t="s">
        <v>4706</v>
      </c>
      <c r="CX444" s="41" t="s">
        <v>4716</v>
      </c>
      <c r="CY444" s="40" t="s">
        <v>3096</v>
      </c>
    </row>
    <row r="445" spans="25:103" ht="14.6">
      <c r="AX445">
        <v>18000</v>
      </c>
      <c r="AY445" t="s">
        <v>6167</v>
      </c>
      <c r="AZ445" t="s">
        <v>5885</v>
      </c>
      <c r="BA445" t="s">
        <v>4845</v>
      </c>
      <c r="BB445">
        <v>80</v>
      </c>
      <c r="CP445" s="40">
        <v>179</v>
      </c>
      <c r="CQ445" s="41" t="s">
        <v>3701</v>
      </c>
      <c r="CR445" s="41" t="s">
        <v>5833</v>
      </c>
      <c r="CS445" s="41">
        <v>35</v>
      </c>
      <c r="CT445" s="41">
        <v>3</v>
      </c>
      <c r="CU445" s="41">
        <v>7</v>
      </c>
      <c r="CV445" s="41">
        <v>5</v>
      </c>
      <c r="CW445" s="41" t="s">
        <v>4706</v>
      </c>
      <c r="CX445" s="41" t="s">
        <v>4716</v>
      </c>
      <c r="CY445" s="40" t="s">
        <v>3096</v>
      </c>
    </row>
    <row r="446" spans="25:103" ht="14.6">
      <c r="AX446">
        <v>30000</v>
      </c>
      <c r="AY446" t="s">
        <v>6168</v>
      </c>
      <c r="AZ446" t="s">
        <v>5164</v>
      </c>
      <c r="BA446" t="s">
        <v>5709</v>
      </c>
      <c r="BB446">
        <v>100</v>
      </c>
      <c r="CP446" s="40">
        <v>180</v>
      </c>
      <c r="CQ446" s="41" t="s">
        <v>3708</v>
      </c>
      <c r="CR446" s="41" t="s">
        <v>5846</v>
      </c>
      <c r="CS446" s="41">
        <v>275</v>
      </c>
      <c r="CT446" s="41">
        <v>1</v>
      </c>
      <c r="CU446" s="41">
        <v>30</v>
      </c>
      <c r="CV446" s="41">
        <v>30</v>
      </c>
      <c r="CW446" s="41" t="s">
        <v>4706</v>
      </c>
      <c r="CX446" s="41" t="s">
        <v>4716</v>
      </c>
      <c r="CY446" s="40" t="s">
        <v>6124</v>
      </c>
    </row>
    <row r="447" spans="25:103" ht="14.6">
      <c r="AX447">
        <v>50000</v>
      </c>
      <c r="AY447" t="s">
        <v>4751</v>
      </c>
      <c r="AZ447" t="s">
        <v>4750</v>
      </c>
      <c r="BA447" t="s">
        <v>3432</v>
      </c>
      <c r="BB447" s="47">
        <v>120</v>
      </c>
      <c r="CP447" s="40">
        <v>181</v>
      </c>
      <c r="CQ447" s="41" t="s">
        <v>3642</v>
      </c>
      <c r="CR447" s="41" t="s">
        <v>6169</v>
      </c>
      <c r="CS447" s="41">
        <v>275</v>
      </c>
      <c r="CT447" s="41">
        <v>1</v>
      </c>
      <c r="CU447" s="41">
        <v>30</v>
      </c>
      <c r="CV447" s="41">
        <v>30</v>
      </c>
      <c r="CW447" s="41" t="s">
        <v>4706</v>
      </c>
      <c r="CX447" s="41" t="s">
        <v>4716</v>
      </c>
      <c r="CY447" s="40" t="s">
        <v>6124</v>
      </c>
    </row>
    <row r="448" spans="25:103" ht="14.6">
      <c r="AX448" s="11">
        <v>3000</v>
      </c>
      <c r="AY448" t="s">
        <v>6170</v>
      </c>
      <c r="AZ448" t="s">
        <v>4878</v>
      </c>
      <c r="BA448" t="s">
        <v>5467</v>
      </c>
      <c r="BB448">
        <v>20</v>
      </c>
      <c r="CP448" s="40">
        <v>182</v>
      </c>
      <c r="CQ448" s="41" t="s">
        <v>3637</v>
      </c>
      <c r="CR448" s="41" t="s">
        <v>5697</v>
      </c>
      <c r="CS448" s="41">
        <v>275</v>
      </c>
      <c r="CT448" s="41">
        <v>1</v>
      </c>
      <c r="CU448" s="41">
        <v>30</v>
      </c>
      <c r="CV448" s="41">
        <v>30</v>
      </c>
      <c r="CW448" s="41" t="s">
        <v>4706</v>
      </c>
      <c r="CX448" s="41" t="s">
        <v>4716</v>
      </c>
      <c r="CY448" s="40" t="s">
        <v>6124</v>
      </c>
    </row>
    <row r="449" spans="50:103" ht="14.6">
      <c r="AX449">
        <v>7500</v>
      </c>
      <c r="AY449" t="s">
        <v>6128</v>
      </c>
      <c r="AZ449" t="s">
        <v>6099</v>
      </c>
      <c r="BA449" s="11" t="s">
        <v>4770</v>
      </c>
      <c r="BB449">
        <v>40</v>
      </c>
      <c r="CP449" s="40">
        <v>183</v>
      </c>
      <c r="CQ449" s="41" t="s">
        <v>3651</v>
      </c>
      <c r="CR449" s="41" t="s">
        <v>5725</v>
      </c>
      <c r="CS449" s="41">
        <v>200</v>
      </c>
      <c r="CT449" s="41">
        <v>1</v>
      </c>
      <c r="CU449" s="41">
        <v>30</v>
      </c>
      <c r="CV449" s="41">
        <v>20</v>
      </c>
      <c r="CW449" s="41" t="s">
        <v>4706</v>
      </c>
      <c r="CX449" s="41" t="s">
        <v>4716</v>
      </c>
      <c r="CY449" s="40" t="s">
        <v>6124</v>
      </c>
    </row>
    <row r="450" spans="50:103" ht="14.6">
      <c r="AX450">
        <v>12000</v>
      </c>
      <c r="AY450" t="s">
        <v>4824</v>
      </c>
      <c r="AZ450" t="s">
        <v>6133</v>
      </c>
      <c r="BA450" t="s">
        <v>4795</v>
      </c>
      <c r="BB450">
        <v>60</v>
      </c>
      <c r="CP450" s="40">
        <v>184</v>
      </c>
      <c r="CQ450" s="41" t="s">
        <v>3656</v>
      </c>
      <c r="CR450" s="41" t="s">
        <v>6171</v>
      </c>
      <c r="CS450" s="41">
        <v>275</v>
      </c>
      <c r="CT450" s="41">
        <v>1</v>
      </c>
      <c r="CU450" s="41">
        <v>30</v>
      </c>
      <c r="CV450" s="41">
        <v>30</v>
      </c>
      <c r="CW450" s="41" t="s">
        <v>4706</v>
      </c>
      <c r="CX450" s="41" t="s">
        <v>4716</v>
      </c>
      <c r="CY450" s="40" t="s">
        <v>6124</v>
      </c>
    </row>
    <row r="451" spans="50:103" ht="14.6">
      <c r="AX451">
        <v>18000</v>
      </c>
      <c r="AY451" t="s">
        <v>6111</v>
      </c>
      <c r="AZ451" t="s">
        <v>6132</v>
      </c>
      <c r="BA451" t="s">
        <v>4689</v>
      </c>
      <c r="BB451">
        <v>80</v>
      </c>
      <c r="CP451" s="40">
        <v>185</v>
      </c>
      <c r="CQ451" s="41" t="s">
        <v>3661</v>
      </c>
      <c r="CR451" s="41" t="s">
        <v>6172</v>
      </c>
      <c r="CS451" s="41">
        <v>275</v>
      </c>
      <c r="CT451" s="41">
        <v>1</v>
      </c>
      <c r="CU451" s="41">
        <v>30</v>
      </c>
      <c r="CV451" s="41">
        <v>30</v>
      </c>
      <c r="CW451" s="41" t="s">
        <v>4706</v>
      </c>
      <c r="CX451" s="41" t="s">
        <v>4716</v>
      </c>
      <c r="CY451" s="40" t="s">
        <v>6124</v>
      </c>
    </row>
    <row r="452" spans="50:103" ht="14.6">
      <c r="AX452">
        <v>30000</v>
      </c>
      <c r="AY452" t="s">
        <v>6173</v>
      </c>
      <c r="AZ452" t="s">
        <v>5164</v>
      </c>
      <c r="BA452" t="s">
        <v>4855</v>
      </c>
      <c r="BB452">
        <v>100</v>
      </c>
      <c r="CP452" s="40">
        <v>186</v>
      </c>
      <c r="CQ452" s="41" t="s">
        <v>3666</v>
      </c>
      <c r="CR452" s="41" t="s">
        <v>5757</v>
      </c>
      <c r="CS452" s="41">
        <v>275</v>
      </c>
      <c r="CT452" s="41">
        <v>1</v>
      </c>
      <c r="CU452" s="41">
        <v>30</v>
      </c>
      <c r="CV452" s="41">
        <v>30</v>
      </c>
      <c r="CW452" s="41" t="s">
        <v>4706</v>
      </c>
      <c r="CX452" s="41" t="s">
        <v>4716</v>
      </c>
      <c r="CY452" s="40" t="s">
        <v>6124</v>
      </c>
    </row>
    <row r="453" spans="50:103" ht="14.6">
      <c r="AX453">
        <v>50000</v>
      </c>
      <c r="AY453" t="s">
        <v>4746</v>
      </c>
      <c r="AZ453" t="s">
        <v>4866</v>
      </c>
      <c r="BA453" t="s">
        <v>3432</v>
      </c>
      <c r="BB453" s="47">
        <v>120</v>
      </c>
      <c r="CP453" s="40">
        <v>187</v>
      </c>
      <c r="CQ453" s="41" t="s">
        <v>3671</v>
      </c>
      <c r="CR453" s="41" t="s">
        <v>5769</v>
      </c>
      <c r="CS453" s="41">
        <v>200</v>
      </c>
      <c r="CT453" s="41">
        <v>1</v>
      </c>
      <c r="CU453" s="41">
        <v>30</v>
      </c>
      <c r="CV453" s="41">
        <v>20</v>
      </c>
      <c r="CW453" s="41" t="s">
        <v>4706</v>
      </c>
      <c r="CX453" s="41" t="s">
        <v>4716</v>
      </c>
      <c r="CY453" s="40" t="s">
        <v>6124</v>
      </c>
    </row>
    <row r="454" spans="50:103" ht="14.6">
      <c r="AX454" s="11">
        <v>3000</v>
      </c>
      <c r="AY454" t="s">
        <v>6174</v>
      </c>
      <c r="AZ454" t="s">
        <v>4878</v>
      </c>
      <c r="BA454" t="s">
        <v>5467</v>
      </c>
      <c r="BB454">
        <v>20</v>
      </c>
      <c r="CP454" s="40">
        <v>188</v>
      </c>
      <c r="CQ454" s="41" t="s">
        <v>3676</v>
      </c>
      <c r="CR454" s="41" t="s">
        <v>5785</v>
      </c>
      <c r="CS454" s="41">
        <v>275</v>
      </c>
      <c r="CT454" s="41">
        <v>1</v>
      </c>
      <c r="CU454" s="41">
        <v>30</v>
      </c>
      <c r="CV454" s="41">
        <v>30</v>
      </c>
      <c r="CW454" s="41" t="s">
        <v>4706</v>
      </c>
      <c r="CX454" s="41" t="s">
        <v>4716</v>
      </c>
      <c r="CY454" s="40" t="s">
        <v>6124</v>
      </c>
    </row>
    <row r="455" spans="50:103" ht="14.6">
      <c r="AX455">
        <v>7500</v>
      </c>
      <c r="AY455" t="s">
        <v>4910</v>
      </c>
      <c r="AZ455" t="s">
        <v>4689</v>
      </c>
      <c r="BA455" s="11" t="s">
        <v>4770</v>
      </c>
      <c r="BB455">
        <v>40</v>
      </c>
      <c r="CP455" s="40">
        <v>189</v>
      </c>
      <c r="CQ455" s="41" t="s">
        <v>3681</v>
      </c>
      <c r="CR455" s="41" t="s">
        <v>5802</v>
      </c>
      <c r="CS455" s="41">
        <v>275</v>
      </c>
      <c r="CT455" s="41">
        <v>1</v>
      </c>
      <c r="CU455" s="41">
        <v>30</v>
      </c>
      <c r="CV455" s="41">
        <v>30</v>
      </c>
      <c r="CW455" s="41" t="s">
        <v>4706</v>
      </c>
      <c r="CX455" s="41" t="s">
        <v>4716</v>
      </c>
      <c r="CY455" s="40" t="s">
        <v>6124</v>
      </c>
    </row>
    <row r="456" spans="50:103" ht="14.6">
      <c r="AX456">
        <v>12000</v>
      </c>
      <c r="AY456" t="s">
        <v>4824</v>
      </c>
      <c r="AZ456" t="s">
        <v>4844</v>
      </c>
      <c r="BA456" t="s">
        <v>4795</v>
      </c>
      <c r="BB456">
        <v>60</v>
      </c>
      <c r="CP456" s="40">
        <v>190</v>
      </c>
      <c r="CQ456" s="41" t="s">
        <v>3686</v>
      </c>
      <c r="CR456" s="41" t="s">
        <v>5813</v>
      </c>
      <c r="CS456" s="41">
        <v>200</v>
      </c>
      <c r="CT456" s="41">
        <v>1</v>
      </c>
      <c r="CU456" s="41">
        <v>30</v>
      </c>
      <c r="CV456" s="41">
        <v>20</v>
      </c>
      <c r="CW456" s="41" t="s">
        <v>4706</v>
      </c>
      <c r="CX456" s="41" t="s">
        <v>4716</v>
      </c>
      <c r="CY456" s="40" t="s">
        <v>6124</v>
      </c>
    </row>
    <row r="457" spans="50:103" ht="14.6">
      <c r="AX457">
        <v>18000</v>
      </c>
      <c r="AY457" t="s">
        <v>6175</v>
      </c>
      <c r="AZ457" t="s">
        <v>5885</v>
      </c>
      <c r="BA457" t="s">
        <v>4845</v>
      </c>
      <c r="BB457">
        <v>80</v>
      </c>
      <c r="CP457" s="40">
        <v>191</v>
      </c>
      <c r="CQ457" s="41" t="s">
        <v>3701</v>
      </c>
      <c r="CR457" s="41" t="s">
        <v>5839</v>
      </c>
      <c r="CS457" s="41">
        <v>275</v>
      </c>
      <c r="CT457" s="41">
        <v>1</v>
      </c>
      <c r="CU457" s="41">
        <v>30</v>
      </c>
      <c r="CV457" s="41">
        <v>30</v>
      </c>
      <c r="CW457" s="41" t="s">
        <v>4706</v>
      </c>
      <c r="CX457" s="41" t="s">
        <v>4716</v>
      </c>
      <c r="CY457" s="40" t="s">
        <v>6124</v>
      </c>
    </row>
    <row r="458" spans="50:103" ht="14.6">
      <c r="AX458">
        <v>30000</v>
      </c>
      <c r="AY458" t="s">
        <v>6176</v>
      </c>
      <c r="AZ458" t="s">
        <v>5709</v>
      </c>
      <c r="BA458" t="s">
        <v>6177</v>
      </c>
      <c r="BB458">
        <v>100</v>
      </c>
      <c r="CP458" s="40">
        <v>192</v>
      </c>
      <c r="CQ458" s="41" t="s">
        <v>3339</v>
      </c>
      <c r="CR458" s="41" t="s">
        <v>6178</v>
      </c>
      <c r="CS458" s="41">
        <v>800</v>
      </c>
      <c r="CT458" s="41">
        <v>48</v>
      </c>
      <c r="CU458" s="41">
        <v>24</v>
      </c>
      <c r="CV458" s="41">
        <v>100</v>
      </c>
      <c r="CW458" s="41" t="s">
        <v>4706</v>
      </c>
      <c r="CX458" s="41" t="s">
        <v>5196</v>
      </c>
      <c r="CY458" s="40" t="s">
        <v>6179</v>
      </c>
    </row>
    <row r="459" spans="50:103" ht="14.6">
      <c r="AX459">
        <v>50000</v>
      </c>
      <c r="AY459" t="s">
        <v>4865</v>
      </c>
      <c r="AZ459" t="s">
        <v>4750</v>
      </c>
      <c r="BA459" t="s">
        <v>3432</v>
      </c>
      <c r="BB459" s="47">
        <v>120</v>
      </c>
      <c r="CP459" s="40">
        <v>193</v>
      </c>
      <c r="CQ459" s="41" t="s">
        <v>3529</v>
      </c>
      <c r="CR459" s="41" t="s">
        <v>6180</v>
      </c>
      <c r="CS459" s="41">
        <v>500</v>
      </c>
      <c r="CT459" s="41">
        <v>48</v>
      </c>
      <c r="CU459" s="41">
        <v>14</v>
      </c>
      <c r="CV459" s="41">
        <v>50</v>
      </c>
      <c r="CW459" s="41" t="s">
        <v>4706</v>
      </c>
      <c r="CX459" s="41" t="s">
        <v>4716</v>
      </c>
      <c r="CY459" s="40" t="s">
        <v>6179</v>
      </c>
    </row>
    <row r="460" spans="50:103" ht="14.6">
      <c r="AX460" s="11">
        <v>3000</v>
      </c>
      <c r="AY460" t="s">
        <v>4794</v>
      </c>
      <c r="AZ460" s="11" t="s">
        <v>4770</v>
      </c>
      <c r="BA460" s="11" t="s">
        <v>4878</v>
      </c>
      <c r="BB460" s="11">
        <v>10</v>
      </c>
      <c r="CP460" s="40">
        <v>194</v>
      </c>
      <c r="CQ460" s="41" t="s">
        <v>3566</v>
      </c>
      <c r="CR460" s="41" t="s">
        <v>6181</v>
      </c>
      <c r="CS460" s="41">
        <v>500</v>
      </c>
      <c r="CT460" s="41">
        <v>48</v>
      </c>
      <c r="CU460" s="41">
        <v>14</v>
      </c>
      <c r="CV460" s="41">
        <v>50</v>
      </c>
      <c r="CW460" s="41" t="s">
        <v>4706</v>
      </c>
      <c r="CX460" s="41" t="s">
        <v>4716</v>
      </c>
      <c r="CY460" s="40" t="s">
        <v>6179</v>
      </c>
    </row>
    <row r="461" spans="50:103" ht="14.6">
      <c r="AX461">
        <v>7500</v>
      </c>
      <c r="AY461" t="s">
        <v>6132</v>
      </c>
      <c r="AZ461" t="s">
        <v>6182</v>
      </c>
      <c r="BA461" t="s">
        <v>5467</v>
      </c>
      <c r="BB461">
        <v>20</v>
      </c>
      <c r="CP461" s="40">
        <v>195</v>
      </c>
      <c r="CQ461" s="41" t="s">
        <v>3241</v>
      </c>
      <c r="CR461" s="41" t="s">
        <v>6183</v>
      </c>
      <c r="CS461" s="41">
        <v>400</v>
      </c>
      <c r="CT461" s="41">
        <v>48</v>
      </c>
      <c r="CU461" s="41">
        <v>90</v>
      </c>
      <c r="CV461" s="41">
        <v>50</v>
      </c>
      <c r="CW461" s="41" t="s">
        <v>4706</v>
      </c>
      <c r="CX461" s="41" t="s">
        <v>4716</v>
      </c>
      <c r="CY461" s="40" t="s">
        <v>6179</v>
      </c>
    </row>
    <row r="462" spans="50:103" ht="14.6">
      <c r="AX462">
        <v>12000</v>
      </c>
      <c r="AY462" t="s">
        <v>4689</v>
      </c>
      <c r="AZ462" t="s">
        <v>6133</v>
      </c>
      <c r="BA462" t="s">
        <v>6134</v>
      </c>
      <c r="BB462">
        <v>40</v>
      </c>
      <c r="CP462" s="40">
        <v>196</v>
      </c>
      <c r="CQ462" s="41" t="s">
        <v>4187</v>
      </c>
      <c r="CR462" s="41" t="s">
        <v>6184</v>
      </c>
      <c r="CS462" s="41">
        <v>400</v>
      </c>
      <c r="CT462" s="41">
        <v>48</v>
      </c>
      <c r="CU462" s="41">
        <v>36</v>
      </c>
      <c r="CV462" s="41">
        <v>50</v>
      </c>
      <c r="CW462" s="41" t="s">
        <v>4706</v>
      </c>
      <c r="CX462" s="41" t="s">
        <v>4716</v>
      </c>
      <c r="CY462" s="40" t="s">
        <v>6179</v>
      </c>
    </row>
    <row r="463" spans="50:103" ht="14.6">
      <c r="AX463">
        <v>18000</v>
      </c>
      <c r="AY463" t="s">
        <v>6135</v>
      </c>
      <c r="AZ463" t="s">
        <v>5117</v>
      </c>
      <c r="BA463" t="s">
        <v>6185</v>
      </c>
      <c r="BB463">
        <v>60</v>
      </c>
      <c r="CP463" s="40">
        <v>197</v>
      </c>
      <c r="CQ463" s="41" t="s">
        <v>3215</v>
      </c>
      <c r="CR463" s="41" t="s">
        <v>6186</v>
      </c>
      <c r="CS463" s="41">
        <v>400</v>
      </c>
      <c r="CT463" s="41">
        <v>48</v>
      </c>
      <c r="CU463" s="41">
        <v>135</v>
      </c>
      <c r="CV463" s="41">
        <v>50</v>
      </c>
      <c r="CW463" s="41" t="s">
        <v>4706</v>
      </c>
      <c r="CX463" s="41" t="s">
        <v>4716</v>
      </c>
      <c r="CY463" s="40" t="s">
        <v>6179</v>
      </c>
    </row>
    <row r="464" spans="50:103" ht="14.6">
      <c r="AX464">
        <v>30000</v>
      </c>
      <c r="AY464" s="11" t="s">
        <v>6187</v>
      </c>
      <c r="AZ464" t="s">
        <v>5163</v>
      </c>
      <c r="BA464" t="s">
        <v>6138</v>
      </c>
      <c r="BB464">
        <v>80</v>
      </c>
      <c r="CP464" s="40">
        <v>198</v>
      </c>
      <c r="CQ464" s="41" t="s">
        <v>3378</v>
      </c>
      <c r="CR464" s="41" t="s">
        <v>6188</v>
      </c>
      <c r="CS464" s="41">
        <v>400</v>
      </c>
      <c r="CT464" s="41">
        <v>48</v>
      </c>
      <c r="CU464" s="41">
        <v>45</v>
      </c>
      <c r="CV464" s="41">
        <v>50</v>
      </c>
      <c r="CW464" s="41" t="s">
        <v>4706</v>
      </c>
      <c r="CX464" s="41" t="s">
        <v>4716</v>
      </c>
      <c r="CY464" s="40" t="s">
        <v>6179</v>
      </c>
    </row>
    <row r="465" spans="50:103" ht="14.6">
      <c r="AX465">
        <v>50000</v>
      </c>
      <c r="AY465" t="s">
        <v>4751</v>
      </c>
      <c r="AZ465" t="s">
        <v>4943</v>
      </c>
      <c r="BA465" s="47" t="s">
        <v>5455</v>
      </c>
      <c r="BB465">
        <v>100</v>
      </c>
      <c r="CP465" s="40">
        <v>199</v>
      </c>
      <c r="CQ465" s="41" t="s">
        <v>3373</v>
      </c>
      <c r="CR465" s="41" t="s">
        <v>6189</v>
      </c>
      <c r="CS465" s="41">
        <v>400</v>
      </c>
      <c r="CT465" s="41">
        <v>48</v>
      </c>
      <c r="CU465" s="41">
        <v>45</v>
      </c>
      <c r="CV465" s="41">
        <v>50</v>
      </c>
      <c r="CW465" s="41" t="s">
        <v>4706</v>
      </c>
      <c r="CX465" s="41" t="s">
        <v>4716</v>
      </c>
      <c r="CY465" s="40" t="s">
        <v>6179</v>
      </c>
    </row>
    <row r="466" spans="50:103" ht="14.6">
      <c r="AX466" s="47">
        <v>75000</v>
      </c>
      <c r="AY466" t="s">
        <v>5376</v>
      </c>
      <c r="AZ466" t="s">
        <v>5004</v>
      </c>
      <c r="BA466" t="s">
        <v>3432</v>
      </c>
      <c r="BB466" s="47">
        <v>120</v>
      </c>
      <c r="CP466" s="40">
        <v>200</v>
      </c>
      <c r="CQ466" s="41" t="s">
        <v>3367</v>
      </c>
      <c r="CR466" s="41" t="s">
        <v>6190</v>
      </c>
      <c r="CS466" s="41">
        <v>400</v>
      </c>
      <c r="CT466" s="41">
        <v>48</v>
      </c>
      <c r="CU466" s="41">
        <v>30</v>
      </c>
      <c r="CV466" s="41">
        <v>50</v>
      </c>
      <c r="CW466" s="41" t="s">
        <v>4706</v>
      </c>
      <c r="CX466" s="41" t="s">
        <v>4716</v>
      </c>
      <c r="CY466" s="40" t="s">
        <v>6179</v>
      </c>
    </row>
    <row r="467" spans="50:103" ht="14.6">
      <c r="AX467" s="11">
        <v>3000</v>
      </c>
      <c r="AY467" t="s">
        <v>6170</v>
      </c>
      <c r="AZ467" t="s">
        <v>4878</v>
      </c>
      <c r="BA467" t="s">
        <v>5467</v>
      </c>
      <c r="BB467">
        <v>20</v>
      </c>
      <c r="CP467" s="40">
        <v>201</v>
      </c>
      <c r="CQ467" s="41" t="s">
        <v>3236</v>
      </c>
      <c r="CR467" s="41" t="s">
        <v>6191</v>
      </c>
      <c r="CS467" s="41">
        <v>400</v>
      </c>
      <c r="CT467" s="41">
        <v>48</v>
      </c>
      <c r="CU467" s="41">
        <v>90</v>
      </c>
      <c r="CV467" s="41">
        <v>50</v>
      </c>
      <c r="CW467" s="41" t="s">
        <v>4706</v>
      </c>
      <c r="CX467" s="41" t="s">
        <v>4716</v>
      </c>
      <c r="CY467" s="40" t="s">
        <v>6179</v>
      </c>
    </row>
    <row r="468" spans="50:103" ht="14.6">
      <c r="AX468">
        <v>7500</v>
      </c>
      <c r="AY468" t="s">
        <v>6128</v>
      </c>
      <c r="AZ468" t="s">
        <v>4689</v>
      </c>
      <c r="BA468" s="11" t="s">
        <v>4770</v>
      </c>
      <c r="BB468">
        <v>40</v>
      </c>
      <c r="CP468" s="40">
        <v>202</v>
      </c>
      <c r="CQ468" s="41" t="s">
        <v>3208</v>
      </c>
      <c r="CR468" s="41" t="s">
        <v>6192</v>
      </c>
      <c r="CS468" s="41">
        <v>400</v>
      </c>
      <c r="CT468" s="41">
        <v>48</v>
      </c>
      <c r="CU468" s="41">
        <v>135</v>
      </c>
      <c r="CV468" s="41">
        <v>50</v>
      </c>
      <c r="CW468" s="41" t="s">
        <v>4706</v>
      </c>
      <c r="CX468" s="41" t="s">
        <v>4716</v>
      </c>
      <c r="CY468" s="40" t="s">
        <v>6179</v>
      </c>
    </row>
    <row r="469" spans="50:103" ht="14.6">
      <c r="AX469">
        <v>12000</v>
      </c>
      <c r="AY469" t="s">
        <v>4824</v>
      </c>
      <c r="AZ469" t="s">
        <v>5569</v>
      </c>
      <c r="BA469" t="s">
        <v>4795</v>
      </c>
      <c r="BB469">
        <v>60</v>
      </c>
      <c r="CP469" s="40">
        <v>203</v>
      </c>
      <c r="CQ469" s="41" t="s">
        <v>4257</v>
      </c>
      <c r="CR469" s="41" t="s">
        <v>6193</v>
      </c>
      <c r="CS469" s="41">
        <v>350</v>
      </c>
      <c r="CT469" s="41">
        <v>1</v>
      </c>
      <c r="CU469" s="41">
        <v>90</v>
      </c>
      <c r="CV469" s="41">
        <v>40</v>
      </c>
      <c r="CW469" s="41" t="s">
        <v>4706</v>
      </c>
      <c r="CX469" s="41" t="s">
        <v>4716</v>
      </c>
      <c r="CY469" s="40" t="s">
        <v>6194</v>
      </c>
    </row>
    <row r="470" spans="50:103" ht="14.6">
      <c r="AX470">
        <v>18000</v>
      </c>
      <c r="AY470" t="s">
        <v>6111</v>
      </c>
      <c r="AZ470" t="s">
        <v>5885</v>
      </c>
      <c r="BA470" t="s">
        <v>4845</v>
      </c>
      <c r="BB470">
        <v>80</v>
      </c>
      <c r="CP470" s="40">
        <v>204</v>
      </c>
      <c r="CQ470" s="41" t="s">
        <v>3215</v>
      </c>
      <c r="CR470" s="41" t="s">
        <v>6141</v>
      </c>
      <c r="CS470" s="41">
        <v>350</v>
      </c>
      <c r="CT470" s="41">
        <v>1</v>
      </c>
      <c r="CU470" s="41">
        <v>90</v>
      </c>
      <c r="CV470" s="41">
        <v>40</v>
      </c>
      <c r="CW470" s="41" t="s">
        <v>4706</v>
      </c>
      <c r="CX470" s="41" t="s">
        <v>4716</v>
      </c>
      <c r="CY470" s="40" t="s">
        <v>6194</v>
      </c>
    </row>
    <row r="471" spans="50:103" ht="14.6">
      <c r="AX471">
        <v>30000</v>
      </c>
      <c r="AY471" t="s">
        <v>6173</v>
      </c>
      <c r="AZ471" t="s">
        <v>5164</v>
      </c>
      <c r="BA471" t="s">
        <v>5709</v>
      </c>
      <c r="BB471">
        <v>100</v>
      </c>
      <c r="CP471" s="40">
        <v>205</v>
      </c>
      <c r="CQ471" s="41" t="s">
        <v>3208</v>
      </c>
      <c r="CR471" s="41" t="s">
        <v>6195</v>
      </c>
      <c r="CS471" s="41">
        <v>350</v>
      </c>
      <c r="CT471" s="41">
        <v>1</v>
      </c>
      <c r="CU471" s="41">
        <v>90</v>
      </c>
      <c r="CV471" s="41">
        <v>40</v>
      </c>
      <c r="CW471" s="41" t="s">
        <v>4706</v>
      </c>
      <c r="CX471" s="41" t="s">
        <v>4716</v>
      </c>
      <c r="CY471" s="40" t="s">
        <v>6194</v>
      </c>
    </row>
    <row r="472" spans="50:103" ht="14.6">
      <c r="AX472">
        <v>50000</v>
      </c>
      <c r="AY472" t="s">
        <v>4746</v>
      </c>
      <c r="AZ472" t="s">
        <v>4866</v>
      </c>
      <c r="BA472" t="s">
        <v>3432</v>
      </c>
      <c r="BB472" s="47">
        <v>120</v>
      </c>
      <c r="CP472" s="40">
        <v>206</v>
      </c>
      <c r="CQ472" s="41" t="s">
        <v>4187</v>
      </c>
      <c r="CR472" s="41" t="s">
        <v>6196</v>
      </c>
      <c r="CS472" s="41">
        <v>350</v>
      </c>
      <c r="CT472" s="41">
        <v>1</v>
      </c>
      <c r="CU472" s="41">
        <v>24</v>
      </c>
      <c r="CV472" s="41">
        <v>40</v>
      </c>
      <c r="CW472" s="41" t="s">
        <v>4706</v>
      </c>
      <c r="CX472" s="41" t="s">
        <v>4716</v>
      </c>
      <c r="CY472" s="40" t="s">
        <v>6194</v>
      </c>
    </row>
    <row r="473" spans="50:103" ht="14.6">
      <c r="AX473" s="11">
        <v>3000</v>
      </c>
      <c r="AY473" t="s">
        <v>6034</v>
      </c>
      <c r="AZ473" s="11" t="s">
        <v>4770</v>
      </c>
      <c r="BA473" t="s">
        <v>6197</v>
      </c>
      <c r="BB473">
        <v>20</v>
      </c>
      <c r="CP473" s="40">
        <v>207</v>
      </c>
      <c r="CQ473" s="41" t="s">
        <v>3529</v>
      </c>
      <c r="CR473" s="41" t="s">
        <v>6198</v>
      </c>
      <c r="CS473" s="41">
        <v>400</v>
      </c>
      <c r="CT473" s="41">
        <v>1</v>
      </c>
      <c r="CU473" s="41">
        <v>9</v>
      </c>
      <c r="CV473" s="41">
        <v>40</v>
      </c>
      <c r="CW473" s="41" t="s">
        <v>4706</v>
      </c>
      <c r="CX473" s="41" t="s">
        <v>4716</v>
      </c>
      <c r="CY473" s="40" t="s">
        <v>6194</v>
      </c>
    </row>
    <row r="474" spans="50:103" ht="14.6">
      <c r="AX474">
        <v>7500</v>
      </c>
      <c r="AY474" t="s">
        <v>6170</v>
      </c>
      <c r="AZ474" t="s">
        <v>6132</v>
      </c>
      <c r="BA474" t="s">
        <v>5467</v>
      </c>
      <c r="BB474">
        <v>40</v>
      </c>
      <c r="CP474" s="40">
        <v>208</v>
      </c>
      <c r="CQ474" s="41" t="s">
        <v>3538</v>
      </c>
      <c r="CR474" s="41" t="s">
        <v>6199</v>
      </c>
      <c r="CS474" s="41">
        <v>275</v>
      </c>
      <c r="CT474" s="41">
        <v>1</v>
      </c>
      <c r="CU474" s="41">
        <v>9</v>
      </c>
      <c r="CV474" s="41">
        <v>40</v>
      </c>
      <c r="CW474" s="41" t="s">
        <v>4706</v>
      </c>
      <c r="CX474" s="41" t="s">
        <v>4716</v>
      </c>
      <c r="CY474" s="40" t="s">
        <v>6194</v>
      </c>
    </row>
    <row r="475" spans="50:103" ht="14.6">
      <c r="AX475">
        <v>12000</v>
      </c>
      <c r="AY475" t="s">
        <v>4824</v>
      </c>
      <c r="AZ475" t="s">
        <v>6133</v>
      </c>
      <c r="BA475" t="s">
        <v>4795</v>
      </c>
      <c r="BB475">
        <v>60</v>
      </c>
      <c r="CP475" s="40">
        <v>209</v>
      </c>
      <c r="CQ475" s="41" t="s">
        <v>3550</v>
      </c>
      <c r="CR475" s="41" t="s">
        <v>6200</v>
      </c>
      <c r="CS475" s="41">
        <v>275</v>
      </c>
      <c r="CT475" s="41">
        <v>1</v>
      </c>
      <c r="CU475" s="41">
        <v>9</v>
      </c>
      <c r="CV475" s="41">
        <v>40</v>
      </c>
      <c r="CW475" s="41" t="s">
        <v>4706</v>
      </c>
      <c r="CX475" s="41" t="s">
        <v>4716</v>
      </c>
      <c r="CY475" s="40" t="s">
        <v>6194</v>
      </c>
    </row>
    <row r="476" spans="50:103" ht="14.6">
      <c r="AX476">
        <v>18000</v>
      </c>
      <c r="AY476" t="s">
        <v>6111</v>
      </c>
      <c r="AZ476" t="s">
        <v>6110</v>
      </c>
      <c r="BA476" t="s">
        <v>4689</v>
      </c>
      <c r="BB476">
        <v>80</v>
      </c>
      <c r="CP476" s="40">
        <v>210</v>
      </c>
      <c r="CQ476" s="41" t="s">
        <v>3544</v>
      </c>
      <c r="CR476" s="41" t="s">
        <v>6201</v>
      </c>
      <c r="CS476" s="41">
        <v>400</v>
      </c>
      <c r="CT476" s="41">
        <v>1</v>
      </c>
      <c r="CU476" s="41">
        <v>9</v>
      </c>
      <c r="CV476" s="41">
        <v>40</v>
      </c>
      <c r="CW476" s="41" t="s">
        <v>4706</v>
      </c>
      <c r="CX476" s="41" t="s">
        <v>4716</v>
      </c>
      <c r="CY476" s="40" t="s">
        <v>6194</v>
      </c>
    </row>
    <row r="477" spans="50:103" ht="14.6">
      <c r="AX477">
        <v>30000</v>
      </c>
      <c r="AY477" t="s">
        <v>6112</v>
      </c>
      <c r="AZ477" t="s">
        <v>5163</v>
      </c>
      <c r="BA477" t="s">
        <v>6138</v>
      </c>
      <c r="BB477">
        <v>100</v>
      </c>
      <c r="CP477" s="40">
        <v>211</v>
      </c>
      <c r="CQ477" s="41" t="s">
        <v>3560</v>
      </c>
      <c r="CR477" s="41" t="s">
        <v>6202</v>
      </c>
      <c r="CS477" s="41">
        <v>400</v>
      </c>
      <c r="CT477" s="41">
        <v>1</v>
      </c>
      <c r="CU477" s="41">
        <v>9</v>
      </c>
      <c r="CV477" s="41">
        <v>40</v>
      </c>
      <c r="CW477" s="41" t="s">
        <v>4706</v>
      </c>
      <c r="CX477" s="41" t="s">
        <v>4716</v>
      </c>
      <c r="CY477" s="40" t="s">
        <v>6194</v>
      </c>
    </row>
    <row r="478" spans="50:103" ht="14.6">
      <c r="AX478">
        <v>50000</v>
      </c>
      <c r="AY478" t="s">
        <v>4865</v>
      </c>
      <c r="AZ478" t="s">
        <v>4750</v>
      </c>
      <c r="BA478" t="s">
        <v>3432</v>
      </c>
      <c r="BB478" s="47">
        <v>120</v>
      </c>
      <c r="CP478" s="40">
        <v>212</v>
      </c>
      <c r="CQ478" s="41" t="s">
        <v>3586</v>
      </c>
      <c r="CR478" s="41" t="s">
        <v>5595</v>
      </c>
      <c r="CS478" s="41">
        <v>350</v>
      </c>
      <c r="CT478" s="41">
        <v>1</v>
      </c>
      <c r="CU478" s="41">
        <v>9</v>
      </c>
      <c r="CV478" s="41">
        <v>40</v>
      </c>
      <c r="CW478" s="41" t="s">
        <v>4706</v>
      </c>
      <c r="CX478" s="41" t="s">
        <v>4716</v>
      </c>
      <c r="CY478" s="40" t="s">
        <v>6194</v>
      </c>
    </row>
    <row r="479" spans="50:103" ht="14.6">
      <c r="AX479" s="11">
        <v>3000</v>
      </c>
      <c r="AY479" t="s">
        <v>6035</v>
      </c>
      <c r="AZ479" t="s">
        <v>6197</v>
      </c>
      <c r="BA479" t="s">
        <v>5467</v>
      </c>
      <c r="BB479">
        <v>20</v>
      </c>
      <c r="CP479" s="40">
        <v>213</v>
      </c>
      <c r="CQ479" s="41" t="s">
        <v>3623</v>
      </c>
      <c r="CR479" s="41" t="s">
        <v>6203</v>
      </c>
      <c r="CS479" s="41">
        <v>350</v>
      </c>
      <c r="CT479" s="41">
        <v>1</v>
      </c>
      <c r="CU479" s="41">
        <v>9</v>
      </c>
      <c r="CV479" s="41">
        <v>40</v>
      </c>
      <c r="CW479" s="41" t="s">
        <v>4706</v>
      </c>
      <c r="CX479" s="41" t="s">
        <v>4716</v>
      </c>
      <c r="CY479" s="40" t="s">
        <v>6194</v>
      </c>
    </row>
    <row r="480" spans="50:103" ht="14.6">
      <c r="AX480">
        <v>7500</v>
      </c>
      <c r="AY480" t="s">
        <v>6113</v>
      </c>
      <c r="AZ480" t="s">
        <v>4689</v>
      </c>
      <c r="BA480" s="11" t="s">
        <v>4770</v>
      </c>
      <c r="BB480">
        <v>40</v>
      </c>
      <c r="CP480" s="40">
        <v>214</v>
      </c>
      <c r="CQ480" s="41" t="s">
        <v>3502</v>
      </c>
      <c r="CR480" s="41" t="s">
        <v>6204</v>
      </c>
      <c r="CS480" s="41">
        <v>350</v>
      </c>
      <c r="CT480" s="41">
        <v>1</v>
      </c>
      <c r="CU480" s="41">
        <v>9</v>
      </c>
      <c r="CV480" s="41">
        <v>40</v>
      </c>
      <c r="CW480" s="41" t="s">
        <v>4706</v>
      </c>
      <c r="CX480" s="41" t="s">
        <v>4716</v>
      </c>
      <c r="CY480" s="40" t="s">
        <v>6194</v>
      </c>
    </row>
    <row r="481" spans="50:103" ht="14.6">
      <c r="AX481">
        <v>12000</v>
      </c>
      <c r="AY481" t="s">
        <v>4824</v>
      </c>
      <c r="AZ481" t="s">
        <v>4844</v>
      </c>
      <c r="BA481" t="s">
        <v>4795</v>
      </c>
      <c r="BB481">
        <v>60</v>
      </c>
      <c r="CP481" s="40">
        <v>215</v>
      </c>
      <c r="CQ481" s="41" t="s">
        <v>3485</v>
      </c>
      <c r="CR481" s="41" t="s">
        <v>6205</v>
      </c>
      <c r="CS481" s="41">
        <v>350</v>
      </c>
      <c r="CT481" s="41">
        <v>1</v>
      </c>
      <c r="CU481" s="41">
        <v>9</v>
      </c>
      <c r="CV481" s="41">
        <v>40</v>
      </c>
      <c r="CW481" s="41" t="s">
        <v>4706</v>
      </c>
      <c r="CX481" s="41" t="s">
        <v>4716</v>
      </c>
      <c r="CY481" s="40" t="s">
        <v>6194</v>
      </c>
    </row>
    <row r="482" spans="50:103" ht="14.6">
      <c r="AX482">
        <v>18000</v>
      </c>
      <c r="AY482" t="s">
        <v>6115</v>
      </c>
      <c r="AZ482" t="s">
        <v>5885</v>
      </c>
      <c r="BA482" t="s">
        <v>4845</v>
      </c>
      <c r="BB482">
        <v>80</v>
      </c>
      <c r="CP482" s="40">
        <v>216</v>
      </c>
      <c r="CQ482" s="41" t="s">
        <v>3512</v>
      </c>
      <c r="CR482" s="41" t="s">
        <v>5477</v>
      </c>
      <c r="CS482" s="41">
        <v>350</v>
      </c>
      <c r="CT482" s="41">
        <v>1</v>
      </c>
      <c r="CU482" s="41">
        <v>9</v>
      </c>
      <c r="CV482" s="41">
        <v>40</v>
      </c>
      <c r="CW482" s="41" t="s">
        <v>4706</v>
      </c>
      <c r="CX482" s="41" t="s">
        <v>4716</v>
      </c>
      <c r="CY482" s="40" t="s">
        <v>6194</v>
      </c>
    </row>
    <row r="483" spans="50:103" ht="14.6">
      <c r="AX483">
        <v>30000</v>
      </c>
      <c r="AY483" t="s">
        <v>6117</v>
      </c>
      <c r="AZ483" t="s">
        <v>5151</v>
      </c>
      <c r="BA483" t="s">
        <v>5709</v>
      </c>
      <c r="BB483">
        <v>100</v>
      </c>
      <c r="CP483" s="40">
        <v>217</v>
      </c>
      <c r="CQ483" s="41" t="s">
        <v>3517</v>
      </c>
      <c r="CR483" s="41" t="s">
        <v>6206</v>
      </c>
      <c r="CS483" s="41">
        <v>350</v>
      </c>
      <c r="CT483" s="41">
        <v>1</v>
      </c>
      <c r="CU483" s="41">
        <v>9</v>
      </c>
      <c r="CV483" s="41">
        <v>40</v>
      </c>
      <c r="CW483" s="41" t="s">
        <v>4706</v>
      </c>
      <c r="CX483" s="41" t="s">
        <v>4716</v>
      </c>
      <c r="CY483" s="40" t="s">
        <v>6194</v>
      </c>
    </row>
    <row r="484" spans="50:103" ht="14.6">
      <c r="AX484">
        <v>50000</v>
      </c>
      <c r="AY484" t="s">
        <v>4745</v>
      </c>
      <c r="AZ484" t="s">
        <v>4943</v>
      </c>
      <c r="BA484" t="s">
        <v>3432</v>
      </c>
      <c r="BB484" s="47">
        <v>120</v>
      </c>
      <c r="CP484" s="40">
        <v>218</v>
      </c>
      <c r="CQ484" s="41" t="s">
        <v>3507</v>
      </c>
      <c r="CR484" s="41" t="s">
        <v>6207</v>
      </c>
      <c r="CS484" s="41">
        <v>350</v>
      </c>
      <c r="CT484" s="41">
        <v>1</v>
      </c>
      <c r="CU484" s="41">
        <v>9</v>
      </c>
      <c r="CV484" s="41">
        <v>40</v>
      </c>
      <c r="CW484" s="41" t="s">
        <v>4706</v>
      </c>
      <c r="CX484" s="41" t="s">
        <v>4716</v>
      </c>
      <c r="CY484" s="40" t="s">
        <v>6194</v>
      </c>
    </row>
    <row r="485" spans="50:103" ht="14.6">
      <c r="AX485" s="11">
        <v>3000</v>
      </c>
      <c r="AY485" t="s">
        <v>6208</v>
      </c>
      <c r="AZ485" t="s">
        <v>5467</v>
      </c>
      <c r="BA485" t="s">
        <v>6197</v>
      </c>
      <c r="BB485" s="11">
        <v>10</v>
      </c>
      <c r="CP485" s="40">
        <v>219</v>
      </c>
      <c r="CQ485" s="41" t="s">
        <v>3579</v>
      </c>
      <c r="CR485" s="41" t="s">
        <v>6209</v>
      </c>
      <c r="CS485" s="41">
        <v>275</v>
      </c>
      <c r="CT485" s="41">
        <v>1</v>
      </c>
      <c r="CU485" s="41">
        <v>9</v>
      </c>
      <c r="CV485" s="41">
        <v>30</v>
      </c>
      <c r="CW485" s="41" t="s">
        <v>4706</v>
      </c>
      <c r="CX485" s="41" t="s">
        <v>4716</v>
      </c>
      <c r="CY485" s="40" t="s">
        <v>6194</v>
      </c>
    </row>
    <row r="486" spans="50:103" ht="14.6">
      <c r="AX486">
        <v>7500</v>
      </c>
      <c r="AY486" t="s">
        <v>4712</v>
      </c>
      <c r="AZ486" t="s">
        <v>6132</v>
      </c>
      <c r="BA486" s="11" t="s">
        <v>4770</v>
      </c>
      <c r="BB486">
        <v>20</v>
      </c>
      <c r="CP486" s="40">
        <v>220</v>
      </c>
      <c r="CQ486" s="41" t="s">
        <v>3606</v>
      </c>
      <c r="CR486" s="41" t="s">
        <v>6210</v>
      </c>
      <c r="CS486" s="41">
        <v>275</v>
      </c>
      <c r="CT486" s="41">
        <v>1</v>
      </c>
      <c r="CU486" s="41">
        <v>9</v>
      </c>
      <c r="CV486" s="41">
        <v>30</v>
      </c>
      <c r="CW486" s="41" t="s">
        <v>4706</v>
      </c>
      <c r="CX486" s="41" t="s">
        <v>4716</v>
      </c>
      <c r="CY486" s="40" t="s">
        <v>6194</v>
      </c>
    </row>
    <row r="487" spans="50:103" ht="14.6">
      <c r="AX487">
        <v>12000</v>
      </c>
      <c r="AY487" t="s">
        <v>4689</v>
      </c>
      <c r="AZ487" t="s">
        <v>6133</v>
      </c>
      <c r="BA487" t="s">
        <v>5468</v>
      </c>
      <c r="BB487">
        <v>40</v>
      </c>
      <c r="CP487" s="40">
        <v>221</v>
      </c>
      <c r="CQ487" s="41" t="s">
        <v>3523</v>
      </c>
      <c r="CR487" s="41" t="s">
        <v>6211</v>
      </c>
      <c r="CS487" s="41">
        <v>275</v>
      </c>
      <c r="CT487" s="41">
        <v>1</v>
      </c>
      <c r="CU487" s="41">
        <v>9</v>
      </c>
      <c r="CV487" s="41">
        <v>30</v>
      </c>
      <c r="CW487" s="41" t="s">
        <v>4706</v>
      </c>
      <c r="CX487" s="41" t="s">
        <v>4716</v>
      </c>
      <c r="CY487" s="40" t="s">
        <v>6194</v>
      </c>
    </row>
    <row r="488" spans="50:103" ht="14.6">
      <c r="AX488">
        <v>18000</v>
      </c>
      <c r="AY488" t="s">
        <v>6135</v>
      </c>
      <c r="AZ488" t="s">
        <v>5564</v>
      </c>
      <c r="BA488" t="s">
        <v>5568</v>
      </c>
      <c r="BB488">
        <v>60</v>
      </c>
      <c r="CP488" s="40">
        <v>222</v>
      </c>
      <c r="CQ488" s="41" t="s">
        <v>3481</v>
      </c>
      <c r="CR488" s="41" t="s">
        <v>6212</v>
      </c>
      <c r="CS488" s="41">
        <v>350</v>
      </c>
      <c r="CT488" s="41">
        <v>1</v>
      </c>
      <c r="CU488" s="41">
        <v>9</v>
      </c>
      <c r="CV488" s="41">
        <v>40</v>
      </c>
      <c r="CW488" s="41" t="s">
        <v>4706</v>
      </c>
      <c r="CX488" s="41" t="s">
        <v>4716</v>
      </c>
      <c r="CY488" s="40" t="s">
        <v>6194</v>
      </c>
    </row>
    <row r="489" spans="50:103" ht="14.6">
      <c r="AX489">
        <v>30000</v>
      </c>
      <c r="AY489" t="s">
        <v>5164</v>
      </c>
      <c r="AZ489" t="s">
        <v>6104</v>
      </c>
      <c r="BA489" t="s">
        <v>4844</v>
      </c>
      <c r="BB489">
        <v>80</v>
      </c>
      <c r="CP489" s="40">
        <v>223</v>
      </c>
      <c r="CQ489" s="41" t="s">
        <v>3477</v>
      </c>
      <c r="CR489" s="41" t="s">
        <v>6213</v>
      </c>
      <c r="CS489" s="41">
        <v>350</v>
      </c>
      <c r="CT489" s="41">
        <v>1</v>
      </c>
      <c r="CU489" s="41">
        <v>9</v>
      </c>
      <c r="CV489" s="41">
        <v>40</v>
      </c>
      <c r="CW489" s="41" t="s">
        <v>4706</v>
      </c>
      <c r="CX489" s="41" t="s">
        <v>4716</v>
      </c>
      <c r="CY489" s="40" t="s">
        <v>6194</v>
      </c>
    </row>
    <row r="490" spans="50:103" ht="14.6">
      <c r="AX490">
        <v>50000</v>
      </c>
      <c r="AY490" t="s">
        <v>4746</v>
      </c>
      <c r="AZ490" t="s">
        <v>4750</v>
      </c>
      <c r="BA490" t="s">
        <v>3432</v>
      </c>
      <c r="BB490">
        <v>100</v>
      </c>
      <c r="CP490" s="40">
        <v>224</v>
      </c>
      <c r="CQ490" s="41" t="s">
        <v>3566</v>
      </c>
      <c r="CR490" s="41" t="s">
        <v>5561</v>
      </c>
      <c r="CS490" s="41">
        <v>350</v>
      </c>
      <c r="CT490" s="41">
        <v>1</v>
      </c>
      <c r="CU490" s="41">
        <v>9</v>
      </c>
      <c r="CV490" s="41">
        <v>40</v>
      </c>
      <c r="CW490" s="41" t="s">
        <v>4706</v>
      </c>
      <c r="CX490" s="41" t="s">
        <v>4716</v>
      </c>
      <c r="CY490" s="40" t="s">
        <v>6194</v>
      </c>
    </row>
    <row r="491" spans="50:103" ht="14.6">
      <c r="AX491" s="47">
        <v>75000</v>
      </c>
      <c r="AY491" t="s">
        <v>5376</v>
      </c>
      <c r="AZ491" t="s">
        <v>6138</v>
      </c>
      <c r="BA491" t="s">
        <v>6140</v>
      </c>
      <c r="BB491" s="47">
        <v>120</v>
      </c>
      <c r="CP491" s="40">
        <v>225</v>
      </c>
      <c r="CQ491" s="41" t="s">
        <v>3493</v>
      </c>
      <c r="CR491" s="41" t="s">
        <v>6214</v>
      </c>
      <c r="CS491" s="41">
        <v>350</v>
      </c>
      <c r="CT491" s="41">
        <v>1</v>
      </c>
      <c r="CU491" s="41">
        <v>9</v>
      </c>
      <c r="CV491" s="41">
        <v>30</v>
      </c>
      <c r="CW491" s="41" t="s">
        <v>4706</v>
      </c>
      <c r="CX491" s="41" t="s">
        <v>4716</v>
      </c>
      <c r="CY491" s="40" t="s">
        <v>6194</v>
      </c>
    </row>
    <row r="492" spans="50:103" ht="14.6">
      <c r="CP492" s="40">
        <v>226</v>
      </c>
      <c r="CQ492" s="41" t="s">
        <v>3612</v>
      </c>
      <c r="CR492" s="41" t="s">
        <v>6215</v>
      </c>
      <c r="CS492" s="41">
        <v>350</v>
      </c>
      <c r="CT492" s="41">
        <v>1</v>
      </c>
      <c r="CU492" s="41">
        <v>9</v>
      </c>
      <c r="CV492" s="41">
        <v>40</v>
      </c>
      <c r="CW492" s="41" t="s">
        <v>4706</v>
      </c>
      <c r="CX492" s="41" t="s">
        <v>4716</v>
      </c>
      <c r="CY492" s="40" t="s">
        <v>6194</v>
      </c>
    </row>
    <row r="493" spans="50:103" ht="14.6">
      <c r="CP493" s="40">
        <v>227</v>
      </c>
      <c r="CQ493" s="41" t="s">
        <v>3629</v>
      </c>
      <c r="CR493" s="41" t="s">
        <v>6216</v>
      </c>
      <c r="CS493" s="41">
        <v>350</v>
      </c>
      <c r="CT493" s="41">
        <v>1</v>
      </c>
      <c r="CU493" s="41">
        <v>9</v>
      </c>
      <c r="CV493" s="41">
        <v>40</v>
      </c>
      <c r="CW493" s="41" t="s">
        <v>4706</v>
      </c>
      <c r="CX493" s="41" t="s">
        <v>4716</v>
      </c>
      <c r="CY493" s="40" t="s">
        <v>6194</v>
      </c>
    </row>
    <row r="494" spans="50:103" ht="14.6">
      <c r="CP494" s="40">
        <v>228</v>
      </c>
      <c r="CQ494" s="41" t="s">
        <v>3573</v>
      </c>
      <c r="CR494" s="41" t="s">
        <v>6217</v>
      </c>
      <c r="CS494" s="41">
        <v>275</v>
      </c>
      <c r="CT494" s="41">
        <v>1</v>
      </c>
      <c r="CU494" s="41">
        <v>9</v>
      </c>
      <c r="CV494" s="41">
        <v>30</v>
      </c>
      <c r="CW494" s="41" t="s">
        <v>4706</v>
      </c>
      <c r="CX494" s="41" t="s">
        <v>4716</v>
      </c>
      <c r="CY494" s="40" t="s">
        <v>6194</v>
      </c>
    </row>
    <row r="495" spans="50:103" ht="14.6">
      <c r="CP495" s="40">
        <v>229</v>
      </c>
      <c r="CQ495" s="41" t="s">
        <v>3592</v>
      </c>
      <c r="CR495" s="41" t="s">
        <v>6218</v>
      </c>
      <c r="CS495" s="41">
        <v>275</v>
      </c>
      <c r="CT495" s="41">
        <v>1</v>
      </c>
      <c r="CU495" s="41">
        <v>9</v>
      </c>
      <c r="CV495" s="41">
        <v>30</v>
      </c>
      <c r="CW495" s="41" t="s">
        <v>4706</v>
      </c>
      <c r="CX495" s="41" t="s">
        <v>4716</v>
      </c>
      <c r="CY495" s="40" t="s">
        <v>6194</v>
      </c>
    </row>
    <row r="496" spans="50:103" ht="14.6">
      <c r="CP496" s="40">
        <v>230</v>
      </c>
      <c r="CQ496" s="41" t="s">
        <v>3618</v>
      </c>
      <c r="CR496" s="41" t="s">
        <v>6219</v>
      </c>
      <c r="CS496" s="41">
        <v>275</v>
      </c>
      <c r="CT496" s="41">
        <v>1</v>
      </c>
      <c r="CU496" s="41">
        <v>9</v>
      </c>
      <c r="CV496" s="41">
        <v>30</v>
      </c>
      <c r="CW496" s="41" t="s">
        <v>4706</v>
      </c>
      <c r="CX496" s="41" t="s">
        <v>4716</v>
      </c>
      <c r="CY496" s="40" t="s">
        <v>6194</v>
      </c>
    </row>
    <row r="497" spans="94:103" ht="14.6">
      <c r="CP497" s="40">
        <v>231</v>
      </c>
      <c r="CQ497" s="41" t="s">
        <v>3378</v>
      </c>
      <c r="CR497" s="41" t="s">
        <v>6220</v>
      </c>
      <c r="CS497" s="41">
        <v>350</v>
      </c>
      <c r="CT497" s="41">
        <v>1</v>
      </c>
      <c r="CU497" s="41">
        <v>30</v>
      </c>
      <c r="CV497" s="41">
        <v>40</v>
      </c>
      <c r="CW497" s="41" t="s">
        <v>4706</v>
      </c>
      <c r="CX497" s="41" t="s">
        <v>4716</v>
      </c>
      <c r="CY497" s="40" t="s">
        <v>6194</v>
      </c>
    </row>
    <row r="498" spans="94:103" ht="14.6">
      <c r="CP498" s="40">
        <v>232</v>
      </c>
      <c r="CQ498" s="41" t="s">
        <v>3373</v>
      </c>
      <c r="CR498" s="41" t="s">
        <v>6221</v>
      </c>
      <c r="CS498" s="41">
        <v>350</v>
      </c>
      <c r="CT498" s="41">
        <v>1</v>
      </c>
      <c r="CU498" s="41">
        <v>30</v>
      </c>
      <c r="CV498" s="41">
        <v>40</v>
      </c>
      <c r="CW498" s="41" t="s">
        <v>4706</v>
      </c>
      <c r="CX498" s="41" t="s">
        <v>4716</v>
      </c>
      <c r="CY498" s="40" t="s">
        <v>6194</v>
      </c>
    </row>
    <row r="499" spans="94:103" ht="14.6">
      <c r="CP499" s="40">
        <v>233</v>
      </c>
      <c r="CQ499" s="41" t="s">
        <v>3367</v>
      </c>
      <c r="CR499" s="41" t="s">
        <v>6222</v>
      </c>
      <c r="CS499" s="41">
        <v>350</v>
      </c>
      <c r="CT499" s="41">
        <v>1</v>
      </c>
      <c r="CU499" s="41">
        <v>20</v>
      </c>
      <c r="CV499" s="41">
        <v>40</v>
      </c>
      <c r="CW499" s="41" t="s">
        <v>4706</v>
      </c>
      <c r="CX499" s="41" t="s">
        <v>4716</v>
      </c>
      <c r="CY499" s="40" t="s">
        <v>6194</v>
      </c>
    </row>
    <row r="500" spans="94:103" ht="14.6">
      <c r="CP500" s="40">
        <v>234</v>
      </c>
      <c r="CQ500" s="41" t="s">
        <v>3339</v>
      </c>
      <c r="CR500" s="41" t="s">
        <v>6223</v>
      </c>
      <c r="CS500" s="41">
        <v>350</v>
      </c>
      <c r="CT500" s="41">
        <v>1</v>
      </c>
      <c r="CU500" s="41">
        <v>16</v>
      </c>
      <c r="CV500" s="41">
        <v>40</v>
      </c>
      <c r="CW500" s="41" t="s">
        <v>4706</v>
      </c>
      <c r="CX500" s="41" t="s">
        <v>5196</v>
      </c>
      <c r="CY500" s="40" t="s">
        <v>6194</v>
      </c>
    </row>
    <row r="501" spans="94:103" ht="14.6">
      <c r="CP501" s="40">
        <v>235</v>
      </c>
      <c r="CQ501" s="41" t="s">
        <v>3708</v>
      </c>
      <c r="CR501" s="41" t="s">
        <v>6224</v>
      </c>
      <c r="CS501" s="41">
        <v>350</v>
      </c>
      <c r="CT501" s="41">
        <v>1</v>
      </c>
      <c r="CU501" s="41">
        <v>14</v>
      </c>
      <c r="CV501" s="41">
        <v>40</v>
      </c>
      <c r="CW501" s="41" t="s">
        <v>4706</v>
      </c>
      <c r="CX501" s="41" t="s">
        <v>4716</v>
      </c>
      <c r="CY501" s="40" t="s">
        <v>6194</v>
      </c>
    </row>
    <row r="502" spans="94:103" ht="14.6">
      <c r="CP502" s="40">
        <v>236</v>
      </c>
      <c r="CQ502" s="41" t="s">
        <v>3642</v>
      </c>
      <c r="CR502" s="41" t="s">
        <v>6225</v>
      </c>
      <c r="CS502" s="41">
        <v>350</v>
      </c>
      <c r="CT502" s="41">
        <v>1</v>
      </c>
      <c r="CU502" s="41">
        <v>14</v>
      </c>
      <c r="CV502" s="41">
        <v>40</v>
      </c>
      <c r="CW502" s="41" t="s">
        <v>4706</v>
      </c>
      <c r="CX502" s="41" t="s">
        <v>4716</v>
      </c>
      <c r="CY502" s="40" t="s">
        <v>6194</v>
      </c>
    </row>
    <row r="503" spans="94:103" ht="14.6">
      <c r="CP503" s="40">
        <v>237</v>
      </c>
      <c r="CQ503" s="41" t="s">
        <v>3637</v>
      </c>
      <c r="CR503" s="41" t="s">
        <v>6226</v>
      </c>
      <c r="CS503" s="41">
        <v>350</v>
      </c>
      <c r="CT503" s="41">
        <v>1</v>
      </c>
      <c r="CU503" s="41">
        <v>14</v>
      </c>
      <c r="CV503" s="41">
        <v>40</v>
      </c>
      <c r="CW503" s="41" t="s">
        <v>4706</v>
      </c>
      <c r="CX503" s="41" t="s">
        <v>4716</v>
      </c>
      <c r="CY503" s="40" t="s">
        <v>6194</v>
      </c>
    </row>
    <row r="504" spans="94:103" ht="14.6">
      <c r="CP504" s="40">
        <v>238</v>
      </c>
      <c r="CQ504" s="41" t="s">
        <v>3651</v>
      </c>
      <c r="CR504" s="41" t="s">
        <v>6227</v>
      </c>
      <c r="CS504" s="41">
        <v>275</v>
      </c>
      <c r="CT504" s="41">
        <v>1</v>
      </c>
      <c r="CU504" s="41">
        <v>14</v>
      </c>
      <c r="CV504" s="41">
        <v>30</v>
      </c>
      <c r="CW504" s="41" t="s">
        <v>4706</v>
      </c>
      <c r="CX504" s="41" t="s">
        <v>4716</v>
      </c>
      <c r="CY504" s="40" t="s">
        <v>6194</v>
      </c>
    </row>
    <row r="505" spans="94:103" ht="14.6">
      <c r="CP505" s="40">
        <v>239</v>
      </c>
      <c r="CQ505" s="41" t="s">
        <v>3656</v>
      </c>
      <c r="CR505" s="41" t="s">
        <v>6228</v>
      </c>
      <c r="CS505" s="41">
        <v>350</v>
      </c>
      <c r="CT505" s="41">
        <v>1</v>
      </c>
      <c r="CU505" s="41">
        <v>14</v>
      </c>
      <c r="CV505" s="41">
        <v>40</v>
      </c>
      <c r="CW505" s="41" t="s">
        <v>4706</v>
      </c>
      <c r="CX505" s="41" t="s">
        <v>4716</v>
      </c>
      <c r="CY505" s="40" t="s">
        <v>6194</v>
      </c>
    </row>
    <row r="506" spans="94:103" ht="14.6">
      <c r="CP506" s="40">
        <v>240</v>
      </c>
      <c r="CQ506" s="41" t="s">
        <v>3661</v>
      </c>
      <c r="CR506" s="41" t="s">
        <v>6229</v>
      </c>
      <c r="CS506" s="41">
        <v>350</v>
      </c>
      <c r="CT506" s="41">
        <v>1</v>
      </c>
      <c r="CU506" s="41">
        <v>14</v>
      </c>
      <c r="CV506" s="41">
        <v>40</v>
      </c>
      <c r="CW506" s="41" t="s">
        <v>4706</v>
      </c>
      <c r="CX506" s="41" t="s">
        <v>4716</v>
      </c>
      <c r="CY506" s="40" t="s">
        <v>6194</v>
      </c>
    </row>
    <row r="507" spans="94:103" ht="14.6">
      <c r="CP507" s="40">
        <v>241</v>
      </c>
      <c r="CQ507" s="41" t="s">
        <v>3666</v>
      </c>
      <c r="CR507" s="41" t="s">
        <v>6230</v>
      </c>
      <c r="CS507" s="41">
        <v>350</v>
      </c>
      <c r="CT507" s="41">
        <v>1</v>
      </c>
      <c r="CU507" s="41">
        <v>14</v>
      </c>
      <c r="CV507" s="41">
        <v>40</v>
      </c>
      <c r="CW507" s="41" t="s">
        <v>4706</v>
      </c>
      <c r="CX507" s="41" t="s">
        <v>4716</v>
      </c>
      <c r="CY507" s="40" t="s">
        <v>6194</v>
      </c>
    </row>
    <row r="508" spans="94:103" ht="14.6">
      <c r="CP508" s="40">
        <v>242</v>
      </c>
      <c r="CQ508" s="41" t="s">
        <v>3671</v>
      </c>
      <c r="CR508" s="41" t="s">
        <v>6231</v>
      </c>
      <c r="CS508" s="41">
        <v>275</v>
      </c>
      <c r="CT508" s="41">
        <v>1</v>
      </c>
      <c r="CU508" s="41">
        <v>14</v>
      </c>
      <c r="CV508" s="41">
        <v>30</v>
      </c>
      <c r="CW508" s="41" t="s">
        <v>4706</v>
      </c>
      <c r="CX508" s="41" t="s">
        <v>4716</v>
      </c>
      <c r="CY508" s="40" t="s">
        <v>6194</v>
      </c>
    </row>
    <row r="509" spans="94:103" ht="14.6">
      <c r="CP509" s="40">
        <v>243</v>
      </c>
      <c r="CQ509" s="41" t="s">
        <v>3676</v>
      </c>
      <c r="CR509" s="41" t="s">
        <v>6232</v>
      </c>
      <c r="CS509" s="41">
        <v>350</v>
      </c>
      <c r="CT509" s="41">
        <v>1</v>
      </c>
      <c r="CU509" s="41">
        <v>14</v>
      </c>
      <c r="CV509" s="41">
        <v>40</v>
      </c>
      <c r="CW509" s="41" t="s">
        <v>4706</v>
      </c>
      <c r="CX509" s="41" t="s">
        <v>4716</v>
      </c>
      <c r="CY509" s="40" t="s">
        <v>6194</v>
      </c>
    </row>
    <row r="510" spans="94:103" ht="14.6">
      <c r="CP510" s="40">
        <v>244</v>
      </c>
      <c r="CQ510" s="41" t="s">
        <v>3681</v>
      </c>
      <c r="CR510" s="41" t="s">
        <v>6233</v>
      </c>
      <c r="CS510" s="41">
        <v>350</v>
      </c>
      <c r="CT510" s="41">
        <v>1</v>
      </c>
      <c r="CU510" s="41">
        <v>14</v>
      </c>
      <c r="CV510" s="41">
        <v>40</v>
      </c>
      <c r="CW510" s="41" t="s">
        <v>4706</v>
      </c>
      <c r="CX510" s="41" t="s">
        <v>4716</v>
      </c>
      <c r="CY510" s="40" t="s">
        <v>6194</v>
      </c>
    </row>
    <row r="511" spans="94:103" ht="14.6">
      <c r="CP511" s="40">
        <v>245</v>
      </c>
      <c r="CQ511" s="41" t="s">
        <v>3686</v>
      </c>
      <c r="CR511" s="41" t="s">
        <v>6234</v>
      </c>
      <c r="CS511" s="41">
        <v>275</v>
      </c>
      <c r="CT511" s="41">
        <v>1</v>
      </c>
      <c r="CU511" s="41">
        <v>14</v>
      </c>
      <c r="CV511" s="41">
        <v>30</v>
      </c>
      <c r="CW511" s="41" t="s">
        <v>4706</v>
      </c>
      <c r="CX511" s="41" t="s">
        <v>4716</v>
      </c>
      <c r="CY511" s="40" t="s">
        <v>6194</v>
      </c>
    </row>
    <row r="512" spans="94:103" ht="14.6">
      <c r="CP512" s="40">
        <v>246</v>
      </c>
      <c r="CQ512" s="41" t="s">
        <v>3701</v>
      </c>
      <c r="CR512" s="41" t="s">
        <v>6235</v>
      </c>
      <c r="CS512" s="41">
        <v>350</v>
      </c>
      <c r="CT512" s="41">
        <v>1</v>
      </c>
      <c r="CU512" s="41">
        <v>14</v>
      </c>
      <c r="CV512" s="41">
        <v>40</v>
      </c>
      <c r="CW512" s="41" t="s">
        <v>4706</v>
      </c>
      <c r="CX512" s="41" t="s">
        <v>4716</v>
      </c>
      <c r="CY512" s="40" t="s">
        <v>6194</v>
      </c>
    </row>
    <row r="513" spans="94:103" ht="14.6">
      <c r="CP513" s="40">
        <v>247</v>
      </c>
      <c r="CQ513" s="41" t="s">
        <v>3284</v>
      </c>
      <c r="CR513" s="41" t="s">
        <v>5118</v>
      </c>
      <c r="CS513" s="41">
        <v>200</v>
      </c>
      <c r="CT513" s="41">
        <v>8</v>
      </c>
      <c r="CU513" s="41">
        <v>50</v>
      </c>
      <c r="CV513" s="41">
        <v>10</v>
      </c>
      <c r="CW513" s="41" t="s">
        <v>4706</v>
      </c>
      <c r="CX513" s="41" t="s">
        <v>4716</v>
      </c>
      <c r="CY513" s="40" t="s">
        <v>4717</v>
      </c>
    </row>
    <row r="514" spans="94:103" ht="14.6">
      <c r="CP514" s="40">
        <v>248</v>
      </c>
      <c r="CQ514" s="41" t="s">
        <v>3280</v>
      </c>
      <c r="CR514" s="41" t="s">
        <v>5093</v>
      </c>
      <c r="CS514" s="41">
        <v>200</v>
      </c>
      <c r="CT514" s="41">
        <v>8</v>
      </c>
      <c r="CU514" s="41">
        <v>50</v>
      </c>
      <c r="CV514" s="41">
        <v>10</v>
      </c>
      <c r="CW514" s="41" t="s">
        <v>4706</v>
      </c>
      <c r="CX514" s="41" t="s">
        <v>4716</v>
      </c>
      <c r="CY514" s="40" t="s">
        <v>4717</v>
      </c>
    </row>
    <row r="515" spans="94:103" ht="14.6">
      <c r="CP515" s="40">
        <v>249</v>
      </c>
      <c r="CQ515" s="41" t="s">
        <v>3320</v>
      </c>
      <c r="CR515" s="41" t="s">
        <v>5170</v>
      </c>
      <c r="CS515" s="41">
        <v>200</v>
      </c>
      <c r="CT515" s="41">
        <v>8</v>
      </c>
      <c r="CU515" s="41">
        <v>50</v>
      </c>
      <c r="CV515" s="41">
        <v>10</v>
      </c>
      <c r="CW515" s="41" t="s">
        <v>4706</v>
      </c>
      <c r="CX515" s="41" t="s">
        <v>4716</v>
      </c>
      <c r="CY515" s="40" t="s">
        <v>4717</v>
      </c>
    </row>
    <row r="516" spans="94:103" ht="14.6">
      <c r="CP516" s="40">
        <v>250</v>
      </c>
      <c r="CQ516" s="41" t="s">
        <v>3313</v>
      </c>
      <c r="CR516" s="41" t="s">
        <v>5165</v>
      </c>
      <c r="CS516" s="41">
        <v>200</v>
      </c>
      <c r="CT516" s="41">
        <v>8</v>
      </c>
      <c r="CU516" s="41">
        <v>50</v>
      </c>
      <c r="CV516" s="41">
        <v>10</v>
      </c>
      <c r="CW516" s="41" t="s">
        <v>4706</v>
      </c>
      <c r="CX516" s="41" t="s">
        <v>4716</v>
      </c>
      <c r="CY516" s="40" t="s">
        <v>4717</v>
      </c>
    </row>
    <row r="517" spans="94:103" ht="14.6">
      <c r="CP517" s="40">
        <v>251</v>
      </c>
      <c r="CQ517" s="41" t="s">
        <v>3307</v>
      </c>
      <c r="CR517" s="41" t="s">
        <v>5159</v>
      </c>
      <c r="CS517" s="41">
        <v>200</v>
      </c>
      <c r="CT517" s="41">
        <v>8</v>
      </c>
      <c r="CU517" s="41">
        <v>50</v>
      </c>
      <c r="CV517" s="41">
        <v>10</v>
      </c>
      <c r="CW517" s="41" t="s">
        <v>4706</v>
      </c>
      <c r="CX517" s="41" t="s">
        <v>4716</v>
      </c>
      <c r="CY517" s="40" t="s">
        <v>4717</v>
      </c>
    </row>
    <row r="518" spans="94:103" ht="14.6">
      <c r="CP518" s="40">
        <v>252</v>
      </c>
      <c r="CQ518" s="41" t="s">
        <v>3300</v>
      </c>
      <c r="CR518" s="41" t="s">
        <v>5153</v>
      </c>
      <c r="CS518" s="41">
        <v>200</v>
      </c>
      <c r="CT518" s="41">
        <v>8</v>
      </c>
      <c r="CU518" s="41">
        <v>50</v>
      </c>
      <c r="CV518" s="41">
        <v>10</v>
      </c>
      <c r="CW518" s="41" t="s">
        <v>4706</v>
      </c>
      <c r="CX518" s="41" t="s">
        <v>4716</v>
      </c>
      <c r="CY518" s="40" t="s">
        <v>4717</v>
      </c>
    </row>
    <row r="519" spans="94:103" ht="14.6">
      <c r="CP519" s="40">
        <v>253</v>
      </c>
      <c r="CQ519" s="41" t="s">
        <v>3269</v>
      </c>
      <c r="CR519" s="41" t="s">
        <v>5082</v>
      </c>
      <c r="CS519" s="41">
        <v>300</v>
      </c>
      <c r="CT519" s="41">
        <v>8</v>
      </c>
      <c r="CU519" s="41">
        <v>100</v>
      </c>
      <c r="CV519" s="41">
        <v>20</v>
      </c>
      <c r="CW519" s="41" t="s">
        <v>4706</v>
      </c>
      <c r="CX519" s="41" t="s">
        <v>4716</v>
      </c>
      <c r="CY519" s="40" t="s">
        <v>4717</v>
      </c>
    </row>
    <row r="520" spans="94:103" ht="14.6">
      <c r="CP520" s="40">
        <v>254</v>
      </c>
      <c r="CQ520" s="41" t="s">
        <v>3264</v>
      </c>
      <c r="CR520" s="41" t="s">
        <v>5076</v>
      </c>
      <c r="CS520" s="41">
        <v>300</v>
      </c>
      <c r="CT520" s="41">
        <v>8</v>
      </c>
      <c r="CU520" s="41">
        <v>100</v>
      </c>
      <c r="CV520" s="41">
        <v>20</v>
      </c>
      <c r="CW520" s="41" t="s">
        <v>4706</v>
      </c>
      <c r="CX520" s="41" t="s">
        <v>4716</v>
      </c>
      <c r="CY520" s="40" t="s">
        <v>4717</v>
      </c>
    </row>
    <row r="521" spans="94:103" ht="14.6">
      <c r="CP521" s="40">
        <v>255</v>
      </c>
      <c r="CQ521" s="41" t="s">
        <v>3274</v>
      </c>
      <c r="CR521" s="41" t="s">
        <v>5087</v>
      </c>
      <c r="CS521" s="41">
        <v>300</v>
      </c>
      <c r="CT521" s="41">
        <v>8</v>
      </c>
      <c r="CU521" s="41">
        <v>100</v>
      </c>
      <c r="CV521" s="41">
        <v>20</v>
      </c>
      <c r="CW521" s="41" t="s">
        <v>4706</v>
      </c>
      <c r="CX521" s="41" t="s">
        <v>4716</v>
      </c>
      <c r="CY521" s="40" t="s">
        <v>4717</v>
      </c>
    </row>
    <row r="522" spans="94:103" ht="14.6">
      <c r="CP522" s="40">
        <v>256</v>
      </c>
      <c r="CQ522" s="41" t="s">
        <v>4314</v>
      </c>
      <c r="CR522" s="41" t="s">
        <v>6236</v>
      </c>
      <c r="CS522" s="41">
        <v>300</v>
      </c>
      <c r="CT522" s="41">
        <v>48</v>
      </c>
      <c r="CU522" s="41">
        <v>100</v>
      </c>
      <c r="CV522" s="41">
        <v>30</v>
      </c>
      <c r="CW522" s="41" t="s">
        <v>4706</v>
      </c>
      <c r="CX522" s="41" t="s">
        <v>4716</v>
      </c>
      <c r="CY522" s="40" t="s">
        <v>4717</v>
      </c>
    </row>
    <row r="523" spans="94:103" ht="14.6">
      <c r="CP523" s="40">
        <v>257</v>
      </c>
      <c r="CQ523" s="41" t="s">
        <v>3329</v>
      </c>
      <c r="CR523" s="41" t="s">
        <v>5183</v>
      </c>
      <c r="CS523" s="41">
        <v>250</v>
      </c>
      <c r="CT523" s="41">
        <v>8</v>
      </c>
      <c r="CU523" s="41">
        <v>100</v>
      </c>
      <c r="CV523" s="41">
        <v>30</v>
      </c>
      <c r="CW523" s="41" t="s">
        <v>4706</v>
      </c>
      <c r="CX523" s="41" t="s">
        <v>4716</v>
      </c>
      <c r="CY523" s="40" t="s">
        <v>4717</v>
      </c>
    </row>
    <row r="524" spans="94:103" ht="14.6">
      <c r="CP524" s="40">
        <v>258</v>
      </c>
      <c r="CQ524" s="41" t="s">
        <v>3462</v>
      </c>
      <c r="CR524" s="41" t="s">
        <v>5306</v>
      </c>
      <c r="CS524" s="41">
        <v>150</v>
      </c>
      <c r="CT524" s="41">
        <v>8</v>
      </c>
      <c r="CU524" s="41">
        <v>100</v>
      </c>
      <c r="CV524" s="41">
        <v>10</v>
      </c>
      <c r="CW524" s="41" t="s">
        <v>4706</v>
      </c>
      <c r="CX524" s="41" t="s">
        <v>4716</v>
      </c>
      <c r="CY524" s="40" t="s">
        <v>4717</v>
      </c>
    </row>
    <row r="525" spans="94:103" ht="14.6">
      <c r="CP525" s="40">
        <v>259</v>
      </c>
      <c r="CQ525" s="41" t="s">
        <v>3455</v>
      </c>
      <c r="CR525" s="41" t="s">
        <v>5291</v>
      </c>
      <c r="CS525" s="41">
        <v>150</v>
      </c>
      <c r="CT525" s="41">
        <v>8</v>
      </c>
      <c r="CU525" s="41">
        <v>100</v>
      </c>
      <c r="CV525" s="41">
        <v>10</v>
      </c>
      <c r="CW525" s="41" t="s">
        <v>4706</v>
      </c>
      <c r="CX525" s="41" t="s">
        <v>4716</v>
      </c>
      <c r="CY525" s="40" t="s">
        <v>4717</v>
      </c>
    </row>
    <row r="526" spans="94:103" ht="14.6">
      <c r="CP526" s="40">
        <v>260</v>
      </c>
      <c r="CQ526" s="41" t="s">
        <v>3467</v>
      </c>
      <c r="CR526" s="41" t="s">
        <v>6237</v>
      </c>
      <c r="CS526" s="41">
        <v>150</v>
      </c>
      <c r="CT526" s="41">
        <v>8</v>
      </c>
      <c r="CU526" s="41">
        <v>100</v>
      </c>
      <c r="CV526" s="41">
        <v>10</v>
      </c>
      <c r="CW526" s="41" t="s">
        <v>4706</v>
      </c>
      <c r="CX526" s="41" t="s">
        <v>4716</v>
      </c>
      <c r="CY526" s="40" t="s">
        <v>4717</v>
      </c>
    </row>
    <row r="527" spans="94:103" ht="14.6">
      <c r="CP527" s="40">
        <v>261</v>
      </c>
      <c r="CQ527" s="41" t="s">
        <v>3448</v>
      </c>
      <c r="CR527" s="41" t="s">
        <v>5272</v>
      </c>
      <c r="CS527" s="41">
        <v>150</v>
      </c>
      <c r="CT527" s="41">
        <v>8</v>
      </c>
      <c r="CU527" s="41">
        <v>50</v>
      </c>
      <c r="CV527" s="41">
        <v>10</v>
      </c>
      <c r="CW527" s="41" t="s">
        <v>4706</v>
      </c>
      <c r="CX527" s="41" t="s">
        <v>4716</v>
      </c>
      <c r="CY527" s="40" t="s">
        <v>4717</v>
      </c>
    </row>
    <row r="528" spans="94:103" ht="14.6">
      <c r="CP528" s="40">
        <v>262</v>
      </c>
      <c r="CQ528" s="41" t="s">
        <v>3925</v>
      </c>
      <c r="CR528" s="41" t="s">
        <v>6238</v>
      </c>
      <c r="CS528" s="41">
        <v>100</v>
      </c>
      <c r="CT528" s="41">
        <v>8</v>
      </c>
      <c r="CU528" s="41">
        <v>54</v>
      </c>
      <c r="CV528" s="41">
        <v>10</v>
      </c>
      <c r="CW528" s="41" t="s">
        <v>4706</v>
      </c>
      <c r="CX528" s="41" t="s">
        <v>4716</v>
      </c>
      <c r="CY528" s="40" t="s">
        <v>4717</v>
      </c>
    </row>
    <row r="529" spans="94:103" ht="14.6">
      <c r="CP529" s="40">
        <v>263</v>
      </c>
      <c r="CQ529" s="41" t="s">
        <v>3696</v>
      </c>
      <c r="CR529" s="41" t="s">
        <v>5831</v>
      </c>
      <c r="CS529" s="41">
        <v>250</v>
      </c>
      <c r="CT529" s="41">
        <v>1</v>
      </c>
      <c r="CU529" s="41">
        <v>25</v>
      </c>
      <c r="CV529" s="41">
        <v>30</v>
      </c>
      <c r="CW529" s="41" t="s">
        <v>4706</v>
      </c>
      <c r="CX529" s="41" t="s">
        <v>4716</v>
      </c>
      <c r="CY529" s="40" t="s">
        <v>6124</v>
      </c>
    </row>
    <row r="530" spans="94:103" ht="14.6">
      <c r="CP530" s="40">
        <v>264</v>
      </c>
      <c r="CQ530" s="41" t="s">
        <v>3696</v>
      </c>
      <c r="CR530" s="41" t="s">
        <v>6239</v>
      </c>
      <c r="CS530" s="41">
        <v>350</v>
      </c>
      <c r="CT530" s="41">
        <v>1</v>
      </c>
      <c r="CU530" s="41">
        <v>9</v>
      </c>
      <c r="CV530" s="41">
        <v>40</v>
      </c>
      <c r="CW530" s="41" t="s">
        <v>4706</v>
      </c>
      <c r="CX530" s="41" t="s">
        <v>4716</v>
      </c>
      <c r="CY530" s="40" t="s">
        <v>6194</v>
      </c>
    </row>
    <row r="531" spans="94:103" ht="14.6">
      <c r="CP531" s="40">
        <v>265</v>
      </c>
      <c r="CQ531" s="41" t="s">
        <v>3696</v>
      </c>
      <c r="CR531" s="41" t="s">
        <v>6240</v>
      </c>
      <c r="CS531" s="41">
        <v>100</v>
      </c>
      <c r="CT531" s="41">
        <v>8</v>
      </c>
      <c r="CU531" s="41">
        <v>27</v>
      </c>
      <c r="CV531" s="41">
        <v>10</v>
      </c>
      <c r="CW531" s="41" t="s">
        <v>4706</v>
      </c>
      <c r="CX531" s="41" t="s">
        <v>4716</v>
      </c>
      <c r="CY531" s="40" t="s">
        <v>4717</v>
      </c>
    </row>
    <row r="532" spans="94:103" ht="14.6">
      <c r="CP532" s="40">
        <v>266</v>
      </c>
      <c r="CQ532" s="41" t="s">
        <v>3288</v>
      </c>
      <c r="CR532" s="41" t="s">
        <v>5126</v>
      </c>
      <c r="CS532" s="41">
        <v>150</v>
      </c>
      <c r="CT532" s="41">
        <v>8</v>
      </c>
      <c r="CU532" s="41">
        <v>180</v>
      </c>
      <c r="CV532" s="41">
        <v>10</v>
      </c>
      <c r="CW532" s="41" t="s">
        <v>4706</v>
      </c>
      <c r="CX532" s="41" t="s">
        <v>4716</v>
      </c>
      <c r="CY532" s="40" t="s">
        <v>4717</v>
      </c>
    </row>
    <row r="533" spans="94:103" ht="14.6">
      <c r="CP533" s="40">
        <v>267</v>
      </c>
      <c r="CQ533" s="41" t="s">
        <v>3934</v>
      </c>
      <c r="CR533" s="41" t="s">
        <v>6241</v>
      </c>
      <c r="CS533" s="41">
        <v>200</v>
      </c>
      <c r="CT533" s="41">
        <v>8</v>
      </c>
      <c r="CU533" s="41">
        <v>36</v>
      </c>
      <c r="CV533" s="41">
        <v>20</v>
      </c>
      <c r="CW533" s="41" t="s">
        <v>4706</v>
      </c>
      <c r="CX533" s="41" t="s">
        <v>4716</v>
      </c>
      <c r="CY533" s="40" t="s">
        <v>4717</v>
      </c>
    </row>
    <row r="534" spans="94:103" ht="14.6">
      <c r="CP534" s="40">
        <v>268</v>
      </c>
      <c r="CQ534" s="41" t="s">
        <v>3938</v>
      </c>
      <c r="CR534" s="41" t="s">
        <v>6242</v>
      </c>
      <c r="CS534" s="41">
        <v>200</v>
      </c>
      <c r="CT534" s="41">
        <v>8</v>
      </c>
      <c r="CU534" s="41">
        <v>36</v>
      </c>
      <c r="CV534" s="41">
        <v>20</v>
      </c>
      <c r="CW534" s="41" t="s">
        <v>4706</v>
      </c>
      <c r="CX534" s="41" t="s">
        <v>4716</v>
      </c>
      <c r="CY534" s="40" t="s">
        <v>4717</v>
      </c>
    </row>
    <row r="535" spans="94:103" ht="14.6">
      <c r="CP535" s="40">
        <v>269</v>
      </c>
      <c r="CQ535" s="41" t="s">
        <v>3820</v>
      </c>
      <c r="CR535" s="41" t="s">
        <v>6243</v>
      </c>
      <c r="CS535" s="41">
        <v>100</v>
      </c>
      <c r="CT535" s="41">
        <v>8</v>
      </c>
      <c r="CU535" s="41">
        <v>36</v>
      </c>
      <c r="CV535" s="41">
        <v>10</v>
      </c>
      <c r="CW535" s="41" t="s">
        <v>4706</v>
      </c>
      <c r="CX535" s="41" t="s">
        <v>4716</v>
      </c>
      <c r="CY535" s="40" t="s">
        <v>4717</v>
      </c>
    </row>
    <row r="536" spans="94:103" ht="14.6">
      <c r="CP536" s="40">
        <v>270</v>
      </c>
      <c r="CQ536" s="41" t="s">
        <v>3222</v>
      </c>
      <c r="CR536" s="41" t="s">
        <v>6244</v>
      </c>
      <c r="CS536" s="41">
        <v>100</v>
      </c>
      <c r="CT536" s="41">
        <v>8</v>
      </c>
      <c r="CU536" s="41">
        <v>180</v>
      </c>
      <c r="CV536" s="41">
        <v>10</v>
      </c>
      <c r="CW536" s="41" t="s">
        <v>4706</v>
      </c>
      <c r="CX536" s="41" t="s">
        <v>4716</v>
      </c>
      <c r="CY536" s="40" t="s">
        <v>4717</v>
      </c>
    </row>
    <row r="537" spans="94:103" ht="14.6">
      <c r="CP537" s="40">
        <v>271</v>
      </c>
      <c r="CQ537" s="41" t="s">
        <v>3222</v>
      </c>
      <c r="CR537" s="41" t="s">
        <v>4955</v>
      </c>
      <c r="CS537" s="41">
        <v>250</v>
      </c>
      <c r="CT537" s="41">
        <v>1</v>
      </c>
      <c r="CU537" s="41">
        <v>36</v>
      </c>
      <c r="CV537" s="41">
        <v>30</v>
      </c>
      <c r="CW537" s="41" t="s">
        <v>4706</v>
      </c>
      <c r="CX537" s="41" t="s">
        <v>4716</v>
      </c>
      <c r="CY537" s="40" t="s">
        <v>6124</v>
      </c>
    </row>
    <row r="538" spans="94:103" ht="14.6">
      <c r="CP538" s="40">
        <v>272</v>
      </c>
      <c r="CQ538" s="41" t="s">
        <v>3222</v>
      </c>
      <c r="CR538" s="41" t="s">
        <v>4343</v>
      </c>
      <c r="CS538" s="41">
        <v>500</v>
      </c>
      <c r="CT538" s="41">
        <v>24</v>
      </c>
      <c r="CU538" s="41">
        <v>36</v>
      </c>
      <c r="CV538" s="41">
        <v>60</v>
      </c>
      <c r="CW538" s="41" t="s">
        <v>4706</v>
      </c>
      <c r="CX538" s="41" t="s">
        <v>4716</v>
      </c>
      <c r="CY538" s="40" t="s">
        <v>3104</v>
      </c>
    </row>
    <row r="539" spans="94:103" ht="14.6">
      <c r="CP539" s="40">
        <v>273</v>
      </c>
      <c r="CQ539" s="41" t="s">
        <v>3231</v>
      </c>
      <c r="CR539" s="41" t="s">
        <v>4977</v>
      </c>
      <c r="CS539" s="41">
        <v>100</v>
      </c>
      <c r="CT539" s="41">
        <v>8</v>
      </c>
      <c r="CU539" s="41">
        <v>72</v>
      </c>
      <c r="CV539" s="41">
        <v>10</v>
      </c>
      <c r="CW539" s="41" t="s">
        <v>4706</v>
      </c>
      <c r="CX539" s="41" t="s">
        <v>4716</v>
      </c>
      <c r="CY539" s="40" t="s">
        <v>4717</v>
      </c>
    </row>
    <row r="540" spans="94:103" ht="14.6">
      <c r="CP540" s="40">
        <v>274</v>
      </c>
      <c r="CQ540" s="41" t="s">
        <v>3231</v>
      </c>
      <c r="CR540" s="41" t="s">
        <v>6245</v>
      </c>
      <c r="CS540" s="41">
        <v>250</v>
      </c>
      <c r="CT540" s="41">
        <v>1</v>
      </c>
      <c r="CU540" s="41">
        <v>90</v>
      </c>
      <c r="CV540" s="41">
        <v>30</v>
      </c>
      <c r="CW540" s="41" t="s">
        <v>4706</v>
      </c>
      <c r="CX540" s="41" t="s">
        <v>4716</v>
      </c>
      <c r="CY540" s="40" t="s">
        <v>6124</v>
      </c>
    </row>
    <row r="541" spans="94:103" ht="14.6">
      <c r="CP541" s="40">
        <v>275</v>
      </c>
      <c r="CQ541" s="41" t="s">
        <v>3231</v>
      </c>
      <c r="CR541" s="41" t="s">
        <v>4349</v>
      </c>
      <c r="CS541" s="41">
        <v>500</v>
      </c>
      <c r="CT541" s="41">
        <v>24</v>
      </c>
      <c r="CU541" s="41">
        <v>90</v>
      </c>
      <c r="CV541" s="41">
        <v>60</v>
      </c>
      <c r="CW541" s="41" t="s">
        <v>4706</v>
      </c>
      <c r="CX541" s="41" t="s">
        <v>4716</v>
      </c>
      <c r="CY541" s="40" t="s">
        <v>3104</v>
      </c>
    </row>
    <row r="542" spans="94:103" ht="14.6">
      <c r="CP542" s="40">
        <v>276</v>
      </c>
      <c r="CQ542" s="41" t="s">
        <v>3193</v>
      </c>
      <c r="CR542" s="41" t="s">
        <v>6246</v>
      </c>
      <c r="CS542" s="41">
        <v>100</v>
      </c>
      <c r="CT542" s="41">
        <v>8</v>
      </c>
      <c r="CU542" s="41">
        <v>180</v>
      </c>
      <c r="CV542" s="41">
        <v>10</v>
      </c>
      <c r="CW542" s="41" t="s">
        <v>4706</v>
      </c>
      <c r="CX542" s="41" t="s">
        <v>4716</v>
      </c>
      <c r="CY542" s="40" t="s">
        <v>4717</v>
      </c>
    </row>
    <row r="543" spans="94:103" ht="14.6">
      <c r="CP543" s="40">
        <v>277</v>
      </c>
      <c r="CQ543" s="41" t="s">
        <v>3193</v>
      </c>
      <c r="CR543" s="41" t="s">
        <v>6247</v>
      </c>
      <c r="CS543" s="41">
        <v>250</v>
      </c>
      <c r="CT543" s="41">
        <v>1</v>
      </c>
      <c r="CU543" s="41">
        <v>115</v>
      </c>
      <c r="CV543" s="41">
        <v>30</v>
      </c>
      <c r="CW543" s="41" t="s">
        <v>4706</v>
      </c>
      <c r="CX543" s="41" t="s">
        <v>4716</v>
      </c>
      <c r="CY543" s="40" t="s">
        <v>6124</v>
      </c>
    </row>
    <row r="544" spans="94:103" ht="14.6">
      <c r="CP544" s="40">
        <v>278</v>
      </c>
      <c r="CQ544" s="41" t="s">
        <v>3193</v>
      </c>
      <c r="CR544" s="41" t="s">
        <v>4353</v>
      </c>
      <c r="CS544" s="41">
        <v>500</v>
      </c>
      <c r="CT544" s="41">
        <v>24</v>
      </c>
      <c r="CU544" s="41">
        <v>90</v>
      </c>
      <c r="CV544" s="41">
        <v>60</v>
      </c>
      <c r="CW544" s="41" t="s">
        <v>4706</v>
      </c>
      <c r="CX544" s="41" t="s">
        <v>4716</v>
      </c>
      <c r="CY544" s="40" t="s">
        <v>3104</v>
      </c>
    </row>
    <row r="545" spans="94:103" ht="14.6">
      <c r="CP545" s="40">
        <v>279</v>
      </c>
      <c r="CQ545" s="41" t="s">
        <v>3201</v>
      </c>
      <c r="CR545" s="41" t="s">
        <v>6248</v>
      </c>
      <c r="CS545" s="41">
        <v>100</v>
      </c>
      <c r="CT545" s="41">
        <v>8</v>
      </c>
      <c r="CU545" s="41">
        <v>180</v>
      </c>
      <c r="CV545" s="41">
        <v>10</v>
      </c>
      <c r="CW545" s="41" t="s">
        <v>4706</v>
      </c>
      <c r="CX545" s="41" t="s">
        <v>4716</v>
      </c>
      <c r="CY545" s="40" t="s">
        <v>4717</v>
      </c>
    </row>
    <row r="546" spans="94:103" ht="14.6">
      <c r="CP546" s="40">
        <v>280</v>
      </c>
      <c r="CQ546" s="41" t="s">
        <v>3201</v>
      </c>
      <c r="CR546" s="41" t="s">
        <v>6249</v>
      </c>
      <c r="CS546" s="41">
        <v>250</v>
      </c>
      <c r="CT546" s="41">
        <v>1</v>
      </c>
      <c r="CU546" s="41">
        <v>115</v>
      </c>
      <c r="CV546" s="41">
        <v>30</v>
      </c>
      <c r="CW546" s="41" t="s">
        <v>4706</v>
      </c>
      <c r="CX546" s="41" t="s">
        <v>4716</v>
      </c>
      <c r="CY546" s="40" t="s">
        <v>6124</v>
      </c>
    </row>
    <row r="547" spans="94:103" ht="14.6">
      <c r="CP547" s="40">
        <v>281</v>
      </c>
      <c r="CQ547" s="41" t="s">
        <v>3201</v>
      </c>
      <c r="CR547" s="41" t="s">
        <v>6250</v>
      </c>
      <c r="CS547" s="41">
        <v>500</v>
      </c>
      <c r="CT547" s="41">
        <v>24</v>
      </c>
      <c r="CU547" s="41">
        <v>90</v>
      </c>
      <c r="CV547" s="41">
        <v>60</v>
      </c>
      <c r="CW547" s="41" t="s">
        <v>4706</v>
      </c>
      <c r="CX547" s="41" t="s">
        <v>4716</v>
      </c>
      <c r="CY547" s="40" t="s">
        <v>3104</v>
      </c>
    </row>
    <row r="548" spans="94:103" ht="14.6">
      <c r="CP548" s="40">
        <v>282</v>
      </c>
      <c r="CQ548" s="41" t="s">
        <v>3254</v>
      </c>
      <c r="CR548" s="41" t="s">
        <v>5070</v>
      </c>
      <c r="CS548" s="41">
        <v>250</v>
      </c>
      <c r="CT548" s="41">
        <v>8</v>
      </c>
      <c r="CU548" s="41">
        <v>180</v>
      </c>
      <c r="CV548" s="41">
        <v>30</v>
      </c>
      <c r="CW548" s="41" t="s">
        <v>4706</v>
      </c>
      <c r="CX548" s="41" t="s">
        <v>4716</v>
      </c>
      <c r="CY548" s="40" t="s">
        <v>4717</v>
      </c>
    </row>
    <row r="549" spans="94:103" ht="14.6">
      <c r="CP549" s="40">
        <v>283</v>
      </c>
      <c r="CQ549" s="41" t="s">
        <v>3246</v>
      </c>
      <c r="CR549" s="41" t="s">
        <v>5063</v>
      </c>
      <c r="CS549" s="41">
        <v>250</v>
      </c>
      <c r="CT549" s="41">
        <v>8</v>
      </c>
      <c r="CU549" s="41">
        <v>270</v>
      </c>
      <c r="CV549" s="41">
        <v>30</v>
      </c>
      <c r="CW549" s="41" t="s">
        <v>4706</v>
      </c>
      <c r="CX549" s="41" t="s">
        <v>4716</v>
      </c>
      <c r="CY549" s="40" t="s">
        <v>4717</v>
      </c>
    </row>
    <row r="550" spans="94:103" ht="14.6">
      <c r="CP550" s="40">
        <v>284</v>
      </c>
      <c r="CQ550" s="41" t="s">
        <v>3334</v>
      </c>
      <c r="CR550" s="41" t="s">
        <v>5190</v>
      </c>
      <c r="CS550" s="41">
        <v>300</v>
      </c>
      <c r="CT550" s="41">
        <v>8</v>
      </c>
      <c r="CU550" s="41">
        <v>180</v>
      </c>
      <c r="CV550" s="41">
        <v>50</v>
      </c>
      <c r="CW550" s="41" t="s">
        <v>4706</v>
      </c>
      <c r="CX550" s="41" t="s">
        <v>4716</v>
      </c>
      <c r="CY550" s="40" t="s">
        <v>4717</v>
      </c>
    </row>
    <row r="551" spans="94:103" ht="14.6">
      <c r="CP551" s="40">
        <v>285</v>
      </c>
      <c r="CQ551" s="41" t="s">
        <v>3974</v>
      </c>
      <c r="CR551" s="41" t="s">
        <v>6251</v>
      </c>
      <c r="CS551" s="41">
        <v>200</v>
      </c>
      <c r="CT551" s="41">
        <v>8</v>
      </c>
      <c r="CU551" s="41">
        <v>20</v>
      </c>
      <c r="CV551" s="41">
        <v>20</v>
      </c>
      <c r="CW551" s="41" t="s">
        <v>4706</v>
      </c>
      <c r="CX551" s="41" t="s">
        <v>4716</v>
      </c>
      <c r="CY551" s="40" t="s">
        <v>4717</v>
      </c>
    </row>
    <row r="552" spans="94:103" ht="14.6">
      <c r="CP552" s="40">
        <v>286</v>
      </c>
      <c r="CQ552" s="41" t="s">
        <v>3974</v>
      </c>
      <c r="CR552" s="41" t="s">
        <v>6252</v>
      </c>
      <c r="CS552" s="41">
        <v>100</v>
      </c>
      <c r="CT552" s="41">
        <v>3</v>
      </c>
      <c r="CU552" s="41">
        <v>4</v>
      </c>
      <c r="CV552" s="41">
        <v>10</v>
      </c>
      <c r="CW552" s="41" t="s">
        <v>4706</v>
      </c>
      <c r="CX552" s="41" t="s">
        <v>4716</v>
      </c>
      <c r="CY552" s="40" t="s">
        <v>3096</v>
      </c>
    </row>
    <row r="553" spans="94:103" ht="14.6">
      <c r="CP553" s="40">
        <v>287</v>
      </c>
      <c r="CQ553" s="41" t="s">
        <v>3970</v>
      </c>
      <c r="CR553" s="41" t="s">
        <v>6253</v>
      </c>
      <c r="CS553" s="41">
        <v>200</v>
      </c>
      <c r="CT553" s="41">
        <v>8</v>
      </c>
      <c r="CU553" s="41">
        <v>20</v>
      </c>
      <c r="CV553" s="41">
        <v>20</v>
      </c>
      <c r="CW553" s="41" t="s">
        <v>4706</v>
      </c>
      <c r="CX553" s="41" t="s">
        <v>4716</v>
      </c>
      <c r="CY553" s="40" t="s">
        <v>4717</v>
      </c>
    </row>
    <row r="554" spans="94:103" ht="14.6">
      <c r="CP554" s="40">
        <v>288</v>
      </c>
      <c r="CQ554" s="41" t="s">
        <v>3970</v>
      </c>
      <c r="CR554" s="41" t="s">
        <v>6254</v>
      </c>
      <c r="CS554" s="41">
        <v>100</v>
      </c>
      <c r="CT554" s="41">
        <v>3</v>
      </c>
      <c r="CU554" s="41">
        <v>4</v>
      </c>
      <c r="CV554" s="41">
        <v>10</v>
      </c>
      <c r="CW554" s="41" t="s">
        <v>4706</v>
      </c>
      <c r="CX554" s="41" t="s">
        <v>4716</v>
      </c>
      <c r="CY554" s="40" t="s">
        <v>3096</v>
      </c>
    </row>
    <row r="555" spans="94:103" ht="14.6">
      <c r="CP555" s="40">
        <v>289</v>
      </c>
      <c r="CQ555" s="41" t="s">
        <v>3992</v>
      </c>
      <c r="CR555" s="41" t="s">
        <v>6255</v>
      </c>
      <c r="CS555" s="41">
        <v>200</v>
      </c>
      <c r="CT555" s="41">
        <v>8</v>
      </c>
      <c r="CU555" s="41">
        <v>20</v>
      </c>
      <c r="CV555" s="41">
        <v>20</v>
      </c>
      <c r="CW555" s="41" t="s">
        <v>4706</v>
      </c>
      <c r="CX555" s="41" t="s">
        <v>4716</v>
      </c>
      <c r="CY555" s="40" t="s">
        <v>4717</v>
      </c>
    </row>
    <row r="556" spans="94:103" ht="14.6">
      <c r="CP556" s="40">
        <v>290</v>
      </c>
      <c r="CQ556" s="41" t="s">
        <v>3992</v>
      </c>
      <c r="CR556" s="41" t="s">
        <v>6256</v>
      </c>
      <c r="CS556" s="41">
        <v>100</v>
      </c>
      <c r="CT556" s="41">
        <v>3</v>
      </c>
      <c r="CU556" s="41">
        <v>4</v>
      </c>
      <c r="CV556" s="41">
        <v>10</v>
      </c>
      <c r="CW556" s="41" t="s">
        <v>4706</v>
      </c>
      <c r="CX556" s="41" t="s">
        <v>4716</v>
      </c>
      <c r="CY556" s="40" t="s">
        <v>3096</v>
      </c>
    </row>
    <row r="557" spans="94:103" ht="14.6">
      <c r="CP557" s="40">
        <v>291</v>
      </c>
      <c r="CQ557" s="41" t="s">
        <v>3978</v>
      </c>
      <c r="CR557" s="41" t="s">
        <v>6257</v>
      </c>
      <c r="CS557" s="41">
        <v>200</v>
      </c>
      <c r="CT557" s="41">
        <v>8</v>
      </c>
      <c r="CU557" s="41">
        <v>20</v>
      </c>
      <c r="CV557" s="41">
        <v>20</v>
      </c>
      <c r="CW557" s="41" t="s">
        <v>4706</v>
      </c>
      <c r="CX557" s="41" t="s">
        <v>4716</v>
      </c>
      <c r="CY557" s="40" t="s">
        <v>4717</v>
      </c>
    </row>
    <row r="558" spans="94:103" ht="14.6">
      <c r="CP558" s="40">
        <v>292</v>
      </c>
      <c r="CQ558" s="41" t="s">
        <v>3978</v>
      </c>
      <c r="CR558" s="41" t="s">
        <v>6258</v>
      </c>
      <c r="CS558" s="41">
        <v>100</v>
      </c>
      <c r="CT558" s="41">
        <v>3</v>
      </c>
      <c r="CU558" s="41">
        <v>4</v>
      </c>
      <c r="CV558" s="41">
        <v>10</v>
      </c>
      <c r="CW558" s="41" t="s">
        <v>4706</v>
      </c>
      <c r="CX558" s="41" t="s">
        <v>4716</v>
      </c>
      <c r="CY558" s="40" t="s">
        <v>3096</v>
      </c>
    </row>
    <row r="559" spans="94:103" ht="14.6">
      <c r="CP559" s="40">
        <v>293</v>
      </c>
      <c r="CQ559" s="41" t="s">
        <v>3954</v>
      </c>
      <c r="CR559" s="41" t="s">
        <v>6259</v>
      </c>
      <c r="CS559" s="41">
        <v>200</v>
      </c>
      <c r="CT559" s="41">
        <v>8</v>
      </c>
      <c r="CU559" s="41">
        <v>36</v>
      </c>
      <c r="CV559" s="41">
        <v>20</v>
      </c>
      <c r="CW559" s="41" t="s">
        <v>4706</v>
      </c>
      <c r="CX559" s="41" t="s">
        <v>4716</v>
      </c>
      <c r="CY559" s="40" t="s">
        <v>4717</v>
      </c>
    </row>
    <row r="560" spans="94:103" ht="14.6">
      <c r="CP560" s="40">
        <v>294</v>
      </c>
      <c r="CQ560" s="41" t="s">
        <v>3942</v>
      </c>
      <c r="CR560" s="41" t="s">
        <v>6260</v>
      </c>
      <c r="CS560" s="41">
        <v>200</v>
      </c>
      <c r="CT560" s="41">
        <v>8</v>
      </c>
      <c r="CU560" s="41">
        <v>36</v>
      </c>
      <c r="CV560" s="41">
        <v>20</v>
      </c>
      <c r="CW560" s="41" t="s">
        <v>4706</v>
      </c>
      <c r="CX560" s="41" t="s">
        <v>4716</v>
      </c>
      <c r="CY560" s="40" t="s">
        <v>4717</v>
      </c>
    </row>
    <row r="561" spans="94:103" ht="14.6">
      <c r="CP561" s="40">
        <v>295</v>
      </c>
      <c r="CQ561" s="41" t="s">
        <v>3893</v>
      </c>
      <c r="CR561" s="41" t="s">
        <v>6261</v>
      </c>
      <c r="CS561" s="41">
        <v>175</v>
      </c>
      <c r="CT561" s="41">
        <v>8</v>
      </c>
      <c r="CU561" s="41">
        <v>36</v>
      </c>
      <c r="CV561" s="41">
        <v>10</v>
      </c>
      <c r="CW561" s="41" t="s">
        <v>4706</v>
      </c>
      <c r="CX561" s="41" t="s">
        <v>4716</v>
      </c>
      <c r="CY561" s="40" t="s">
        <v>4717</v>
      </c>
    </row>
    <row r="562" spans="94:103" ht="14.6">
      <c r="CP562" s="40">
        <v>296</v>
      </c>
      <c r="CQ562" s="41" t="s">
        <v>3838</v>
      </c>
      <c r="CR562" s="41" t="s">
        <v>6262</v>
      </c>
      <c r="CS562" s="41">
        <v>175</v>
      </c>
      <c r="CT562" s="41">
        <v>8</v>
      </c>
      <c r="CU562" s="41">
        <v>36</v>
      </c>
      <c r="CV562" s="41">
        <v>10</v>
      </c>
      <c r="CW562" s="41" t="s">
        <v>4706</v>
      </c>
      <c r="CX562" s="41" t="s">
        <v>4716</v>
      </c>
      <c r="CY562" s="40" t="s">
        <v>4717</v>
      </c>
    </row>
    <row r="563" spans="94:103" ht="14.6">
      <c r="CP563" s="40">
        <v>297</v>
      </c>
      <c r="CQ563" s="41" t="s">
        <v>3850</v>
      </c>
      <c r="CR563" s="41" t="s">
        <v>6263</v>
      </c>
      <c r="CS563" s="41">
        <v>175</v>
      </c>
      <c r="CT563" s="41">
        <v>8</v>
      </c>
      <c r="CU563" s="41">
        <v>36</v>
      </c>
      <c r="CV563" s="41">
        <v>10</v>
      </c>
      <c r="CW563" s="41" t="s">
        <v>4706</v>
      </c>
      <c r="CX563" s="41" t="s">
        <v>4716</v>
      </c>
      <c r="CY563" s="40" t="s">
        <v>4717</v>
      </c>
    </row>
    <row r="564" spans="94:103" ht="14.6">
      <c r="CP564" s="40">
        <v>298</v>
      </c>
      <c r="CQ564" s="41" t="s">
        <v>3296</v>
      </c>
      <c r="CR564" s="41" t="s">
        <v>5131</v>
      </c>
      <c r="CS564" s="41">
        <v>200</v>
      </c>
      <c r="CT564" s="41">
        <v>8</v>
      </c>
      <c r="CU564" s="41">
        <v>50</v>
      </c>
      <c r="CV564" s="41">
        <v>10</v>
      </c>
      <c r="CW564" s="41" t="s">
        <v>4706</v>
      </c>
      <c r="CX564" s="41" t="s">
        <v>4716</v>
      </c>
      <c r="CY564" s="40" t="s">
        <v>4717</v>
      </c>
    </row>
    <row r="565" spans="94:103" ht="14.6">
      <c r="CP565" s="40">
        <v>299</v>
      </c>
      <c r="CQ565" s="41" t="s">
        <v>6264</v>
      </c>
      <c r="CR565" s="41" t="s">
        <v>6265</v>
      </c>
      <c r="CS565" s="41">
        <v>175</v>
      </c>
      <c r="CT565" s="41">
        <v>3</v>
      </c>
      <c r="CU565" s="41">
        <v>27</v>
      </c>
      <c r="CV565" s="41">
        <v>10</v>
      </c>
      <c r="CW565" s="41" t="s">
        <v>4706</v>
      </c>
      <c r="CX565" s="41" t="s">
        <v>4716</v>
      </c>
      <c r="CY565" s="40" t="s">
        <v>4717</v>
      </c>
    </row>
    <row r="566" spans="94:103" ht="14.6">
      <c r="CP566" s="40">
        <v>300</v>
      </c>
      <c r="CQ566" s="41" t="s">
        <v>6264</v>
      </c>
      <c r="CR566" s="41" t="s">
        <v>6265</v>
      </c>
      <c r="CS566" s="41">
        <v>250</v>
      </c>
      <c r="CT566" s="41">
        <v>1</v>
      </c>
      <c r="CU566" s="41">
        <v>14</v>
      </c>
      <c r="CV566" s="41">
        <v>30</v>
      </c>
      <c r="CW566" s="41" t="s">
        <v>4706</v>
      </c>
      <c r="CX566" s="41" t="s">
        <v>4716</v>
      </c>
      <c r="CY566" s="40" t="s">
        <v>6124</v>
      </c>
    </row>
    <row r="567" spans="94:103" ht="14.6">
      <c r="CP567" s="40">
        <v>301</v>
      </c>
      <c r="CQ567" s="41" t="s">
        <v>3650</v>
      </c>
      <c r="CR567" s="41" t="s">
        <v>3775</v>
      </c>
      <c r="CS567" s="41">
        <v>175</v>
      </c>
      <c r="CT567" s="41">
        <v>8</v>
      </c>
      <c r="CU567" s="41">
        <v>30</v>
      </c>
      <c r="CV567" s="41">
        <v>10</v>
      </c>
      <c r="CW567" s="41" t="s">
        <v>4706</v>
      </c>
      <c r="CX567" s="41" t="s">
        <v>4716</v>
      </c>
      <c r="CY567" s="40" t="s">
        <v>4717</v>
      </c>
    </row>
    <row r="568" spans="94:103" ht="14.6">
      <c r="CP568" s="40">
        <v>302</v>
      </c>
      <c r="CQ568" s="41" t="s">
        <v>3646</v>
      </c>
      <c r="CR568" s="41" t="s">
        <v>3765</v>
      </c>
      <c r="CS568" s="41">
        <v>175</v>
      </c>
      <c r="CT568" s="41">
        <v>8</v>
      </c>
      <c r="CU568" s="41">
        <v>30</v>
      </c>
      <c r="CV568" s="41">
        <v>10</v>
      </c>
      <c r="CW568" s="41" t="s">
        <v>4706</v>
      </c>
      <c r="CX568" s="41" t="s">
        <v>4716</v>
      </c>
      <c r="CY568" s="40" t="s">
        <v>4717</v>
      </c>
    </row>
    <row r="569" spans="94:103" ht="14.6">
      <c r="CP569" s="40">
        <v>303</v>
      </c>
      <c r="CQ569" s="41" t="s">
        <v>3655</v>
      </c>
      <c r="CR569" s="41" t="s">
        <v>3784</v>
      </c>
      <c r="CS569" s="41">
        <v>175</v>
      </c>
      <c r="CT569" s="41">
        <v>8</v>
      </c>
      <c r="CU569" s="41">
        <v>30</v>
      </c>
      <c r="CV569" s="41">
        <v>10</v>
      </c>
      <c r="CW569" s="41" t="s">
        <v>4706</v>
      </c>
      <c r="CX569" s="41" t="s">
        <v>4716</v>
      </c>
      <c r="CY569" s="40" t="s">
        <v>4717</v>
      </c>
    </row>
    <row r="570" spans="94:103" ht="14.6">
      <c r="CP570" s="40">
        <v>304</v>
      </c>
      <c r="CQ570" s="41" t="s">
        <v>3719</v>
      </c>
      <c r="CR570" s="41" t="s">
        <v>3772</v>
      </c>
      <c r="CS570" s="41">
        <v>175</v>
      </c>
      <c r="CT570" s="41">
        <v>8</v>
      </c>
      <c r="CU570" s="41">
        <v>30</v>
      </c>
      <c r="CV570" s="41">
        <v>10</v>
      </c>
      <c r="CW570" s="41" t="s">
        <v>4706</v>
      </c>
      <c r="CX570" s="41" t="s">
        <v>4716</v>
      </c>
      <c r="CY570" s="40" t="s">
        <v>4717</v>
      </c>
    </row>
    <row r="571" spans="94:103" ht="14.6">
      <c r="CP571" s="40">
        <v>305</v>
      </c>
      <c r="CQ571" s="41" t="s">
        <v>3722</v>
      </c>
      <c r="CR571" s="41" t="s">
        <v>3757</v>
      </c>
      <c r="CS571" s="41">
        <v>175</v>
      </c>
      <c r="CT571" s="41">
        <v>8</v>
      </c>
      <c r="CU571" s="41">
        <v>30</v>
      </c>
      <c r="CV571" s="41">
        <v>10</v>
      </c>
      <c r="CW571" s="41" t="s">
        <v>4706</v>
      </c>
      <c r="CX571" s="41" t="s">
        <v>4716</v>
      </c>
      <c r="CY571" s="40" t="s">
        <v>4717</v>
      </c>
    </row>
    <row r="572" spans="94:103" ht="14.6">
      <c r="CP572" s="40">
        <v>306</v>
      </c>
      <c r="CQ572" s="41" t="s">
        <v>3680</v>
      </c>
      <c r="CR572" s="41" t="s">
        <v>3748</v>
      </c>
      <c r="CS572" s="41">
        <v>175</v>
      </c>
      <c r="CT572" s="41">
        <v>8</v>
      </c>
      <c r="CU572" s="41">
        <v>30</v>
      </c>
      <c r="CV572" s="41">
        <v>10</v>
      </c>
      <c r="CW572" s="41" t="s">
        <v>4706</v>
      </c>
      <c r="CX572" s="41" t="s">
        <v>4716</v>
      </c>
      <c r="CY572" s="40" t="s">
        <v>4717</v>
      </c>
    </row>
    <row r="573" spans="94:103" ht="14.6">
      <c r="CP573" s="40">
        <v>307</v>
      </c>
      <c r="CQ573" s="41" t="s">
        <v>3713</v>
      </c>
      <c r="CR573" s="41" t="s">
        <v>3780</v>
      </c>
      <c r="CS573" s="41">
        <v>175</v>
      </c>
      <c r="CT573" s="41">
        <v>8</v>
      </c>
      <c r="CU573" s="41">
        <v>30</v>
      </c>
      <c r="CV573" s="41">
        <v>10</v>
      </c>
      <c r="CW573" s="41" t="s">
        <v>4706</v>
      </c>
      <c r="CX573" s="41" t="s">
        <v>4716</v>
      </c>
      <c r="CY573" s="40" t="s">
        <v>4717</v>
      </c>
    </row>
    <row r="574" spans="94:103" ht="14.6">
      <c r="CP574" s="40">
        <v>308</v>
      </c>
      <c r="CQ574" s="41" t="s">
        <v>3685</v>
      </c>
      <c r="CR574" s="41" t="s">
        <v>3761</v>
      </c>
      <c r="CS574" s="41">
        <v>175</v>
      </c>
      <c r="CT574" s="41">
        <v>8</v>
      </c>
      <c r="CU574" s="41">
        <v>30</v>
      </c>
      <c r="CV574" s="41">
        <v>10</v>
      </c>
      <c r="CW574" s="41" t="s">
        <v>4706</v>
      </c>
      <c r="CX574" s="41" t="s">
        <v>4716</v>
      </c>
      <c r="CY574" s="40" t="s">
        <v>4717</v>
      </c>
    </row>
    <row r="575" spans="94:103" ht="14.6">
      <c r="CP575" s="40">
        <v>309</v>
      </c>
      <c r="CQ575" s="41" t="s">
        <v>3716</v>
      </c>
      <c r="CR575" s="41" t="s">
        <v>3753</v>
      </c>
      <c r="CS575" s="41">
        <v>175</v>
      </c>
      <c r="CT575" s="41">
        <v>8</v>
      </c>
      <c r="CU575" s="41">
        <v>30</v>
      </c>
      <c r="CV575" s="41">
        <v>10</v>
      </c>
      <c r="CW575" s="41" t="s">
        <v>4706</v>
      </c>
      <c r="CX575" s="41" t="s">
        <v>4716</v>
      </c>
      <c r="CY575" s="40" t="s">
        <v>4717</v>
      </c>
    </row>
    <row r="576" spans="94:103" ht="14.6">
      <c r="CP576" s="40">
        <v>310</v>
      </c>
      <c r="CQ576" s="41" t="s">
        <v>3660</v>
      </c>
      <c r="CR576" s="41" t="s">
        <v>3788</v>
      </c>
      <c r="CS576" s="41">
        <v>175</v>
      </c>
      <c r="CT576" s="41">
        <v>8</v>
      </c>
      <c r="CU576" s="41">
        <v>30</v>
      </c>
      <c r="CV576" s="41">
        <v>10</v>
      </c>
      <c r="CW576" s="41" t="s">
        <v>4706</v>
      </c>
      <c r="CX576" s="41" t="s">
        <v>4716</v>
      </c>
      <c r="CY576" s="40" t="s">
        <v>4717</v>
      </c>
    </row>
    <row r="577" spans="94:103" ht="14.6">
      <c r="CP577" s="40">
        <v>311</v>
      </c>
      <c r="CQ577" s="41" t="s">
        <v>3725</v>
      </c>
      <c r="CR577" s="41" t="s">
        <v>3744</v>
      </c>
      <c r="CS577" s="41">
        <v>175</v>
      </c>
      <c r="CT577" s="41">
        <v>8</v>
      </c>
      <c r="CU577" s="41">
        <v>30</v>
      </c>
      <c r="CV577" s="41">
        <v>10</v>
      </c>
      <c r="CW577" s="41" t="s">
        <v>4706</v>
      </c>
      <c r="CX577" s="41" t="s">
        <v>4716</v>
      </c>
      <c r="CY577" s="40" t="s">
        <v>4717</v>
      </c>
    </row>
    <row r="578" spans="94:103" ht="14.6">
      <c r="CP578" s="40">
        <v>312</v>
      </c>
      <c r="CQ578" s="41" t="s">
        <v>3650</v>
      </c>
      <c r="CR578" s="41" t="s">
        <v>3775</v>
      </c>
      <c r="CS578" s="41">
        <v>350</v>
      </c>
      <c r="CT578" s="41">
        <v>24</v>
      </c>
      <c r="CU578" s="41">
        <v>30</v>
      </c>
      <c r="CV578" s="41">
        <v>30</v>
      </c>
      <c r="CW578" s="41" t="s">
        <v>4706</v>
      </c>
      <c r="CX578" s="41" t="s">
        <v>4716</v>
      </c>
      <c r="CY578" s="40" t="s">
        <v>3104</v>
      </c>
    </row>
    <row r="579" spans="94:103" ht="14.6">
      <c r="CP579" s="40">
        <v>313</v>
      </c>
      <c r="CQ579" s="41" t="s">
        <v>3646</v>
      </c>
      <c r="CR579" s="41" t="s">
        <v>3765</v>
      </c>
      <c r="CS579" s="41">
        <v>350</v>
      </c>
      <c r="CT579" s="41">
        <v>24</v>
      </c>
      <c r="CU579" s="41">
        <v>30</v>
      </c>
      <c r="CV579" s="41">
        <v>30</v>
      </c>
      <c r="CW579" s="41" t="s">
        <v>4706</v>
      </c>
      <c r="CX579" s="41" t="s">
        <v>4716</v>
      </c>
      <c r="CY579" s="40" t="s">
        <v>3104</v>
      </c>
    </row>
    <row r="580" spans="94:103" ht="14.6">
      <c r="CP580" s="40">
        <v>314</v>
      </c>
      <c r="CQ580" s="41" t="s">
        <v>3655</v>
      </c>
      <c r="CR580" s="41" t="s">
        <v>3784</v>
      </c>
      <c r="CS580" s="41">
        <v>350</v>
      </c>
      <c r="CT580" s="41">
        <v>24</v>
      </c>
      <c r="CU580" s="41">
        <v>30</v>
      </c>
      <c r="CV580" s="41">
        <v>30</v>
      </c>
      <c r="CW580" s="41" t="s">
        <v>4706</v>
      </c>
      <c r="CX580" s="41" t="s">
        <v>4716</v>
      </c>
      <c r="CY580" s="40" t="s">
        <v>3104</v>
      </c>
    </row>
    <row r="581" spans="94:103" ht="14.6">
      <c r="CP581" s="40">
        <v>315</v>
      </c>
      <c r="CQ581" s="41" t="s">
        <v>3719</v>
      </c>
      <c r="CR581" s="41" t="s">
        <v>3772</v>
      </c>
      <c r="CS581" s="41">
        <v>350</v>
      </c>
      <c r="CT581" s="41">
        <v>24</v>
      </c>
      <c r="CU581" s="41">
        <v>30</v>
      </c>
      <c r="CV581" s="41">
        <v>30</v>
      </c>
      <c r="CW581" s="41" t="s">
        <v>4706</v>
      </c>
      <c r="CX581" s="41" t="s">
        <v>4716</v>
      </c>
      <c r="CY581" s="40" t="s">
        <v>3104</v>
      </c>
    </row>
    <row r="582" spans="94:103" ht="14.6">
      <c r="CP582" s="40">
        <v>316</v>
      </c>
      <c r="CQ582" s="41" t="s">
        <v>3722</v>
      </c>
      <c r="CR582" s="41" t="s">
        <v>3757</v>
      </c>
      <c r="CS582" s="41">
        <v>350</v>
      </c>
      <c r="CT582" s="41">
        <v>24</v>
      </c>
      <c r="CU582" s="41">
        <v>30</v>
      </c>
      <c r="CV582" s="41">
        <v>30</v>
      </c>
      <c r="CW582" s="41" t="s">
        <v>4706</v>
      </c>
      <c r="CX582" s="41" t="s">
        <v>4716</v>
      </c>
      <c r="CY582" s="40" t="s">
        <v>3104</v>
      </c>
    </row>
    <row r="583" spans="94:103" ht="14.6">
      <c r="CP583" s="40">
        <v>317</v>
      </c>
      <c r="CQ583" s="41" t="s">
        <v>3680</v>
      </c>
      <c r="CR583" s="41" t="s">
        <v>3748</v>
      </c>
      <c r="CS583" s="41">
        <v>350</v>
      </c>
      <c r="CT583" s="41">
        <v>24</v>
      </c>
      <c r="CU583" s="41">
        <v>30</v>
      </c>
      <c r="CV583" s="41">
        <v>30</v>
      </c>
      <c r="CW583" s="41" t="s">
        <v>4706</v>
      </c>
      <c r="CX583" s="41" t="s">
        <v>4716</v>
      </c>
      <c r="CY583" s="40" t="s">
        <v>3104</v>
      </c>
    </row>
    <row r="584" spans="94:103" ht="14.6">
      <c r="CP584" s="40">
        <v>318</v>
      </c>
      <c r="CQ584" s="41" t="s">
        <v>3713</v>
      </c>
      <c r="CR584" s="41" t="s">
        <v>3780</v>
      </c>
      <c r="CS584" s="41">
        <v>350</v>
      </c>
      <c r="CT584" s="41">
        <v>24</v>
      </c>
      <c r="CU584" s="41">
        <v>30</v>
      </c>
      <c r="CV584" s="41">
        <v>30</v>
      </c>
      <c r="CW584" s="41" t="s">
        <v>4706</v>
      </c>
      <c r="CX584" s="41" t="s">
        <v>4716</v>
      </c>
      <c r="CY584" s="40" t="s">
        <v>3104</v>
      </c>
    </row>
    <row r="585" spans="94:103" ht="14.6">
      <c r="CP585" s="40">
        <v>319</v>
      </c>
      <c r="CQ585" s="41" t="s">
        <v>3685</v>
      </c>
      <c r="CR585" s="41" t="s">
        <v>3761</v>
      </c>
      <c r="CS585" s="41">
        <v>350</v>
      </c>
      <c r="CT585" s="41">
        <v>24</v>
      </c>
      <c r="CU585" s="41">
        <v>30</v>
      </c>
      <c r="CV585" s="41">
        <v>30</v>
      </c>
      <c r="CW585" s="41" t="s">
        <v>4706</v>
      </c>
      <c r="CX585" s="41" t="s">
        <v>4716</v>
      </c>
      <c r="CY585" s="40" t="s">
        <v>3104</v>
      </c>
    </row>
    <row r="586" spans="94:103" ht="14.6">
      <c r="CP586" s="40">
        <v>320</v>
      </c>
      <c r="CQ586" s="41" t="s">
        <v>3716</v>
      </c>
      <c r="CR586" s="41" t="s">
        <v>3753</v>
      </c>
      <c r="CS586" s="41">
        <v>350</v>
      </c>
      <c r="CT586" s="41">
        <v>24</v>
      </c>
      <c r="CU586" s="41">
        <v>30</v>
      </c>
      <c r="CV586" s="41">
        <v>30</v>
      </c>
      <c r="CW586" s="41" t="s">
        <v>4706</v>
      </c>
      <c r="CX586" s="41" t="s">
        <v>4716</v>
      </c>
      <c r="CY586" s="40" t="s">
        <v>3104</v>
      </c>
    </row>
    <row r="587" spans="94:103" ht="14.6">
      <c r="CP587" s="40">
        <v>321</v>
      </c>
      <c r="CQ587" s="41" t="s">
        <v>3660</v>
      </c>
      <c r="CR587" s="41" t="s">
        <v>3788</v>
      </c>
      <c r="CS587" s="41">
        <v>350</v>
      </c>
      <c r="CT587" s="41">
        <v>24</v>
      </c>
      <c r="CU587" s="41">
        <v>30</v>
      </c>
      <c r="CV587" s="41">
        <v>30</v>
      </c>
      <c r="CW587" s="41" t="s">
        <v>4706</v>
      </c>
      <c r="CX587" s="41" t="s">
        <v>4716</v>
      </c>
      <c r="CY587" s="40" t="s">
        <v>3104</v>
      </c>
    </row>
    <row r="588" spans="94:103" ht="14.6">
      <c r="CP588" s="40">
        <v>322</v>
      </c>
      <c r="CQ588" s="41" t="s">
        <v>3725</v>
      </c>
      <c r="CR588" s="41" t="s">
        <v>3744</v>
      </c>
      <c r="CS588" s="41">
        <v>350</v>
      </c>
      <c r="CT588" s="41">
        <v>24</v>
      </c>
      <c r="CU588" s="41">
        <v>30</v>
      </c>
      <c r="CV588" s="41">
        <v>30</v>
      </c>
      <c r="CW588" s="41" t="s">
        <v>4706</v>
      </c>
      <c r="CX588" s="41" t="s">
        <v>4716</v>
      </c>
      <c r="CY588" s="40" t="s">
        <v>3104</v>
      </c>
    </row>
    <row r="589" spans="94:103" ht="14.6">
      <c r="CP589" s="40">
        <v>323</v>
      </c>
      <c r="CQ589" s="41" t="s">
        <v>4015</v>
      </c>
      <c r="CR589" s="41" t="s">
        <v>6266</v>
      </c>
      <c r="CS589" s="41">
        <v>200</v>
      </c>
      <c r="CT589" s="41">
        <v>8</v>
      </c>
      <c r="CU589" s="41">
        <v>20</v>
      </c>
      <c r="CV589" s="41">
        <v>20</v>
      </c>
      <c r="CW589" s="41" t="s">
        <v>4706</v>
      </c>
      <c r="CX589" s="41" t="s">
        <v>4716</v>
      </c>
      <c r="CY589" s="40" t="s">
        <v>4717</v>
      </c>
    </row>
    <row r="590" spans="94:103" ht="14.6">
      <c r="CP590" s="40">
        <v>324</v>
      </c>
      <c r="CQ590" s="41" t="s">
        <v>4015</v>
      </c>
      <c r="CR590" s="41" t="s">
        <v>6267</v>
      </c>
      <c r="CS590" s="41">
        <v>100</v>
      </c>
      <c r="CT590" s="41">
        <v>3</v>
      </c>
      <c r="CU590" s="41">
        <v>4</v>
      </c>
      <c r="CV590" s="41">
        <v>10</v>
      </c>
      <c r="CW590" s="41" t="s">
        <v>4706</v>
      </c>
      <c r="CX590" s="41" t="s">
        <v>4716</v>
      </c>
      <c r="CY590" s="40" t="s">
        <v>3096</v>
      </c>
    </row>
    <row r="591" spans="94:103" ht="14.6">
      <c r="CP591" s="40">
        <v>325</v>
      </c>
      <c r="CQ591" s="41" t="s">
        <v>3996</v>
      </c>
      <c r="CR591" s="41" t="s">
        <v>6268</v>
      </c>
      <c r="CS591" s="41">
        <v>200</v>
      </c>
      <c r="CT591" s="41">
        <v>8</v>
      </c>
      <c r="CU591" s="41">
        <v>20</v>
      </c>
      <c r="CV591" s="41">
        <v>20</v>
      </c>
      <c r="CW591" s="41" t="s">
        <v>4706</v>
      </c>
      <c r="CX591" s="41" t="s">
        <v>4716</v>
      </c>
      <c r="CY591" s="40" t="s">
        <v>4717</v>
      </c>
    </row>
    <row r="592" spans="94:103" ht="14.6">
      <c r="CP592" s="40">
        <v>326</v>
      </c>
      <c r="CQ592" s="41" t="s">
        <v>3996</v>
      </c>
      <c r="CR592" s="41" t="s">
        <v>6269</v>
      </c>
      <c r="CS592" s="41">
        <v>100</v>
      </c>
      <c r="CT592" s="41">
        <v>3</v>
      </c>
      <c r="CU592" s="41">
        <v>4</v>
      </c>
      <c r="CV592" s="41">
        <v>10</v>
      </c>
      <c r="CW592" s="41" t="s">
        <v>4706</v>
      </c>
      <c r="CX592" s="41" t="s">
        <v>4716</v>
      </c>
      <c r="CY592" s="40" t="s">
        <v>3096</v>
      </c>
    </row>
    <row r="593" spans="94:103" ht="14.6">
      <c r="CP593" s="40">
        <v>327</v>
      </c>
      <c r="CQ593" s="41" t="s">
        <v>3987</v>
      </c>
      <c r="CR593" s="41" t="s">
        <v>6270</v>
      </c>
      <c r="CS593" s="41">
        <v>200</v>
      </c>
      <c r="CT593" s="41">
        <v>8</v>
      </c>
      <c r="CU593" s="41">
        <v>20</v>
      </c>
      <c r="CV593" s="41">
        <v>20</v>
      </c>
      <c r="CW593" s="41" t="s">
        <v>4706</v>
      </c>
      <c r="CX593" s="41" t="s">
        <v>4716</v>
      </c>
      <c r="CY593" s="40" t="s">
        <v>4717</v>
      </c>
    </row>
    <row r="594" spans="94:103" ht="14.6">
      <c r="CP594" s="40">
        <v>328</v>
      </c>
      <c r="CQ594" s="41" t="s">
        <v>3987</v>
      </c>
      <c r="CR594" s="41" t="s">
        <v>6271</v>
      </c>
      <c r="CS594" s="41">
        <v>100</v>
      </c>
      <c r="CT594" s="41">
        <v>3</v>
      </c>
      <c r="CU594" s="41">
        <v>4</v>
      </c>
      <c r="CV594" s="41">
        <v>10</v>
      </c>
      <c r="CW594" s="41" t="s">
        <v>4706</v>
      </c>
      <c r="CX594" s="41" t="s">
        <v>4716</v>
      </c>
      <c r="CY594" s="40" t="s">
        <v>3096</v>
      </c>
    </row>
    <row r="595" spans="94:103" ht="14.6">
      <c r="CP595" s="40">
        <v>329</v>
      </c>
      <c r="CQ595" s="41" t="s">
        <v>4011</v>
      </c>
      <c r="CR595" s="41" t="s">
        <v>6272</v>
      </c>
      <c r="CS595" s="41">
        <v>200</v>
      </c>
      <c r="CT595" s="41">
        <v>8</v>
      </c>
      <c r="CU595" s="41">
        <v>20</v>
      </c>
      <c r="CV595" s="41">
        <v>20</v>
      </c>
      <c r="CW595" s="41" t="s">
        <v>4706</v>
      </c>
      <c r="CX595" s="41" t="s">
        <v>4716</v>
      </c>
      <c r="CY595" s="40" t="s">
        <v>4717</v>
      </c>
    </row>
    <row r="596" spans="94:103" ht="14.6">
      <c r="CP596" s="40">
        <v>330</v>
      </c>
      <c r="CQ596" s="41" t="s">
        <v>4011</v>
      </c>
      <c r="CR596" s="41" t="s">
        <v>6273</v>
      </c>
      <c r="CS596" s="41">
        <v>100</v>
      </c>
      <c r="CT596" s="41">
        <v>3</v>
      </c>
      <c r="CU596" s="41">
        <v>4</v>
      </c>
      <c r="CV596" s="41">
        <v>10</v>
      </c>
      <c r="CW596" s="41" t="s">
        <v>4706</v>
      </c>
      <c r="CX596" s="41" t="s">
        <v>4716</v>
      </c>
      <c r="CY596" s="40" t="s">
        <v>3096</v>
      </c>
    </row>
    <row r="597" spans="94:103" ht="14.6">
      <c r="CP597" s="40">
        <v>331</v>
      </c>
      <c r="CQ597" s="41" t="s">
        <v>4001</v>
      </c>
      <c r="CR597" s="41" t="s">
        <v>6274</v>
      </c>
      <c r="CS597" s="41">
        <v>200</v>
      </c>
      <c r="CT597" s="41">
        <v>8</v>
      </c>
      <c r="CU597" s="41">
        <v>20</v>
      </c>
      <c r="CV597" s="41">
        <v>20</v>
      </c>
      <c r="CW597" s="41" t="s">
        <v>4706</v>
      </c>
      <c r="CX597" s="41" t="s">
        <v>4716</v>
      </c>
      <c r="CY597" s="40" t="s">
        <v>4717</v>
      </c>
    </row>
    <row r="598" spans="94:103" ht="14.6">
      <c r="CP598" s="40">
        <v>332</v>
      </c>
      <c r="CQ598" s="41" t="s">
        <v>4001</v>
      </c>
      <c r="CR598" s="41" t="s">
        <v>6275</v>
      </c>
      <c r="CS598" s="41">
        <v>100</v>
      </c>
      <c r="CT598" s="41">
        <v>3</v>
      </c>
      <c r="CU598" s="41">
        <v>4</v>
      </c>
      <c r="CV598" s="41">
        <v>10</v>
      </c>
      <c r="CW598" s="41" t="s">
        <v>4706</v>
      </c>
      <c r="CX598" s="41" t="s">
        <v>4716</v>
      </c>
      <c r="CY598" s="40" t="s">
        <v>3096</v>
      </c>
    </row>
    <row r="599" spans="94:103" ht="14.6">
      <c r="CP599" s="40">
        <v>333</v>
      </c>
      <c r="CQ599" s="41" t="s">
        <v>3722</v>
      </c>
      <c r="CR599" s="41" t="s">
        <v>6276</v>
      </c>
      <c r="CS599" s="41">
        <v>200</v>
      </c>
      <c r="CT599" s="41">
        <v>8</v>
      </c>
      <c r="CU599" s="41">
        <v>20</v>
      </c>
      <c r="CV599" s="41">
        <v>20</v>
      </c>
      <c r="CW599" s="41" t="s">
        <v>4706</v>
      </c>
      <c r="CX599" s="41" t="s">
        <v>4716</v>
      </c>
      <c r="CY599" s="40" t="s">
        <v>4717</v>
      </c>
    </row>
    <row r="600" spans="94:103" ht="14.6">
      <c r="CP600" s="40">
        <v>334</v>
      </c>
      <c r="CQ600" s="41" t="s">
        <v>3722</v>
      </c>
      <c r="CR600" s="41" t="s">
        <v>6277</v>
      </c>
      <c r="CS600" s="41">
        <v>100</v>
      </c>
      <c r="CT600" s="41">
        <v>3</v>
      </c>
      <c r="CU600" s="41">
        <v>4</v>
      </c>
      <c r="CV600" s="41">
        <v>10</v>
      </c>
      <c r="CW600" s="41" t="s">
        <v>4706</v>
      </c>
      <c r="CX600" s="41" t="s">
        <v>4716</v>
      </c>
      <c r="CY600" s="40" t="s">
        <v>3096</v>
      </c>
    </row>
    <row r="601" spans="94:103" ht="14.6">
      <c r="CP601" s="40">
        <v>335</v>
      </c>
      <c r="CQ601" s="41" t="s">
        <v>3982</v>
      </c>
      <c r="CR601" s="41" t="s">
        <v>6278</v>
      </c>
      <c r="CS601" s="41">
        <v>200</v>
      </c>
      <c r="CT601" s="41">
        <v>8</v>
      </c>
      <c r="CU601" s="41">
        <v>20</v>
      </c>
      <c r="CV601" s="41">
        <v>20</v>
      </c>
      <c r="CW601" s="41" t="s">
        <v>4706</v>
      </c>
      <c r="CX601" s="41" t="s">
        <v>4716</v>
      </c>
      <c r="CY601" s="40" t="s">
        <v>4717</v>
      </c>
    </row>
    <row r="602" spans="94:103" ht="14.6">
      <c r="CP602" s="40">
        <v>336</v>
      </c>
      <c r="CQ602" s="41" t="s">
        <v>3982</v>
      </c>
      <c r="CR602" s="41" t="s">
        <v>6279</v>
      </c>
      <c r="CS602" s="41">
        <v>100</v>
      </c>
      <c r="CT602" s="41">
        <v>3</v>
      </c>
      <c r="CU602" s="41">
        <v>4</v>
      </c>
      <c r="CV602" s="41">
        <v>10</v>
      </c>
      <c r="CW602" s="41" t="s">
        <v>4706</v>
      </c>
      <c r="CX602" s="41" t="s">
        <v>4716</v>
      </c>
      <c r="CY602" s="40" t="s">
        <v>3096</v>
      </c>
    </row>
    <row r="603" spans="94:103" ht="14.6">
      <c r="CP603" s="40">
        <v>337</v>
      </c>
      <c r="CQ603" s="41" t="s">
        <v>3946</v>
      </c>
      <c r="CR603" s="41" t="s">
        <v>6280</v>
      </c>
      <c r="CS603" s="41">
        <v>200</v>
      </c>
      <c r="CT603" s="41">
        <v>8</v>
      </c>
      <c r="CU603" s="41">
        <v>36</v>
      </c>
      <c r="CV603" s="41">
        <v>20</v>
      </c>
      <c r="CW603" s="41" t="s">
        <v>4706</v>
      </c>
      <c r="CX603" s="41" t="s">
        <v>4716</v>
      </c>
      <c r="CY603" s="40" t="s">
        <v>4717</v>
      </c>
    </row>
    <row r="604" spans="94:103" ht="14.6">
      <c r="CP604" s="40">
        <v>338</v>
      </c>
      <c r="CQ604" s="41" t="s">
        <v>3769</v>
      </c>
      <c r="CR604" s="41" t="s">
        <v>3770</v>
      </c>
      <c r="CS604" s="41">
        <v>175</v>
      </c>
      <c r="CT604" s="41">
        <v>8</v>
      </c>
      <c r="CU604" s="41">
        <v>30</v>
      </c>
      <c r="CV604" s="41">
        <v>10</v>
      </c>
      <c r="CW604" s="41" t="s">
        <v>4706</v>
      </c>
      <c r="CX604" s="41" t="s">
        <v>4716</v>
      </c>
      <c r="CY604" s="40" t="s">
        <v>4717</v>
      </c>
    </row>
    <row r="605" spans="94:103" ht="14.6">
      <c r="CP605" s="40">
        <v>339</v>
      </c>
      <c r="CQ605" s="41" t="s">
        <v>3769</v>
      </c>
      <c r="CR605" s="41" t="s">
        <v>3770</v>
      </c>
      <c r="CS605" s="41">
        <v>350</v>
      </c>
      <c r="CT605" s="41">
        <v>24</v>
      </c>
      <c r="CU605" s="41">
        <v>30</v>
      </c>
      <c r="CV605" s="41">
        <v>20</v>
      </c>
      <c r="CW605" s="41" t="s">
        <v>4706</v>
      </c>
      <c r="CX605" s="41" t="s">
        <v>4716</v>
      </c>
      <c r="CY605" s="40" t="s">
        <v>3104</v>
      </c>
    </row>
    <row r="606" spans="94:103" ht="14.6">
      <c r="CP606" s="40">
        <v>340</v>
      </c>
      <c r="CQ606" s="41" t="s">
        <v>6281</v>
      </c>
      <c r="CR606" s="41" t="s">
        <v>3839</v>
      </c>
      <c r="CS606" s="41">
        <v>100</v>
      </c>
      <c r="CT606" s="41">
        <v>8</v>
      </c>
      <c r="CU606" s="41">
        <v>4</v>
      </c>
      <c r="CV606" s="41">
        <v>10</v>
      </c>
      <c r="CW606" s="41" t="s">
        <v>4706</v>
      </c>
      <c r="CX606" s="41" t="s">
        <v>4716</v>
      </c>
      <c r="CY606" s="40" t="s">
        <v>4717</v>
      </c>
    </row>
    <row r="607" spans="94:103" ht="14.6">
      <c r="CP607" s="40">
        <v>341</v>
      </c>
      <c r="CQ607" s="41" t="s">
        <v>6281</v>
      </c>
      <c r="CR607" s="41" t="s">
        <v>3839</v>
      </c>
      <c r="CS607" s="41">
        <v>200</v>
      </c>
      <c r="CT607" s="41">
        <v>24</v>
      </c>
      <c r="CU607" s="41">
        <v>4</v>
      </c>
      <c r="CV607" s="41">
        <v>20</v>
      </c>
      <c r="CW607" s="41" t="s">
        <v>4706</v>
      </c>
      <c r="CX607" s="41" t="s">
        <v>4716</v>
      </c>
      <c r="CY607" s="40" t="s">
        <v>3104</v>
      </c>
    </row>
    <row r="608" spans="94:103" ht="14.6">
      <c r="CP608" s="40">
        <v>342</v>
      </c>
      <c r="CQ608" s="41" t="s">
        <v>3599</v>
      </c>
      <c r="CR608" s="41" t="s">
        <v>6282</v>
      </c>
      <c r="CS608" s="41">
        <v>100</v>
      </c>
      <c r="CT608" s="41">
        <v>8</v>
      </c>
      <c r="CU608" s="41">
        <v>4</v>
      </c>
      <c r="CV608" s="41">
        <v>10</v>
      </c>
      <c r="CW608" s="41" t="s">
        <v>4706</v>
      </c>
      <c r="CX608" s="41" t="s">
        <v>4716</v>
      </c>
      <c r="CY608" s="40" t="s">
        <v>4717</v>
      </c>
    </row>
    <row r="609" spans="94:103" ht="14.6">
      <c r="CP609" s="40">
        <v>343</v>
      </c>
      <c r="CQ609" s="41" t="s">
        <v>3599</v>
      </c>
      <c r="CR609" s="41" t="s">
        <v>6283</v>
      </c>
      <c r="CS609" s="41">
        <v>200</v>
      </c>
      <c r="CT609" s="41">
        <v>24</v>
      </c>
      <c r="CU609" s="41">
        <v>4</v>
      </c>
      <c r="CV609" s="41">
        <v>20</v>
      </c>
      <c r="CW609" s="41" t="s">
        <v>4706</v>
      </c>
      <c r="CX609" s="41" t="s">
        <v>4716</v>
      </c>
      <c r="CY609" s="40" t="s">
        <v>3104</v>
      </c>
    </row>
    <row r="610" spans="94:103" ht="14.6">
      <c r="CP610" s="40">
        <v>344</v>
      </c>
      <c r="CQ610" s="41" t="s">
        <v>3473</v>
      </c>
      <c r="CR610" s="41" t="s">
        <v>6284</v>
      </c>
      <c r="CS610" s="41">
        <v>100</v>
      </c>
      <c r="CT610" s="41">
        <v>8</v>
      </c>
      <c r="CU610" s="41">
        <v>4</v>
      </c>
      <c r="CV610" s="41">
        <v>10</v>
      </c>
      <c r="CW610" s="41" t="s">
        <v>4706</v>
      </c>
      <c r="CX610" s="41" t="s">
        <v>4716</v>
      </c>
      <c r="CY610" s="40" t="s">
        <v>4717</v>
      </c>
    </row>
    <row r="611" spans="94:103" ht="14.6">
      <c r="CP611" s="40">
        <v>345</v>
      </c>
      <c r="CQ611" s="41" t="s">
        <v>3473</v>
      </c>
      <c r="CR611" s="41" t="s">
        <v>6285</v>
      </c>
      <c r="CS611" s="41">
        <v>200</v>
      </c>
      <c r="CT611" s="41">
        <v>24</v>
      </c>
      <c r="CU611" s="41">
        <v>4</v>
      </c>
      <c r="CV611" s="41">
        <v>20</v>
      </c>
      <c r="CW611" s="41" t="s">
        <v>4706</v>
      </c>
      <c r="CX611" s="41" t="s">
        <v>4716</v>
      </c>
      <c r="CY611" s="40" t="s">
        <v>3104</v>
      </c>
    </row>
    <row r="612" spans="94:103" ht="14.6">
      <c r="CP612" s="40">
        <v>346</v>
      </c>
      <c r="CQ612" s="41" t="s">
        <v>6286</v>
      </c>
      <c r="CR612" s="41" t="s">
        <v>3894</v>
      </c>
      <c r="CS612" s="41">
        <v>100</v>
      </c>
      <c r="CT612" s="41">
        <v>8</v>
      </c>
      <c r="CU612" s="41">
        <v>4</v>
      </c>
      <c r="CV612" s="41">
        <v>10</v>
      </c>
      <c r="CW612" s="41" t="s">
        <v>4706</v>
      </c>
      <c r="CX612" s="41" t="s">
        <v>4716</v>
      </c>
      <c r="CY612" s="40" t="s">
        <v>4717</v>
      </c>
    </row>
    <row r="613" spans="94:103" ht="14.6">
      <c r="CP613" s="40">
        <v>347</v>
      </c>
      <c r="CQ613" s="41" t="s">
        <v>6286</v>
      </c>
      <c r="CR613" s="41" t="s">
        <v>3894</v>
      </c>
      <c r="CS613" s="41">
        <v>200</v>
      </c>
      <c r="CT613" s="41">
        <v>24</v>
      </c>
      <c r="CU613" s="41">
        <v>4</v>
      </c>
      <c r="CV613" s="41">
        <v>20</v>
      </c>
      <c r="CW613" s="41" t="s">
        <v>4706</v>
      </c>
      <c r="CX613" s="41" t="s">
        <v>4716</v>
      </c>
      <c r="CY613" s="40" t="s">
        <v>3104</v>
      </c>
    </row>
    <row r="614" spans="94:103" ht="14.6">
      <c r="CP614" s="40">
        <v>348</v>
      </c>
      <c r="CQ614" s="41" t="s">
        <v>3497</v>
      </c>
      <c r="CR614" s="41" t="s">
        <v>6287</v>
      </c>
      <c r="CS614" s="41">
        <v>100</v>
      </c>
      <c r="CT614" s="41">
        <v>8</v>
      </c>
      <c r="CU614" s="41">
        <v>4</v>
      </c>
      <c r="CV614" s="41">
        <v>10</v>
      </c>
      <c r="CW614" s="41" t="s">
        <v>4706</v>
      </c>
      <c r="CX614" s="41" t="s">
        <v>4716</v>
      </c>
      <c r="CY614" s="40" t="s">
        <v>4717</v>
      </c>
    </row>
    <row r="615" spans="94:103" ht="14.6">
      <c r="CP615" s="40">
        <v>349</v>
      </c>
      <c r="CQ615" s="41" t="s">
        <v>3497</v>
      </c>
      <c r="CR615" s="41" t="s">
        <v>6288</v>
      </c>
      <c r="CS615" s="41">
        <v>200</v>
      </c>
      <c r="CT615" s="41">
        <v>24</v>
      </c>
      <c r="CU615" s="41">
        <v>4</v>
      </c>
      <c r="CV615" s="41">
        <v>20</v>
      </c>
      <c r="CW615" s="41" t="s">
        <v>4706</v>
      </c>
      <c r="CX615" s="41" t="s">
        <v>4716</v>
      </c>
      <c r="CY615" s="40" t="s">
        <v>3104</v>
      </c>
    </row>
    <row r="616" spans="94:103" ht="14.6">
      <c r="CP616" s="40">
        <v>350</v>
      </c>
      <c r="CQ616" s="41" t="s">
        <v>3489</v>
      </c>
      <c r="CR616" s="41" t="s">
        <v>6289</v>
      </c>
      <c r="CS616" s="41">
        <v>100</v>
      </c>
      <c r="CT616" s="41">
        <v>8</v>
      </c>
      <c r="CU616" s="41">
        <v>4</v>
      </c>
      <c r="CV616" s="41">
        <v>10</v>
      </c>
      <c r="CW616" s="41" t="s">
        <v>4706</v>
      </c>
      <c r="CX616" s="41" t="s">
        <v>4716</v>
      </c>
      <c r="CY616" s="40" t="s">
        <v>4717</v>
      </c>
    </row>
    <row r="617" spans="94:103" ht="14.6">
      <c r="CP617" s="40">
        <v>351</v>
      </c>
      <c r="CQ617" s="41" t="s">
        <v>3489</v>
      </c>
      <c r="CR617" s="41" t="s">
        <v>6290</v>
      </c>
      <c r="CS617" s="41">
        <v>200</v>
      </c>
      <c r="CT617" s="41">
        <v>24</v>
      </c>
      <c r="CU617" s="41">
        <v>4</v>
      </c>
      <c r="CV617" s="41">
        <v>20</v>
      </c>
      <c r="CW617" s="41" t="s">
        <v>4706</v>
      </c>
      <c r="CX617" s="41" t="s">
        <v>4716</v>
      </c>
      <c r="CY617" s="40" t="s">
        <v>3104</v>
      </c>
    </row>
    <row r="618" spans="94:103" ht="14.6">
      <c r="CY618" s="48"/>
    </row>
    <row r="619" spans="94:103" ht="14.6">
      <c r="CY619" s="48"/>
    </row>
    <row r="620" spans="94:103" ht="14.6">
      <c r="CY620" s="48"/>
    </row>
    <row r="621" spans="94:103" ht="14.6">
      <c r="CY621" s="48"/>
    </row>
    <row r="622" spans="94:103" ht="14.6">
      <c r="CY622" s="48"/>
    </row>
    <row r="623" spans="94:103" ht="14.6">
      <c r="CY623" s="48"/>
    </row>
    <row r="624" spans="94:103" ht="14.6">
      <c r="CY624" s="48"/>
    </row>
    <row r="625" spans="103:103" ht="14.6">
      <c r="CY625" s="48"/>
    </row>
    <row r="626" spans="103:103" ht="14.6">
      <c r="CY626" s="48"/>
    </row>
    <row r="627" spans="103:103" ht="14.6">
      <c r="CY627" s="48"/>
    </row>
    <row r="628" spans="103:103" ht="14.6">
      <c r="CY628" s="48"/>
    </row>
    <row r="629" spans="103:103" ht="14.6">
      <c r="CY629" s="48"/>
    </row>
    <row r="630" spans="103:103" ht="14.6">
      <c r="CY630" s="48"/>
    </row>
    <row r="631" spans="103:103" ht="14.6">
      <c r="CY631" s="48"/>
    </row>
    <row r="632" spans="103:103" ht="14.6">
      <c r="CY632" s="48"/>
    </row>
    <row r="633" spans="103:103" ht="14.6">
      <c r="CY633" s="48"/>
    </row>
    <row r="634" spans="103:103" ht="14.6">
      <c r="CY634" s="48"/>
    </row>
    <row r="635" spans="103:103" ht="14.6">
      <c r="CY635" s="48"/>
    </row>
    <row r="636" spans="103:103" ht="14.6">
      <c r="CY636" s="48"/>
    </row>
    <row r="637" spans="103:103" ht="14.6">
      <c r="CY637" s="48"/>
    </row>
    <row r="638" spans="103:103" ht="14.6">
      <c r="CY638" s="48"/>
    </row>
    <row r="639" spans="103:103" ht="14.6">
      <c r="CY639" s="48"/>
    </row>
    <row r="640" spans="103:103" ht="14.6">
      <c r="CY640" s="48"/>
    </row>
    <row r="641" spans="103:103" ht="14.6">
      <c r="CY641" s="48"/>
    </row>
    <row r="642" spans="103:103" ht="14.6">
      <c r="CY642" s="48"/>
    </row>
    <row r="643" spans="103:103" ht="14.6">
      <c r="CY643" s="48"/>
    </row>
    <row r="644" spans="103:103" ht="14.6">
      <c r="CY644" s="48"/>
    </row>
    <row r="645" spans="103:103" ht="14.6">
      <c r="CY645" s="48"/>
    </row>
    <row r="646" spans="103:103" ht="14.6">
      <c r="CY646" s="48"/>
    </row>
    <row r="647" spans="103:103" ht="14.6">
      <c r="CY647" s="48"/>
    </row>
    <row r="648" spans="103:103" ht="14.6">
      <c r="CY648" s="48"/>
    </row>
    <row r="649" spans="103:103" ht="14.6">
      <c r="CY649" s="48"/>
    </row>
    <row r="650" spans="103:103" ht="14.6">
      <c r="CY650" s="48"/>
    </row>
    <row r="651" spans="103:103" ht="14.6">
      <c r="CY651" s="48"/>
    </row>
    <row r="652" spans="103:103" ht="14.6">
      <c r="CY652" s="48"/>
    </row>
    <row r="653" spans="103:103" ht="14.6">
      <c r="CY653" s="48"/>
    </row>
    <row r="654" spans="103:103" ht="14.6">
      <c r="CY654" s="48"/>
    </row>
    <row r="655" spans="103:103" ht="14.6">
      <c r="CY655" s="48"/>
    </row>
    <row r="656" spans="103:103" ht="14.6">
      <c r="CY656" s="48"/>
    </row>
    <row r="657" spans="103:103" ht="14.6">
      <c r="CY657" s="48"/>
    </row>
    <row r="658" spans="103:103" ht="14.6">
      <c r="CY658" s="48"/>
    </row>
    <row r="659" spans="103:103" ht="14.6">
      <c r="CY659" s="48"/>
    </row>
    <row r="660" spans="103:103" ht="14.6">
      <c r="CY660" s="48"/>
    </row>
    <row r="661" spans="103:103" ht="14.6">
      <c r="CY661" s="48"/>
    </row>
    <row r="662" spans="103:103" ht="14.6">
      <c r="CY662" s="48"/>
    </row>
    <row r="663" spans="103:103" ht="14.6">
      <c r="CY663" s="48"/>
    </row>
    <row r="664" spans="103:103" ht="14.6">
      <c r="CY664" s="48"/>
    </row>
    <row r="665" spans="103:103" ht="14.6">
      <c r="CY665" s="48"/>
    </row>
    <row r="666" spans="103:103" ht="14.6">
      <c r="CY666" s="48"/>
    </row>
    <row r="667" spans="103:103" ht="14.6">
      <c r="CY667" s="48"/>
    </row>
    <row r="668" spans="103:103" ht="14.6">
      <c r="CY668" s="48"/>
    </row>
    <row r="669" spans="103:103" ht="14.6">
      <c r="CY669" s="48"/>
    </row>
    <row r="670" spans="103:103" ht="14.6">
      <c r="CY670" s="48"/>
    </row>
    <row r="671" spans="103:103" ht="14.6">
      <c r="CY671" s="48"/>
    </row>
    <row r="672" spans="103:103" ht="14.6">
      <c r="CY672" s="48"/>
    </row>
    <row r="673" spans="103:103" ht="14.6">
      <c r="CY673" s="48"/>
    </row>
    <row r="674" spans="103:103" ht="14.6">
      <c r="CY674" s="48"/>
    </row>
    <row r="675" spans="103:103" ht="14.6">
      <c r="CY675" s="48"/>
    </row>
    <row r="676" spans="103:103" ht="14.6">
      <c r="CY676" s="48"/>
    </row>
    <row r="677" spans="103:103" ht="14.6">
      <c r="CY677" s="48"/>
    </row>
    <row r="678" spans="103:103" ht="14.6">
      <c r="CY678" s="48"/>
    </row>
    <row r="679" spans="103:103" ht="14.6">
      <c r="CY679" s="48"/>
    </row>
    <row r="680" spans="103:103" ht="14.6">
      <c r="CY680" s="48"/>
    </row>
    <row r="681" spans="103:103" ht="14.6">
      <c r="CY681" s="48"/>
    </row>
    <row r="682" spans="103:103" ht="14.6">
      <c r="CY682" s="48"/>
    </row>
    <row r="683" spans="103:103" ht="14.6">
      <c r="CY683" s="48"/>
    </row>
    <row r="684" spans="103:103" ht="14.6">
      <c r="CY684" s="48"/>
    </row>
    <row r="685" spans="103:103" ht="14.6">
      <c r="CY685" s="48"/>
    </row>
    <row r="686" spans="103:103" ht="14.6">
      <c r="CY686" s="48"/>
    </row>
    <row r="687" spans="103:103" ht="14.6">
      <c r="CY687" s="48"/>
    </row>
    <row r="688" spans="103:103" ht="14.6">
      <c r="CY688" s="48"/>
    </row>
    <row r="689" spans="103:103" ht="14.6">
      <c r="CY689" s="48"/>
    </row>
    <row r="690" spans="103:103" ht="14.6">
      <c r="CY690" s="48"/>
    </row>
    <row r="691" spans="103:103" ht="14.6">
      <c r="CY691" s="48"/>
    </row>
    <row r="692" spans="103:103" ht="14.6">
      <c r="CY692" s="48"/>
    </row>
    <row r="693" spans="103:103" ht="14.6">
      <c r="CY693" s="48"/>
    </row>
    <row r="694" spans="103:103" ht="14.6">
      <c r="CY694" s="48"/>
    </row>
    <row r="695" spans="103:103" ht="14.6">
      <c r="CY695" s="48"/>
    </row>
    <row r="696" spans="103:103" ht="14.6">
      <c r="CY696" s="48"/>
    </row>
    <row r="697" spans="103:103" ht="14.6">
      <c r="CY697" s="48"/>
    </row>
    <row r="698" spans="103:103" ht="14.6">
      <c r="CY698" s="48"/>
    </row>
    <row r="699" spans="103:103" ht="14.6">
      <c r="CY699" s="48"/>
    </row>
    <row r="700" spans="103:103" ht="14.6">
      <c r="CY700" s="48"/>
    </row>
    <row r="701" spans="103:103" ht="14.6">
      <c r="CY701" s="48"/>
    </row>
    <row r="702" spans="103:103" ht="14.6">
      <c r="CY702" s="48"/>
    </row>
    <row r="703" spans="103:103" ht="14.6">
      <c r="CY703" s="48"/>
    </row>
    <row r="704" spans="103:103" ht="14.6">
      <c r="CY704" s="48"/>
    </row>
    <row r="705" spans="103:103" ht="14.6">
      <c r="CY705" s="48"/>
    </row>
    <row r="706" spans="103:103" ht="14.6">
      <c r="CY706" s="48"/>
    </row>
    <row r="707" spans="103:103" ht="14.6">
      <c r="CY707" s="48"/>
    </row>
    <row r="708" spans="103:103" ht="14.6">
      <c r="CY708" s="48"/>
    </row>
    <row r="709" spans="103:103" ht="14.6">
      <c r="CY709" s="48"/>
    </row>
    <row r="710" spans="103:103" ht="14.6">
      <c r="CY710" s="48"/>
    </row>
    <row r="711" spans="103:103" ht="14.6">
      <c r="CY711" s="48"/>
    </row>
    <row r="712" spans="103:103" ht="14.6">
      <c r="CY712" s="48"/>
    </row>
    <row r="713" spans="103:103" ht="14.6">
      <c r="CY713" s="48"/>
    </row>
    <row r="714" spans="103:103" ht="14.6">
      <c r="CY714" s="48"/>
    </row>
    <row r="715" spans="103:103" ht="14.6">
      <c r="CY715" s="48"/>
    </row>
    <row r="716" spans="103:103" ht="14.6">
      <c r="CY716" s="48"/>
    </row>
    <row r="717" spans="103:103" ht="14.6">
      <c r="CY717" s="48"/>
    </row>
    <row r="718" spans="103:103" ht="14.6">
      <c r="CY718" s="48"/>
    </row>
    <row r="719" spans="103:103" ht="14.6">
      <c r="CY719" s="48"/>
    </row>
    <row r="720" spans="103:103" ht="14.6">
      <c r="CY720" s="48"/>
    </row>
    <row r="721" spans="103:103" ht="14.6">
      <c r="CY721" s="48"/>
    </row>
    <row r="722" spans="103:103" ht="14.6">
      <c r="CY722" s="48"/>
    </row>
    <row r="723" spans="103:103" ht="14.6">
      <c r="CY723" s="48"/>
    </row>
    <row r="724" spans="103:103" ht="14.6">
      <c r="CY724" s="48"/>
    </row>
    <row r="725" spans="103:103" ht="14.6">
      <c r="CY725" s="48"/>
    </row>
    <row r="726" spans="103:103" ht="14.6">
      <c r="CY726" s="48"/>
    </row>
    <row r="727" spans="103:103" ht="14.6">
      <c r="CY727" s="48"/>
    </row>
    <row r="728" spans="103:103" ht="14.6">
      <c r="CY728" s="48"/>
    </row>
    <row r="729" spans="103:103" ht="14.6">
      <c r="CY729" s="48"/>
    </row>
    <row r="730" spans="103:103" ht="14.6">
      <c r="CY730" s="48"/>
    </row>
    <row r="731" spans="103:103" ht="14.6">
      <c r="CY731" s="48"/>
    </row>
    <row r="732" spans="103:103" ht="14.6">
      <c r="CY732" s="48"/>
    </row>
    <row r="733" spans="103:103" ht="14.6">
      <c r="CY733" s="48"/>
    </row>
    <row r="734" spans="103:103" ht="14.6">
      <c r="CY734" s="48"/>
    </row>
    <row r="735" spans="103:103" ht="14.6">
      <c r="CY735" s="48"/>
    </row>
    <row r="736" spans="103:103" ht="14.6">
      <c r="CY736" s="48"/>
    </row>
    <row r="737" spans="103:103" ht="14.6">
      <c r="CY737" s="48"/>
    </row>
    <row r="738" spans="103:103" ht="14.6">
      <c r="CY738" s="48"/>
    </row>
    <row r="739" spans="103:103" ht="14.6">
      <c r="CY739" s="48"/>
    </row>
    <row r="740" spans="103:103" ht="14.6">
      <c r="CY740" s="48"/>
    </row>
    <row r="741" spans="103:103" ht="14.6">
      <c r="CY741" s="48"/>
    </row>
    <row r="742" spans="103:103" ht="14.6">
      <c r="CY742" s="48"/>
    </row>
    <row r="743" spans="103:103" ht="14.6">
      <c r="CY743" s="48"/>
    </row>
    <row r="744" spans="103:103" ht="14.6">
      <c r="CY744" s="48"/>
    </row>
    <row r="745" spans="103:103" ht="14.6">
      <c r="CY745" s="48"/>
    </row>
    <row r="746" spans="103:103" ht="14.6">
      <c r="CY746" s="48"/>
    </row>
    <row r="747" spans="103:103" ht="14.6">
      <c r="CY747" s="48"/>
    </row>
    <row r="748" spans="103:103" ht="14.6">
      <c r="CY748" s="48"/>
    </row>
    <row r="749" spans="103:103" ht="14.6">
      <c r="CY749" s="48"/>
    </row>
    <row r="750" spans="103:103" ht="14.6">
      <c r="CY750" s="48"/>
    </row>
    <row r="751" spans="103:103" ht="14.6">
      <c r="CY751" s="48"/>
    </row>
    <row r="752" spans="103:103" ht="14.6">
      <c r="CY752" s="48"/>
    </row>
    <row r="753" spans="103:103" ht="14.6">
      <c r="CY753" s="48"/>
    </row>
    <row r="754" spans="103:103" ht="14.6">
      <c r="CY754" s="48"/>
    </row>
    <row r="755" spans="103:103" ht="14.6">
      <c r="CY755" s="48"/>
    </row>
    <row r="756" spans="103:103" ht="14.6">
      <c r="CY756" s="48"/>
    </row>
    <row r="757" spans="103:103" ht="14.6">
      <c r="CY757" s="48"/>
    </row>
    <row r="758" spans="103:103" ht="14.6">
      <c r="CY758" s="48"/>
    </row>
    <row r="759" spans="103:103" ht="14.6">
      <c r="CY759" s="48"/>
    </row>
    <row r="760" spans="103:103" ht="14.6">
      <c r="CY760" s="48"/>
    </row>
    <row r="761" spans="103:103" ht="14.6">
      <c r="CY761" s="48"/>
    </row>
    <row r="762" spans="103:103" ht="14.6">
      <c r="CY762" s="48"/>
    </row>
    <row r="763" spans="103:103" ht="14.6">
      <c r="CY763" s="48"/>
    </row>
    <row r="764" spans="103:103" ht="14.6">
      <c r="CY764" s="48"/>
    </row>
    <row r="765" spans="103:103" ht="14.6">
      <c r="CY765" s="48"/>
    </row>
    <row r="766" spans="103:103" ht="14.6">
      <c r="CY766" s="48"/>
    </row>
    <row r="767" spans="103:103" ht="14.6">
      <c r="CY767" s="48"/>
    </row>
    <row r="768" spans="103:103" ht="14.6">
      <c r="CY768" s="48"/>
    </row>
    <row r="769" spans="103:103" ht="14.6">
      <c r="CY769" s="48"/>
    </row>
    <row r="770" spans="103:103" ht="14.6">
      <c r="CY770" s="48"/>
    </row>
    <row r="771" spans="103:103" ht="14.6">
      <c r="CY771" s="48"/>
    </row>
    <row r="772" spans="103:103" ht="14.6">
      <c r="CY772" s="48"/>
    </row>
    <row r="773" spans="103:103" ht="14.6">
      <c r="CY773" s="48"/>
    </row>
    <row r="774" spans="103:103" ht="14.6">
      <c r="CY774" s="48"/>
    </row>
    <row r="775" spans="103:103" ht="14.6">
      <c r="CY775" s="48"/>
    </row>
    <row r="776" spans="103:103" ht="14.6">
      <c r="CY776" s="48"/>
    </row>
    <row r="777" spans="103:103" ht="14.6">
      <c r="CY777" s="48"/>
    </row>
    <row r="778" spans="103:103" ht="14.6">
      <c r="CY778" s="48"/>
    </row>
    <row r="779" spans="103:103" ht="14.6">
      <c r="CY779" s="48"/>
    </row>
    <row r="780" spans="103:103" ht="14.6">
      <c r="CY780" s="48"/>
    </row>
    <row r="781" spans="103:103" ht="14.6">
      <c r="CY781" s="48"/>
    </row>
    <row r="782" spans="103:103" ht="14.6">
      <c r="CY782" s="48"/>
    </row>
    <row r="783" spans="103:103" ht="14.6">
      <c r="CY783" s="48"/>
    </row>
    <row r="784" spans="103:103" ht="14.6">
      <c r="CY784" s="48"/>
    </row>
    <row r="785" spans="103:103" ht="14.6">
      <c r="CY785" s="48"/>
    </row>
    <row r="786" spans="103:103" ht="14.6">
      <c r="CY786" s="48"/>
    </row>
    <row r="787" spans="103:103" ht="14.6">
      <c r="CY787" s="48"/>
    </row>
    <row r="788" spans="103:103" ht="14.6">
      <c r="CY788" s="48"/>
    </row>
    <row r="789" spans="103:103" ht="14.6">
      <c r="CY789" s="48"/>
    </row>
    <row r="790" spans="103:103" ht="14.6">
      <c r="CY790" s="48"/>
    </row>
    <row r="791" spans="103:103" ht="14.6">
      <c r="CY791" s="48"/>
    </row>
    <row r="792" spans="103:103" ht="14.6">
      <c r="CY792" s="48"/>
    </row>
    <row r="793" spans="103:103" ht="14.6">
      <c r="CY793" s="48"/>
    </row>
    <row r="794" spans="103:103" ht="14.6">
      <c r="CY794" s="48"/>
    </row>
    <row r="795" spans="103:103" ht="14.6">
      <c r="CY795" s="48"/>
    </row>
    <row r="796" spans="103:103" ht="14.6">
      <c r="CY796" s="48"/>
    </row>
    <row r="797" spans="103:103" ht="14.6">
      <c r="CY797" s="48"/>
    </row>
    <row r="798" spans="103:103" ht="14.6">
      <c r="CY798" s="48"/>
    </row>
    <row r="799" spans="103:103" ht="14.6">
      <c r="CY799" s="48"/>
    </row>
    <row r="800" spans="103:103" ht="14.6">
      <c r="CY800" s="48"/>
    </row>
    <row r="801" spans="103:103" ht="14.6">
      <c r="CY801" s="48"/>
    </row>
    <row r="802" spans="103:103" ht="14.6">
      <c r="CY802" s="48"/>
    </row>
    <row r="803" spans="103:103" ht="14.6">
      <c r="CY803" s="48"/>
    </row>
    <row r="804" spans="103:103" ht="14.6">
      <c r="CY804" s="48"/>
    </row>
    <row r="805" spans="103:103" ht="14.6">
      <c r="CY805" s="48"/>
    </row>
    <row r="806" spans="103:103" ht="14.6">
      <c r="CY806" s="48"/>
    </row>
    <row r="807" spans="103:103" ht="14.6">
      <c r="CY807" s="48"/>
    </row>
    <row r="808" spans="103:103" ht="14.6">
      <c r="CY808" s="48"/>
    </row>
    <row r="809" spans="103:103" ht="14.6">
      <c r="CY809" s="48"/>
    </row>
    <row r="810" spans="103:103" ht="14.6">
      <c r="CY810" s="48"/>
    </row>
    <row r="811" spans="103:103" ht="14.6">
      <c r="CY811" s="48"/>
    </row>
    <row r="812" spans="103:103" ht="14.6">
      <c r="CY812" s="48"/>
    </row>
    <row r="813" spans="103:103" ht="14.6">
      <c r="CY813" s="48"/>
    </row>
    <row r="814" spans="103:103" ht="14.6">
      <c r="CY814" s="48"/>
    </row>
    <row r="815" spans="103:103" ht="14.6">
      <c r="CY815" s="48"/>
    </row>
    <row r="816" spans="103:103" ht="14.6">
      <c r="CY816" s="48"/>
    </row>
    <row r="817" spans="103:103" ht="14.6">
      <c r="CY817" s="48"/>
    </row>
    <row r="818" spans="103:103" ht="14.6">
      <c r="CY818" s="48"/>
    </row>
    <row r="819" spans="103:103" ht="14.6">
      <c r="CY819" s="48"/>
    </row>
    <row r="820" spans="103:103" ht="14.6">
      <c r="CY820" s="48"/>
    </row>
    <row r="821" spans="103:103" ht="14.6">
      <c r="CY821" s="48"/>
    </row>
    <row r="822" spans="103:103" ht="14.6">
      <c r="CY822" s="48"/>
    </row>
    <row r="823" spans="103:103" ht="14.6">
      <c r="CY823" s="48"/>
    </row>
    <row r="824" spans="103:103" ht="14.6">
      <c r="CY824" s="48"/>
    </row>
    <row r="825" spans="103:103" ht="14.6">
      <c r="CY825" s="48"/>
    </row>
    <row r="826" spans="103:103" ht="14.6">
      <c r="CY826" s="48"/>
    </row>
    <row r="827" spans="103:103" ht="14.6">
      <c r="CY827" s="48"/>
    </row>
    <row r="828" spans="103:103" ht="14.6">
      <c r="CY828" s="48"/>
    </row>
    <row r="829" spans="103:103" ht="14.6">
      <c r="CY829" s="48"/>
    </row>
    <row r="830" spans="103:103" ht="14.6">
      <c r="CY830" s="48"/>
    </row>
    <row r="831" spans="103:103" ht="14.6">
      <c r="CY831" s="48"/>
    </row>
    <row r="832" spans="103:103" ht="14.6">
      <c r="CY832" s="48"/>
    </row>
    <row r="833" spans="103:103" ht="14.6">
      <c r="CY833" s="48"/>
    </row>
    <row r="834" spans="103:103" ht="14.6">
      <c r="CY834" s="48"/>
    </row>
    <row r="835" spans="103:103" ht="14.6">
      <c r="CY835" s="48"/>
    </row>
    <row r="836" spans="103:103" ht="14.6">
      <c r="CY836" s="48"/>
    </row>
    <row r="837" spans="103:103" ht="14.6">
      <c r="CY837" s="48"/>
    </row>
    <row r="838" spans="103:103" ht="14.6">
      <c r="CY838" s="48"/>
    </row>
    <row r="839" spans="103:103" ht="14.6">
      <c r="CY839" s="48"/>
    </row>
    <row r="840" spans="103:103" ht="14.6">
      <c r="CY840" s="48"/>
    </row>
    <row r="841" spans="103:103" ht="14.6">
      <c r="CY841" s="48"/>
    </row>
    <row r="842" spans="103:103" ht="14.6">
      <c r="CY842" s="48"/>
    </row>
    <row r="843" spans="103:103" ht="14.6">
      <c r="CY843" s="48"/>
    </row>
    <row r="844" spans="103:103" ht="14.6">
      <c r="CY844" s="48"/>
    </row>
    <row r="845" spans="103:103" ht="14.6">
      <c r="CY845" s="48"/>
    </row>
    <row r="846" spans="103:103" ht="14.6">
      <c r="CY846" s="48"/>
    </row>
    <row r="847" spans="103:103" ht="14.6">
      <c r="CY847" s="48"/>
    </row>
    <row r="848" spans="103:103" ht="14.6">
      <c r="CY848" s="48"/>
    </row>
    <row r="849" spans="103:103" ht="14.6">
      <c r="CY849" s="48"/>
    </row>
    <row r="850" spans="103:103" ht="14.6">
      <c r="CY850" s="48"/>
    </row>
    <row r="851" spans="103:103" ht="14.6">
      <c r="CY851" s="48"/>
    </row>
    <row r="852" spans="103:103" ht="14.6">
      <c r="CY852" s="48"/>
    </row>
    <row r="853" spans="103:103" ht="14.6">
      <c r="CY853" s="48"/>
    </row>
    <row r="854" spans="103:103" ht="14.6">
      <c r="CY854" s="48"/>
    </row>
    <row r="855" spans="103:103" ht="14.6">
      <c r="CY855" s="48"/>
    </row>
    <row r="856" spans="103:103" ht="14.6">
      <c r="CY856" s="48"/>
    </row>
    <row r="857" spans="103:103" ht="14.6">
      <c r="CY857" s="48"/>
    </row>
    <row r="858" spans="103:103" ht="14.6">
      <c r="CY858" s="48"/>
    </row>
    <row r="859" spans="103:103" ht="14.6">
      <c r="CY859" s="48"/>
    </row>
    <row r="860" spans="103:103" ht="14.6">
      <c r="CY860" s="48"/>
    </row>
    <row r="861" spans="103:103" ht="14.6">
      <c r="CY861" s="48"/>
    </row>
    <row r="862" spans="103:103" ht="14.6">
      <c r="CY862" s="48"/>
    </row>
    <row r="863" spans="103:103" ht="14.6">
      <c r="CY863" s="48"/>
    </row>
    <row r="864" spans="103:103" ht="14.6">
      <c r="CY864" s="48"/>
    </row>
    <row r="865" spans="103:103" ht="14.6">
      <c r="CY865" s="48"/>
    </row>
    <row r="866" spans="103:103" ht="14.6">
      <c r="CY866" s="48"/>
    </row>
    <row r="867" spans="103:103" ht="14.6">
      <c r="CY867" s="48"/>
    </row>
    <row r="868" spans="103:103" ht="14.6">
      <c r="CY868" s="48"/>
    </row>
    <row r="869" spans="103:103" ht="14.6">
      <c r="CY869" s="48"/>
    </row>
    <row r="870" spans="103:103" ht="14.6">
      <c r="CY870" s="48"/>
    </row>
    <row r="871" spans="103:103" ht="14.6">
      <c r="CY871" s="48"/>
    </row>
    <row r="872" spans="103:103" ht="14.6">
      <c r="CY872" s="48"/>
    </row>
    <row r="873" spans="103:103" ht="14.6">
      <c r="CY873" s="48"/>
    </row>
    <row r="874" spans="103:103" ht="14.6">
      <c r="CY874" s="48"/>
    </row>
    <row r="875" spans="103:103" ht="14.6">
      <c r="CY875" s="48"/>
    </row>
    <row r="876" spans="103:103" ht="14.6">
      <c r="CY876" s="48"/>
    </row>
    <row r="877" spans="103:103" ht="14.6">
      <c r="CY877" s="48"/>
    </row>
    <row r="878" spans="103:103" ht="14.6">
      <c r="CY878" s="48"/>
    </row>
    <row r="879" spans="103:103" ht="14.6">
      <c r="CY879" s="48"/>
    </row>
    <row r="880" spans="103:103" ht="14.6">
      <c r="CY880" s="48"/>
    </row>
    <row r="881" spans="103:103" ht="14.6">
      <c r="CY881" s="48"/>
    </row>
    <row r="882" spans="103:103" ht="14.6">
      <c r="CY882" s="48"/>
    </row>
    <row r="883" spans="103:103" ht="14.6">
      <c r="CY883" s="48"/>
    </row>
    <row r="884" spans="103:103" ht="14.6">
      <c r="CY884" s="48"/>
    </row>
    <row r="885" spans="103:103" ht="14.6">
      <c r="CY885" s="48"/>
    </row>
    <row r="886" spans="103:103" ht="14.6">
      <c r="CY886" s="48"/>
    </row>
    <row r="887" spans="103:103" ht="14.6">
      <c r="CY887" s="48"/>
    </row>
    <row r="888" spans="103:103" ht="14.6">
      <c r="CY888" s="48"/>
    </row>
    <row r="889" spans="103:103" ht="14.6">
      <c r="CY889" s="48"/>
    </row>
    <row r="890" spans="103:103" ht="14.6">
      <c r="CY890" s="48"/>
    </row>
    <row r="891" spans="103:103" ht="14.6">
      <c r="CY891" s="48"/>
    </row>
    <row r="892" spans="103:103" ht="14.6">
      <c r="CY892" s="48"/>
    </row>
    <row r="893" spans="103:103" ht="14.6">
      <c r="CY893" s="48"/>
    </row>
    <row r="894" spans="103:103" ht="14.6">
      <c r="CY894" s="48"/>
    </row>
    <row r="895" spans="103:103" ht="14.6">
      <c r="CY895" s="48"/>
    </row>
    <row r="896" spans="103:103" ht="14.6">
      <c r="CY896" s="48"/>
    </row>
    <row r="897" spans="103:103" ht="14.6">
      <c r="CY897" s="48"/>
    </row>
    <row r="898" spans="103:103" ht="14.6">
      <c r="CY898" s="48"/>
    </row>
    <row r="899" spans="103:103" ht="14.6">
      <c r="CY899" s="48"/>
    </row>
    <row r="900" spans="103:103" ht="14.6">
      <c r="CY900" s="48"/>
    </row>
    <row r="901" spans="103:103" ht="14.6">
      <c r="CY901" s="48"/>
    </row>
    <row r="902" spans="103:103" ht="14.6">
      <c r="CY902" s="48"/>
    </row>
    <row r="903" spans="103:103" ht="14.6">
      <c r="CY903" s="48"/>
    </row>
    <row r="904" spans="103:103" ht="14.6">
      <c r="CY904" s="48"/>
    </row>
    <row r="905" spans="103:103" ht="14.6">
      <c r="CY905" s="48"/>
    </row>
    <row r="906" spans="103:103" ht="14.6">
      <c r="CY906" s="48"/>
    </row>
    <row r="907" spans="103:103" ht="14.6">
      <c r="CY907" s="48"/>
    </row>
    <row r="908" spans="103:103" ht="14.6">
      <c r="CY908" s="48"/>
    </row>
    <row r="909" spans="103:103" ht="14.6">
      <c r="CY909" s="48"/>
    </row>
    <row r="910" spans="103:103" ht="14.6">
      <c r="CY910" s="48"/>
    </row>
    <row r="911" spans="103:103" ht="14.6">
      <c r="CY911" s="48"/>
    </row>
    <row r="912" spans="103:103" ht="14.6">
      <c r="CY912" s="48"/>
    </row>
    <row r="913" spans="103:103" ht="14.6">
      <c r="CY913" s="48"/>
    </row>
    <row r="914" spans="103:103" ht="14.6">
      <c r="CY914" s="48"/>
    </row>
    <row r="915" spans="103:103" ht="14.6">
      <c r="CY915" s="48"/>
    </row>
    <row r="916" spans="103:103" ht="14.6">
      <c r="CY916" s="48"/>
    </row>
    <row r="917" spans="103:103" ht="14.6">
      <c r="CY917" s="48"/>
    </row>
    <row r="918" spans="103:103" ht="14.6">
      <c r="CY918" s="48"/>
    </row>
    <row r="919" spans="103:103" ht="14.6">
      <c r="CY919" s="48"/>
    </row>
    <row r="920" spans="103:103" ht="14.6">
      <c r="CY920" s="48"/>
    </row>
    <row r="921" spans="103:103" ht="14.6">
      <c r="CY921" s="48"/>
    </row>
    <row r="922" spans="103:103" ht="14.6">
      <c r="CY922" s="48"/>
    </row>
    <row r="923" spans="103:103" ht="14.6">
      <c r="CY923" s="48"/>
    </row>
    <row r="924" spans="103:103" ht="14.6">
      <c r="CY924" s="48"/>
    </row>
    <row r="925" spans="103:103" ht="14.6">
      <c r="CY925" s="48"/>
    </row>
    <row r="926" spans="103:103" ht="14.6">
      <c r="CY926" s="48"/>
    </row>
    <row r="927" spans="103:103" ht="14.6">
      <c r="CY927" s="48"/>
    </row>
    <row r="928" spans="103:103" ht="14.6">
      <c r="CY928" s="48"/>
    </row>
    <row r="929" spans="103:103" ht="14.6">
      <c r="CY929" s="48"/>
    </row>
    <row r="930" spans="103:103" ht="14.6">
      <c r="CY930" s="48"/>
    </row>
    <row r="931" spans="103:103" ht="14.6">
      <c r="CY931" s="48"/>
    </row>
    <row r="932" spans="103:103" ht="14.6">
      <c r="CY932" s="48"/>
    </row>
    <row r="933" spans="103:103" ht="14.6">
      <c r="CY933" s="48"/>
    </row>
    <row r="934" spans="103:103" ht="14.6">
      <c r="CY934" s="48"/>
    </row>
    <row r="935" spans="103:103" ht="14.6">
      <c r="CY935" s="48"/>
    </row>
    <row r="936" spans="103:103" ht="14.6">
      <c r="CY936" s="48"/>
    </row>
    <row r="937" spans="103:103" ht="14.6">
      <c r="CY937" s="48"/>
    </row>
    <row r="938" spans="103:103" ht="14.6">
      <c r="CY938" s="48"/>
    </row>
    <row r="939" spans="103:103" ht="14.6">
      <c r="CY939" s="48"/>
    </row>
    <row r="940" spans="103:103" ht="14.6">
      <c r="CY940" s="48"/>
    </row>
    <row r="941" spans="103:103" ht="14.6">
      <c r="CY941" s="48"/>
    </row>
    <row r="942" spans="103:103" ht="14.6">
      <c r="CY942" s="48"/>
    </row>
    <row r="943" spans="103:103" ht="14.6">
      <c r="CY943" s="48"/>
    </row>
    <row r="944" spans="103:103" ht="14.6">
      <c r="CY944" s="48"/>
    </row>
    <row r="945" spans="103:103" ht="14.6">
      <c r="CY945" s="48"/>
    </row>
    <row r="946" spans="103:103" ht="14.6">
      <c r="CY946" s="48"/>
    </row>
    <row r="947" spans="103:103" ht="14.6">
      <c r="CY947" s="48"/>
    </row>
    <row r="948" spans="103:103" ht="14.6">
      <c r="CY948" s="48"/>
    </row>
    <row r="949" spans="103:103" ht="14.6">
      <c r="CY949" s="48"/>
    </row>
    <row r="950" spans="103:103" ht="14.6">
      <c r="CY950" s="48"/>
    </row>
    <row r="951" spans="103:103" ht="14.6">
      <c r="CY951" s="48"/>
    </row>
    <row r="952" spans="103:103" ht="14.6">
      <c r="CY952" s="48"/>
    </row>
    <row r="953" spans="103:103" ht="14.6">
      <c r="CY953" s="48"/>
    </row>
    <row r="954" spans="103:103" ht="14.6">
      <c r="CY954" s="48"/>
    </row>
    <row r="955" spans="103:103" ht="14.6">
      <c r="CY955" s="48"/>
    </row>
    <row r="956" spans="103:103" ht="14.6">
      <c r="CY956" s="48"/>
    </row>
    <row r="957" spans="103:103" ht="14.6">
      <c r="CY957" s="48"/>
    </row>
    <row r="958" spans="103:103" ht="14.6">
      <c r="CY958" s="48"/>
    </row>
    <row r="959" spans="103:103" ht="14.6">
      <c r="CY959" s="48"/>
    </row>
    <row r="960" spans="103:103" ht="14.6">
      <c r="CY960" s="48"/>
    </row>
    <row r="961" spans="103:103" ht="14.6">
      <c r="CY961" s="48"/>
    </row>
    <row r="962" spans="103:103" ht="14.6">
      <c r="CY962" s="48"/>
    </row>
    <row r="963" spans="103:103" ht="14.6">
      <c r="CY963" s="48"/>
    </row>
    <row r="964" spans="103:103" ht="14.6">
      <c r="CY964" s="48"/>
    </row>
    <row r="965" spans="103:103" ht="14.6">
      <c r="CY965" s="48"/>
    </row>
    <row r="966" spans="103:103" ht="14.6">
      <c r="CY966" s="48"/>
    </row>
    <row r="967" spans="103:103" ht="14.6">
      <c r="CY967" s="48"/>
    </row>
    <row r="968" spans="103:103" ht="14.6">
      <c r="CY968" s="48"/>
    </row>
  </sheetData>
  <autoFilter ref="D5:U282" xr:uid="{00000000-0009-0000-0000-00000C000000}">
    <sortState xmlns:xlrd2="http://schemas.microsoft.com/office/spreadsheetml/2017/richdata2" ref="D5:U282">
      <sortCondition ref="H5"/>
    </sortState>
  </autoFilter>
  <hyperlinks>
    <hyperlink ref="Y330" location="小羊的家备份!Y215" tooltip="返回资源表" display="时间" xr:uid="{00000000-0004-0000-0C00-000000000000}"/>
    <hyperlink ref="Y215" location="小羊的家备份!Y330" tooltip="跳转时间表" display="费用" xr:uid="{00000000-0004-0000-0C00-000001000000}"/>
  </hyperlinks>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vt:i4>
      </vt:variant>
    </vt:vector>
  </HeadingPairs>
  <TitlesOfParts>
    <vt:vector size="16" baseType="lpstr">
      <vt:lpstr>1.序幕</vt:lpstr>
      <vt:lpstr>2.1家乡主力军</vt:lpstr>
      <vt:lpstr>2.2家乡支援军</vt:lpstr>
      <vt:lpstr>2.3家乡建筑</vt:lpstr>
      <vt:lpstr>3.1夜本军队</vt:lpstr>
      <vt:lpstr>3.2夜本建筑</vt:lpstr>
      <vt:lpstr>4.1都城军队</vt:lpstr>
      <vt:lpstr>4.2都城建筑</vt:lpstr>
      <vt:lpstr>5.1联赛&amp;等级</vt:lpstr>
      <vt:lpstr>5.2研究笔记</vt:lpstr>
      <vt:lpstr>5.3小工具</vt:lpstr>
      <vt:lpstr>5.4纪念碑谷</vt:lpstr>
      <vt:lpstr>小羊的家备份</vt:lpstr>
      <vt:lpstr>_5.4_纪念碑谷</vt:lpstr>
      <vt:lpstr>纪念碑谷</vt:lpstr>
      <vt:lpstr>颜色主题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qhj08</dc:creator>
  <cp:lastModifiedBy>Jimmy Brooks</cp:lastModifiedBy>
  <dcterms:created xsi:type="dcterms:W3CDTF">2019-03-15T14:41:00Z</dcterms:created>
  <dcterms:modified xsi:type="dcterms:W3CDTF">2024-04-08T18:55:27Z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KSOReadingLayout">
    <vt:bool>false</vt:bool>
  </property>
  <property fmtid="{D5CDD505-2E9C-101B-9397-08002B2CF9AE}" pid="4" name="ICV">
    <vt:lpwstr>CE7720BFC5594345B1F01EA129E7088A</vt:lpwstr>
  </property>
</Properties>
</file>